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8.xml" ContentType="application/vnd.openxmlformats-officedocument.spreadsheetml.externalLink+xml"/>
  <Override PartName="/xl/externalLinks/externalLink9.xml" ContentType="application/vnd.openxmlformats-officedocument.spreadsheetml.externalLink+xml"/>
  <Override PartName="/xl/externalLinks/externalLink10.xml" ContentType="application/vnd.openxmlformats-officedocument.spreadsheetml.externalLink+xml"/>
  <Override PartName="/xl/externalLinks/externalLink11.xml" ContentType="application/vnd.openxmlformats-officedocument.spreadsheetml.externalLink+xml"/>
  <Override PartName="/xl/externalLinks/externalLink12.xml" ContentType="application/vnd.openxmlformats-officedocument.spreadsheetml.externalLink+xml"/>
  <Override PartName="/xl/externalLinks/externalLink13.xml" ContentType="application/vnd.openxmlformats-officedocument.spreadsheetml.externalLink+xml"/>
  <Override PartName="/xl/externalLinks/externalLink14.xml" ContentType="application/vnd.openxmlformats-officedocument.spreadsheetml.externalLink+xml"/>
  <Override PartName="/xl/externalLinks/externalLink15.xml" ContentType="application/vnd.openxmlformats-officedocument.spreadsheetml.externalLink+xml"/>
  <Override PartName="/xl/externalLinks/externalLink16.xml" ContentType="application/vnd.openxmlformats-officedocument.spreadsheetml.externalLink+xml"/>
  <Override PartName="/xl/externalLinks/externalLink17.xml" ContentType="application/vnd.openxmlformats-officedocument.spreadsheetml.externalLink+xml"/>
  <Override PartName="/xl/externalLinks/externalLink18.xml" ContentType="application/vnd.openxmlformats-officedocument.spreadsheetml.externalLink+xml"/>
  <Override PartName="/xl/externalLinks/externalLink19.xml" ContentType="application/vnd.openxmlformats-officedocument.spreadsheetml.externalLink+xml"/>
  <Override PartName="/xl/externalLinks/externalLink20.xml" ContentType="application/vnd.openxmlformats-officedocument.spreadsheetml.externalLink+xml"/>
  <Override PartName="/xl/externalLinks/externalLink21.xml" ContentType="application/vnd.openxmlformats-officedocument.spreadsheetml.externalLink+xml"/>
  <Override PartName="/xl/externalLinks/externalLink22.xml" ContentType="application/vnd.openxmlformats-officedocument.spreadsheetml.externalLink+xml"/>
  <Override PartName="/xl/externalLinks/externalLink23.xml" ContentType="application/vnd.openxmlformats-officedocument.spreadsheetml.externalLink+xml"/>
  <Override PartName="/xl/externalLinks/externalLink24.xml" ContentType="application/vnd.openxmlformats-officedocument.spreadsheetml.externalLink+xml"/>
  <Override PartName="/xl/externalLinks/externalLink25.xml" ContentType="application/vnd.openxmlformats-officedocument.spreadsheetml.externalLink+xml"/>
  <Override PartName="/xl/externalLinks/externalLink26.xml" ContentType="application/vnd.openxmlformats-officedocument.spreadsheetml.externalLink+xml"/>
  <Override PartName="/xl/externalLinks/externalLink27.xml" ContentType="application/vnd.openxmlformats-officedocument.spreadsheetml.externalLink+xml"/>
  <Override PartName="/xl/externalLinks/externalLink28.xml" ContentType="application/vnd.openxmlformats-officedocument.spreadsheetml.externalLink+xml"/>
  <Override PartName="/xl/externalLinks/externalLink29.xml" ContentType="application/vnd.openxmlformats-officedocument.spreadsheetml.externalLink+xml"/>
  <Override PartName="/xl/externalLinks/externalLink30.xml" ContentType="application/vnd.openxmlformats-officedocument.spreadsheetml.externalLink+xml"/>
  <Override PartName="/xl/externalLinks/externalLink31.xml" ContentType="application/vnd.openxmlformats-officedocument.spreadsheetml.externalLink+xml"/>
  <Override PartName="/xl/externalLinks/externalLink32.xml" ContentType="application/vnd.openxmlformats-officedocument.spreadsheetml.externalLink+xml"/>
  <Override PartName="/xl/externalLinks/externalLink33.xml" ContentType="application/vnd.openxmlformats-officedocument.spreadsheetml.externalLink+xml"/>
  <Override PartName="/xl/externalLinks/externalLink34.xml" ContentType="application/vnd.openxmlformats-officedocument.spreadsheetml.externalLink+xml"/>
  <Override PartName="/xl/externalLinks/externalLink35.xml" ContentType="application/vnd.openxmlformats-officedocument.spreadsheetml.externalLink+xml"/>
  <Override PartName="/xl/externalLinks/externalLink36.xml" ContentType="application/vnd.openxmlformats-officedocument.spreadsheetml.externalLink+xml"/>
  <Override PartName="/xl/externalLinks/externalLink37.xml" ContentType="application/vnd.openxmlformats-officedocument.spreadsheetml.externalLink+xml"/>
  <Override PartName="/xl/externalLinks/externalLink38.xml" ContentType="application/vnd.openxmlformats-officedocument.spreadsheetml.externalLink+xml"/>
  <Override PartName="/xl/externalLinks/externalLink39.xml" ContentType="application/vnd.openxmlformats-officedocument.spreadsheetml.externalLink+xml"/>
  <Override PartName="/xl/externalLinks/externalLink40.xml" ContentType="application/vnd.openxmlformats-officedocument.spreadsheetml.externalLink+xml"/>
  <Override PartName="/xl/externalLinks/externalLink41.xml" ContentType="application/vnd.openxmlformats-officedocument.spreadsheetml.externalLink+xml"/>
  <Override PartName="/xl/externalLinks/externalLink42.xml" ContentType="application/vnd.openxmlformats-officedocument.spreadsheetml.externalLink+xml"/>
  <Override PartName="/xl/externalLinks/externalLink43.xml" ContentType="application/vnd.openxmlformats-officedocument.spreadsheetml.externalLink+xml"/>
  <Override PartName="/xl/externalLinks/externalLink44.xml" ContentType="application/vnd.openxmlformats-officedocument.spreadsheetml.externalLink+xml"/>
  <Override PartName="/xl/externalLinks/externalLink45.xml" ContentType="application/vnd.openxmlformats-officedocument.spreadsheetml.externalLink+xml"/>
  <Override PartName="/xl/externalLinks/externalLink46.xml" ContentType="application/vnd.openxmlformats-officedocument.spreadsheetml.externalLink+xml"/>
  <Override PartName="/xl/externalLinks/externalLink47.xml" ContentType="application/vnd.openxmlformats-officedocument.spreadsheetml.externalLink+xml"/>
  <Override PartName="/xl/externalLinks/externalLink48.xml" ContentType="application/vnd.openxmlformats-officedocument.spreadsheetml.externalLink+xml"/>
  <Override PartName="/xl/externalLinks/externalLink49.xml" ContentType="application/vnd.openxmlformats-officedocument.spreadsheetml.externalLink+xml"/>
  <Override PartName="/xl/externalLinks/externalLink50.xml" ContentType="application/vnd.openxmlformats-officedocument.spreadsheetml.externalLink+xml"/>
  <Override PartName="/xl/externalLinks/externalLink51.xml" ContentType="application/vnd.openxmlformats-officedocument.spreadsheetml.externalLink+xml"/>
  <Override PartName="/xl/externalLinks/externalLink52.xml" ContentType="application/vnd.openxmlformats-officedocument.spreadsheetml.externalLink+xml"/>
  <Override PartName="/xl/externalLinks/externalLink53.xml" ContentType="application/vnd.openxmlformats-officedocument.spreadsheetml.externalLink+xml"/>
  <Override PartName="/xl/externalLinks/externalLink54.xml" ContentType="application/vnd.openxmlformats-officedocument.spreadsheetml.externalLink+xml"/>
  <Override PartName="/xl/externalLinks/externalLink55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autoCompressPictures="0"/>
  <mc:AlternateContent xmlns:mc="http://schemas.openxmlformats.org/markup-compatibility/2006">
    <mc:Choice Requires="x15">
      <x15ac:absPath xmlns:x15ac="http://schemas.microsoft.com/office/spreadsheetml/2010/11/ac" url="O:\4 - DOP\40 -  DOP Général\suivi d'activité\PCA\PROGRAMMATIONS LBU\PROGRAMMATION 2017\CROUS\ST PIERRE\"/>
    </mc:Choice>
  </mc:AlternateContent>
  <bookViews>
    <workbookView xWindow="56730" yWindow="3570" windowWidth="15315" windowHeight="11190" tabRatio="828"/>
  </bookViews>
  <sheets>
    <sheet name="Modèle financier" sheetId="46" r:id="rId1"/>
    <sheet name="Plan de financement" sheetId="47" r:id="rId2"/>
    <sheet name="Prix de revient" sheetId="48" r:id="rId3"/>
    <sheet name="Plan de trésorerie" sheetId="49" r:id="rId4"/>
    <sheet name="PRD" sheetId="50" r:id="rId5"/>
    <sheet name="Préfinancement" sheetId="51" r:id="rId6"/>
    <sheet name="GER" sheetId="52" r:id="rId7"/>
    <sheet name="Equipements" sheetId="53" r:id="rId8"/>
    <sheet name="Remplacement de composants" sheetId="54" r:id="rId9"/>
    <sheet name="LOYERS" sheetId="55" r:id="rId10"/>
    <sheet name="PLS 40 ans Tr" sheetId="56" r:id="rId11"/>
    <sheet name="Impôts et taxes" sheetId="57" r:id="rId12"/>
    <sheet name="Assurance" sheetId="58" r:id="rId13"/>
    <sheet name="Amortissements" sheetId="59" r:id="rId14"/>
    <sheet name="Reprise subvent°" sheetId="60" r:id="rId15"/>
  </sheets>
  <externalReferences>
    <externalReference r:id="rId16"/>
    <externalReference r:id="rId17"/>
    <externalReference r:id="rId18"/>
    <externalReference r:id="rId19"/>
    <externalReference r:id="rId20"/>
    <externalReference r:id="rId21"/>
    <externalReference r:id="rId22"/>
    <externalReference r:id="rId23"/>
    <externalReference r:id="rId24"/>
    <externalReference r:id="rId25"/>
    <externalReference r:id="rId26"/>
    <externalReference r:id="rId27"/>
    <externalReference r:id="rId28"/>
    <externalReference r:id="rId29"/>
    <externalReference r:id="rId30"/>
    <externalReference r:id="rId31"/>
    <externalReference r:id="rId32"/>
    <externalReference r:id="rId33"/>
    <externalReference r:id="rId34"/>
    <externalReference r:id="rId35"/>
    <externalReference r:id="rId36"/>
    <externalReference r:id="rId37"/>
    <externalReference r:id="rId38"/>
    <externalReference r:id="rId39"/>
    <externalReference r:id="rId40"/>
    <externalReference r:id="rId41"/>
    <externalReference r:id="rId42"/>
    <externalReference r:id="rId43"/>
    <externalReference r:id="rId44"/>
    <externalReference r:id="rId45"/>
    <externalReference r:id="rId46"/>
    <externalReference r:id="rId47"/>
    <externalReference r:id="rId48"/>
    <externalReference r:id="rId49"/>
    <externalReference r:id="rId50"/>
    <externalReference r:id="rId51"/>
    <externalReference r:id="rId52"/>
    <externalReference r:id="rId53"/>
    <externalReference r:id="rId54"/>
    <externalReference r:id="rId55"/>
    <externalReference r:id="rId56"/>
    <externalReference r:id="rId57"/>
    <externalReference r:id="rId58"/>
    <externalReference r:id="rId59"/>
    <externalReference r:id="rId60"/>
    <externalReference r:id="rId61"/>
    <externalReference r:id="rId62"/>
    <externalReference r:id="rId63"/>
    <externalReference r:id="rId64"/>
    <externalReference r:id="rId65"/>
    <externalReference r:id="rId66"/>
    <externalReference r:id="rId67"/>
    <externalReference r:id="rId68"/>
    <externalReference r:id="rId69"/>
    <externalReference r:id="rId70"/>
  </externalReferences>
  <definedNames>
    <definedName name="\L">#REF!</definedName>
    <definedName name="_cif4">#REF!</definedName>
    <definedName name="_fob1">#REF!</definedName>
    <definedName name="_fob2">#REF!</definedName>
    <definedName name="_fob3">#REF!</definedName>
    <definedName name="_fuv1">#REF!</definedName>
    <definedName name="_inv1">[2]Résultats!$C$33</definedName>
    <definedName name="_IRA1">[4]Programme!$F$20</definedName>
    <definedName name="_IRA2">[4]Programme!$F$21</definedName>
    <definedName name="_IRA3">[4]Programme!$F$22</definedName>
    <definedName name="_IRA4">[4]Programme!$F$23</definedName>
    <definedName name="_IRA5">[4]Programme!$F$24</definedName>
    <definedName name="_nhh1">#REF!</definedName>
    <definedName name="_nhh2">#REF!</definedName>
    <definedName name="_nhh3">#REF!</definedName>
    <definedName name="_PAE1">[2]Saisie!$F$56</definedName>
    <definedName name="_PAE2">[2]Saisie!$F$57</definedName>
    <definedName name="_PAE3">[2]Saisie!$F$59</definedName>
    <definedName name="_Parse_Out" hidden="1">#REF!</definedName>
    <definedName name="_phh1">#REF!</definedName>
    <definedName name="_phh2">#REF!</definedName>
    <definedName name="_phh3">#REF!</definedName>
    <definedName name="_phl1">#REF!</definedName>
    <definedName name="_phl2">#REF!</definedName>
    <definedName name="_phl3">#REF!</definedName>
    <definedName name="_res1">[2]Saisie!$B$109</definedName>
    <definedName name="_res2">[2]Saisie!$B$111</definedName>
    <definedName name="_res3">[2]Saisie!$B$113</definedName>
    <definedName name="_TVA1">#REF!</definedName>
    <definedName name="_val1">'[5]Bilan Détaillé DDE'!$K$66</definedName>
    <definedName name="A">'[6]Lease Margin'!$B$5</definedName>
    <definedName name="Abatt_géné_annuel">'[8]Hypothèses générales'!$B$41</definedName>
    <definedName name="ACCESSOIRES_DE_COUVERTURE">#REF!</definedName>
    <definedName name="ACCESSOIRES_DE_COUVERTURE_METRE">#REF!</definedName>
    <definedName name="ACCESSOIRES_DE_COUVERTURE_QUES">#REF!</definedName>
    <definedName name="achatterrain">'[10]Param opération'!$F$39</definedName>
    <definedName name="ACIERS_POUR_CHARPENTE">#REF!</definedName>
    <definedName name="Acquidate">[11]Modele!$E$10</definedName>
    <definedName name="Acrotère">#REF!</definedName>
    <definedName name="Acrotere_sommaire">#REF!</definedName>
    <definedName name="Adduction_d_eau_potable_et_réseau_incendie">#REF!</definedName>
    <definedName name="ADF">#REF!</definedName>
    <definedName name="adresse">'[13]Param opération'!$F$25</definedName>
    <definedName name="adresse_LLS">#REF!</definedName>
    <definedName name="adresse_LLTS">#REF!</definedName>
    <definedName name="adresse_siege">#REF!</definedName>
    <definedName name="Airport">#REF!</definedName>
    <definedName name="Alimentation_ascenseur">#REF!</definedName>
    <definedName name="Alimentation_digicode_pour_porte_de_la_résidence">#REF!</definedName>
    <definedName name="ALIMENTATION_EVACUATION_METRE">#REF!</definedName>
    <definedName name="Alimentation_portail_sous_sol">#REF!</definedName>
    <definedName name="Alimentation_porte_basculante">#REF!</definedName>
    <definedName name="Allèges_béton">#REF!</definedName>
    <definedName name="Amaxdefisc">'[14]Par. glob.'!$K$14</definedName>
    <definedName name="Aménagement_intérieur_de_placard">#REF!</definedName>
    <definedName name="AMENAGEUR">[16]Listes!$L$4:$L$12</definedName>
    <definedName name="aménageur">#REF!</definedName>
    <definedName name="Amort">[18]Modele!$E$35</definedName>
    <definedName name="Ancrages_de_sécurités">#REF!</definedName>
    <definedName name="Andefisc">'[14]Par. Op.'!$F$145</definedName>
    <definedName name="aneffort">[20]Saisie!$C$83</definedName>
    <definedName name="anloyer">#REF!</definedName>
    <definedName name="annee">'[21]Liste dép et Terr'!$B$3:$K$3</definedName>
    <definedName name="Année_Annuité">#REF!</definedName>
    <definedName name="ANNEE_CDC">[2]Résultats!$CS$9</definedName>
    <definedName name="Année_foncier">#REF!</definedName>
    <definedName name="Année_imposition_NC">#REF!</definedName>
    <definedName name="Année_loyer_SCI">'[23]Loyers SCI'!$H$11:$H$681</definedName>
    <definedName name="Années_tirages">#REF!</definedName>
    <definedName name="Annuites_1er_Prets">[2]Résultats!$FD$9:$FJ$9</definedName>
    <definedName name="anpret">[2]Saisie!$C$82</definedName>
    <definedName name="anscount" hidden="1">1</definedName>
    <definedName name="Antennes_collectives">#REF!</definedName>
    <definedName name="APP">[2]Saisie!#REF!</definedName>
    <definedName name="Appareillage_des_commerces">#REF!</definedName>
    <definedName name="Appareillage_des_logements">#REF!</definedName>
    <definedName name="Appareillage_des_logements_Electricité">#REF!</definedName>
    <definedName name="APPAREILLAGES_ELECTRIQUES_METRE">#REF!</definedName>
    <definedName name="APPAREILS_DE_COMMANDE_DE_PROTECTION_ET_DE_DISTRIBUTION">#REF!</definedName>
    <definedName name="APPAREILS_METRE">#REF!</definedName>
    <definedName name="APPAREILS_SANITAIRES">#REF!</definedName>
    <definedName name="AppInv">[25]Data!#REF!</definedName>
    <definedName name="Applique_sur_minuterie">#REF!</definedName>
    <definedName name="Apport">#REF!</definedName>
    <definedName name="Apport_foncier">'[7]Hypothèses Investisseur'!$G$45</definedName>
    <definedName name="Apport_invest">'[22]Hypothèses Investissement'!$D$50</definedName>
    <definedName name="Apport_travaux">'[7]Hypothèses Investisseur'!$N$45</definedName>
    <definedName name="Appuis_de_baies">#REF!</definedName>
    <definedName name="AR_brut">#REF!</definedName>
    <definedName name="Arase_etanche">#REF!</definedName>
    <definedName name="Arase_étanche">#REF!</definedName>
    <definedName name="Arase_étanche_sommaire">#REF!</definedName>
    <definedName name="Arbres">#REF!</definedName>
    <definedName name="Arcade">#REF!</definedName>
    <definedName name="architecte">#REF!</definedName>
    <definedName name="arrfee">[26]Assumptions!$B$51</definedName>
    <definedName name="Arrondi">#REF!</definedName>
    <definedName name="Ascenseur">#REF!</definedName>
    <definedName name="ASS">[15]Listes!$C$4:$C$8</definedName>
    <definedName name="AssDO">#REF!</definedName>
    <definedName name="assistante">#REF!</definedName>
    <definedName name="assistanteCTX">#REF!</definedName>
    <definedName name="ASSOUR_V">#REF!</definedName>
    <definedName name="asssubv">'[10]Param opération'!$F$52</definedName>
    <definedName name="Ata">[2]Saisie!$F$115:$F$146</definedName>
    <definedName name="atl">#REF!</definedName>
    <definedName name="Attentes_condensât_de_climatisation">#REF!</definedName>
    <definedName name="Attentes_lave_linge">#REF!</definedName>
    <definedName name="Attentes_lave_vaisselle">#REF!</definedName>
    <definedName name="Aujo">#REF!</definedName>
    <definedName name="AUTRES_CLOTURE_RIGIDE">#REF!</definedName>
    <definedName name="AUTRES_OUVERTURES_METAL__non_déduite_de_la_maçonnerie">#REF!</definedName>
    <definedName name="Auvent_tole">#REF!</definedName>
    <definedName name="Auvents_tôle">#REF!</definedName>
    <definedName name="Avaloirs_de_sol">#REF!</definedName>
    <definedName name="AVANCEMENT">[16]Listes!$D$4:$D$17</definedName>
    <definedName name="Avances">[18]Modele!#REF!</definedName>
    <definedName name="Avant_poteaux">#REF!</definedName>
    <definedName name="Avant_poteaux_sommaires">#REF!</definedName>
    <definedName name="B">#REF!</definedName>
    <definedName name="Bac_à_sable">#REF!</definedName>
    <definedName name="BAES">#REF!</definedName>
    <definedName name="Baignoire">#REF!</definedName>
    <definedName name="Baignoires_en_acrylique_d_angle">#REF!</definedName>
    <definedName name="BARDAGE">#REF!</definedName>
    <definedName name="Bardage_canexel">#REF!</definedName>
    <definedName name="BARDAGE_METRE">#REF!</definedName>
    <definedName name="Bardages">#REF!</definedName>
    <definedName name="Bardages_bois">#REF!</definedName>
    <definedName name="Bardages_bois_Sommaire">#REF!</definedName>
    <definedName name="BARDAGES_CANEXEL">#REF!</definedName>
    <definedName name="Bardages_canexel_Sommaire">#REF!</definedName>
    <definedName name="Bardages_tôle">#REF!</definedName>
    <definedName name="Bardages_tole_Sommaire">#REF!</definedName>
    <definedName name="Barre_de_seuil_cctp">#REF!</definedName>
    <definedName name="BASE_D_ACHAT_STANDARD">#REF!</definedName>
    <definedName name="_xlnm.Database">#REF!</definedName>
    <definedName name="Bat">[2]Saisie!$E$29:$E$110</definedName>
    <definedName name="be">#REF!</definedName>
    <definedName name="Bêches___Longrines">#REF!</definedName>
    <definedName name="Beg_Bal">#REF!</definedName>
    <definedName name="BETbt">'[13]Param opération'!#REF!</definedName>
    <definedName name="BETeau">'[13]Param opération'!#REF!</definedName>
    <definedName name="BETfluid">'[13]Param opération'!#REF!</definedName>
    <definedName name="Béton_de_propreté">#REF!</definedName>
    <definedName name="BETstruc">'[13]Param opération'!#REF!</definedName>
    <definedName name="BETvrd">'[13]Param opération'!#REF!</definedName>
    <definedName name="Bloc_porte_acoustique_CF1_2H">#REF!</definedName>
    <definedName name="Boite_à_eau">#REF!</definedName>
    <definedName name="Boîtes_à_lettre">#REF!</definedName>
    <definedName name="Boolean_financ_frais_mut">'[8]Hypothèses Investisseur'!$G$12</definedName>
    <definedName name="BORDURES">#REF!</definedName>
    <definedName name="Bordures_préfabriquées">#REF!</definedName>
    <definedName name="Bordures_VRD">#REF!</definedName>
    <definedName name="BPP">[2]Saisie!#REF!</definedName>
    <definedName name="BRIQUES_DE_VERRE">#REF!</definedName>
    <definedName name="Briques_de_verre_sommaire">#REF!</definedName>
    <definedName name="Briques_de_verres">#REF!</definedName>
    <definedName name="C_">#REF!</definedName>
    <definedName name="Câblage">#REF!</definedName>
    <definedName name="CAF_Tot">#REF!</definedName>
    <definedName name="Caillebotis_bois">#REF!</definedName>
    <definedName name="Canalisations_aériennes">#REF!</definedName>
    <definedName name="Canalisations_enterrées">#REF!</definedName>
    <definedName name="Caniveau_préfabriqué_en_béton">#REF!</definedName>
    <definedName name="CapInv">[24]Data!#REF!</definedName>
    <definedName name="Capital_fin">#REF!</definedName>
    <definedName name="Carreaux_de_basalte">#REF!</definedName>
    <definedName name="CARRELAGE_COMMERCE_METRE">#REF!</definedName>
    <definedName name="CARRELAGE_COMMUN_METRE">#REF!</definedName>
    <definedName name="CARRELAGE_DES_COMMERCES">#REF!</definedName>
    <definedName name="carrelage_des_commerces_cctp">#REF!</definedName>
    <definedName name="Carrelage_des_commerces_ques">#REF!</definedName>
    <definedName name="CARRELAGE_DES_COMMUNS">#REF!</definedName>
    <definedName name="carrelage_des_communs_cctp">#REF!</definedName>
    <definedName name="CARRELAGE_DES_LOGEMENTS">#REF!</definedName>
    <definedName name="Carrelage_extérieur_cctp">#REF!</definedName>
    <definedName name="CARRELAGE_EXTERIEUR_DES_COMMUNS">#REF!</definedName>
    <definedName name="CARRELAGE_EXTERIEUR_LOGEMENT">#REF!</definedName>
    <definedName name="Carrelage_exterieur_logement_Sommaire">#REF!</definedName>
    <definedName name="CARRELAGE_INTERIEUR_DES_COMMUNS">#REF!</definedName>
    <definedName name="CARRELAGE_INTERIEUR_LOGEMENT">#REF!</definedName>
    <definedName name="CARRELAGE_LOGEMENT_cctp">#REF!</definedName>
    <definedName name="CARRELAGE_LOGEMENT_METRE">#REF!</definedName>
    <definedName name="Carrelage_marches_d_escalier_commun_cctp">#REF!</definedName>
    <definedName name="Carrelage_type_grès_cérame_pose_scellée_cctp">#REF!</definedName>
    <definedName name="Carrelage_type_grès_cérame_pose_scellée_commerce_cctp">#REF!</definedName>
    <definedName name="Casquettes_béton">#REF!</definedName>
    <definedName name="CCTP_GROS_OEUVRE">#REF!</definedName>
    <definedName name="CCTP_VRD">#REF!</definedName>
    <definedName name="CDC.LLS">#REF!</definedName>
    <definedName name="CDC.LLTS">#REF!</definedName>
    <definedName name="CDC_LLS">#REF!</definedName>
    <definedName name="CDC_LLTS">#REF!</definedName>
    <definedName name="CDCmax.LLS">#REF!</definedName>
    <definedName name="CDCmax.LLTS">#REF!</definedName>
    <definedName name="cefefefefefe">[26]Assumptions!$B$21</definedName>
    <definedName name="Cellier">#REF!</definedName>
    <definedName name="CFlls">'[28]Par. glob.'!$K$38</definedName>
    <definedName name="CFllts">'[28]Par. glob.'!$K$37</definedName>
    <definedName name="CFlog">#REF!</definedName>
    <definedName name="CFpls">'[28]Par. glob.'!$K$39</definedName>
    <definedName name="Chambres">#REF!</definedName>
    <definedName name="chantier">[1]Saisie!$C$79</definedName>
    <definedName name="Chapes_incorporées">#REF!</definedName>
    <definedName name="CHARPENTE___COUVERTURE">#REF!</definedName>
    <definedName name="Charpente_bois">#REF!</definedName>
    <definedName name="CHARPENTE_COUVERTURE">#REF!</definedName>
    <definedName name="CHARPENTE_COUVERTURE_METRE">#REF!</definedName>
    <definedName name="CHARPENTE_METRE">#REF!</definedName>
    <definedName name="charpentes">#REF!</definedName>
    <definedName name="Charpentes__bois">#REF!</definedName>
    <definedName name="Châssis_à_soufflet">#REF!</definedName>
    <definedName name="Châssis_cache_climatiseurs">#REF!</definedName>
    <definedName name="Châssis_fixe">#REF!</definedName>
    <definedName name="Châssis_fixes">#REF!</definedName>
    <definedName name="Châssis_métallique_de_ventilation">#REF!</definedName>
    <definedName name="Chauffe_eau_électrique">#REF!</definedName>
    <definedName name="Chauffe_eau_solaire">#REF!</definedName>
    <definedName name="Chéneau">#REF!</definedName>
    <definedName name="CHFONC">'[9]Param opération'!$F$38</definedName>
    <definedName name="CHFONCunit">'[29]Tableau financier'!#REF!</definedName>
    <definedName name="Chloccoll">'[12]Param globaux'!#REF!</definedName>
    <definedName name="Chloccollssa">'[12]Param globaux'!#REF!</definedName>
    <definedName name="Chlocind">'[12]Param globaux'!#REF!</definedName>
    <definedName name="Choix_type_loyer">'[22]Loyers SCI'!$B$13</definedName>
    <definedName name="ChoixAmortissement">#REF!</definedName>
    <definedName name="CI">#REF!</definedName>
    <definedName name="CinqSix">#REF!</definedName>
    <definedName name="CLASSIFICATION_DES_MENUISERIES_EXTERIEURES">#REF!</definedName>
    <definedName name="Claustras_bois">#REF!</definedName>
    <definedName name="clé_com">#REF!</definedName>
    <definedName name="clé_log">#REF!</definedName>
    <definedName name="CLIMATISATION">#REF!</definedName>
    <definedName name="CLoc">'[30]Param opération'!$F$110</definedName>
    <definedName name="CLoc_csas">'[30]Param globaux'!$J$46</definedName>
    <definedName name="CLoc_ind">'[30]Param globaux'!$J$45</definedName>
    <definedName name="CLOISON_DE_SEPARATION_DE_GAINE_TECHNIQUE__plaque_de_plâtre">#REF!</definedName>
    <definedName name="Cloison_de_separation_de_gaine_technique__plaque_de_plâtre_som">#REF!</definedName>
    <definedName name="Cloison_de_separation_de_gaine_technique__plaque_de_plâtre_sommaire">#REF!</definedName>
    <definedName name="Cloison_placoplatre">#REF!</definedName>
    <definedName name="Cloisons_1_face">#REF!</definedName>
    <definedName name="Cloisons_agglos_compris_enduit_ciment">#REF!</definedName>
    <definedName name="CLOISONS_DE_DISTRIBUTION">#REF!</definedName>
    <definedName name="Cloisons_de_distribution__2_plaques">#REF!</definedName>
    <definedName name="Cloisons_de_distribution_avec_isolation">#REF!</definedName>
    <definedName name="cloisons_de_distribution_cctp">#REF!</definedName>
    <definedName name="CLOISONS_DE_DISTRIBUTIONS">#REF!</definedName>
    <definedName name="CLOISONS_DE_GAINES_TECHNIQUES">#REF!</definedName>
    <definedName name="Cloisons_en_agglomérés">#REF!</definedName>
    <definedName name="CLOISONS_FAUX_PLAFOND">#REF!</definedName>
    <definedName name="CLOISONS_FAUX_PLAFONDS_METRE">#REF!</definedName>
    <definedName name="CLOISONS_METRE">#REF!</definedName>
    <definedName name="CLOTURE">#REF!</definedName>
    <definedName name="Clôture_aluminium_barreaudée">#REF!</definedName>
    <definedName name="Clôture_bois">#REF!</definedName>
    <definedName name="CLOTURE_ET_PORTAIL_METRE">#REF!</definedName>
    <definedName name="Clôture_grillagée">#REF!</definedName>
    <definedName name="Clôture_métal_barreaudée">#REF!</definedName>
    <definedName name="Clôture_PVC_barreaudée">#REF!</definedName>
    <definedName name="CLOTURE_RIGIDE_TYPE_DIRICKX">#REF!</definedName>
    <definedName name="Cloture_VRD">#REF!</definedName>
    <definedName name="code">#REF!</definedName>
    <definedName name="codeVEFA">'[31]Suivi décaissement'!$G$11:$G$65</definedName>
    <definedName name="Coef_éros_monét">'[7]Hypothèses générales'!$B$42</definedName>
    <definedName name="Coéf_période">'[22]Loyers SCI'!$C$1</definedName>
    <definedName name="Collonne_montante_Electricite">#REF!</definedName>
    <definedName name="Colonne_montante">#REF!</definedName>
    <definedName name="COLONNE_MONTANTE__hors_CF_cf_alimentation_colonnes_METRE">#REF!</definedName>
    <definedName name="COLONNE_MONTANTE_ELECTRICITE">#REF!</definedName>
    <definedName name="COLONNE_MONTANTE_METRE">#REF!</definedName>
    <definedName name="Colonnes_sèches">#REF!</definedName>
    <definedName name="Coloris_rev_souples_cctp">#REF!</definedName>
    <definedName name="Com_prêt">[32]HYP!#REF!</definedName>
    <definedName name="COMMERCE_METRE">#REF!</definedName>
    <definedName name="commercefermonte">#REF!</definedName>
    <definedName name="commercejardin">#REF!</definedName>
    <definedName name="COMMERCES">#REF!</definedName>
    <definedName name="commercesindiana">#REF!</definedName>
    <definedName name="COMMERCESPLAMES">#REF!</definedName>
    <definedName name="commune">'[12]Param opération'!$F$16</definedName>
    <definedName name="Commune_LLS">#REF!</definedName>
    <definedName name="Commune_LLTS">#REF!</definedName>
    <definedName name="COMMUNES">[16]Listes!$E$4:$E$28</definedName>
    <definedName name="COMMUNS_METRE">#REF!</definedName>
    <definedName name="CONSOLE_METALLIQUE">#REF!</definedName>
    <definedName name="Console_metallique_sommaire">#REF!</definedName>
    <definedName name="Consoles_métalliques">#REF!</definedName>
    <definedName name="Constitution">#REF!</definedName>
    <definedName name="COP">[15]Listes!$A$4:$A$12</definedName>
    <definedName name="Corbeille_à_papier">#REF!</definedName>
    <definedName name="Corbelet_béton">#REF!</definedName>
    <definedName name="Corniches">#REF!</definedName>
    <definedName name="Couche_de_base_et_de_fondation">#REF!</definedName>
    <definedName name="Coupe_circuits">#REF!</definedName>
    <definedName name="Couru_foncier">'[7]Echéancier d''emprunt foncier'!$B$17</definedName>
    <definedName name="Couru_travaux">'[7]Echéancier d''emprunt travaux'!$B$17</definedName>
    <definedName name="couttotal">#REF!</definedName>
    <definedName name="COUVERTURE">#REF!</definedName>
    <definedName name="couverture_cctp">#REF!</definedName>
    <definedName name="COUVERTURE_METRE">#REF!</definedName>
    <definedName name="Couverture_Sommaire">#REF!</definedName>
    <definedName name="Couverture_tôle_acier_nervurée">#REF!</definedName>
    <definedName name="Couverture_tôle_acier_ondulée">#REF!</definedName>
    <definedName name="Couverture_tôle_aluminium_nervurée">#REF!</definedName>
    <definedName name="Couverture_tôle_aluminium_ondulée">#REF!</definedName>
    <definedName name="Couvres_joints">#REF!</definedName>
    <definedName name="cp">#REF!</definedName>
    <definedName name="Créd_Imp">'[27]Prgr. 2017'!$AA$62</definedName>
    <definedName name="_xlnm.Criteria">#REF!</definedName>
    <definedName name="Crochets_de_sécurité_en_toiture">#REF!</definedName>
    <definedName name="cscc">#REF!</definedName>
    <definedName name="csh">#REF!</definedName>
    <definedName name="CSPS">'[12]Param opération'!#REF!</definedName>
    <definedName name="CSSS">#REF!</definedName>
    <definedName name="CT">'[12]Param opération'!#REF!</definedName>
    <definedName name="CTX">[15]Listes!$B$4:$B$12</definedName>
    <definedName name="Cuisine">#REF!</definedName>
    <definedName name="Cunette">#REF!</definedName>
    <definedName name="Cuvettes_de_wc_handicapé">#REF!</definedName>
    <definedName name="Cuvettes_de_wc_sur_socle">#REF!</definedName>
    <definedName name="d">#REF!</definedName>
    <definedName name="Dallage">#REF!</definedName>
    <definedName name="Dallage_en_béton_armé">#REF!</definedName>
    <definedName name="Dallage_portée">#REF!</definedName>
    <definedName name="Dallage_sommaire">#REF!</definedName>
    <definedName name="Dalle_portée">#REF!</definedName>
    <definedName name="Dalles_gazon">#REF!</definedName>
    <definedName name="Dallettes_sur_plots_cctp">#REF!</definedName>
    <definedName name="DANS_CLOISONS_DE_0_10">#REF!</definedName>
    <definedName name="DANS_CLOISONS_PLACO">#REF!</definedName>
    <definedName name="Dans_voiles_beton">#REF!</definedName>
    <definedName name="Dans_voiles_beton_alu">#REF!</definedName>
    <definedName name="dans_voiles_beton_bois">#REF!</definedName>
    <definedName name="Data">'[33]BFC 2  2009'!$A$18:$I$212</definedName>
    <definedName name="Database">#REF!</definedName>
    <definedName name="DatAch">[24]Data!#REF!</definedName>
    <definedName name="DATACQ">[34]Modèle!$A$34</definedName>
    <definedName name="datcap1">[1]Résultats!$O$13</definedName>
    <definedName name="datcap2">[1]Résultats!$O$14</definedName>
    <definedName name="datcap3">[1]Résultats!$O$18</definedName>
    <definedName name="datcap4">[1]Résultats!$O$19</definedName>
    <definedName name="DatDep">'[22]Hypothèses Investissement'!$I$29</definedName>
    <definedName name="Date">#REF!</definedName>
    <definedName name="Date_acquisition">'[7]Hypothèses Investisseur'!$G$9</definedName>
    <definedName name="Date_départ_bail">[35]Hypothèses!$C$44</definedName>
    <definedName name="Date_fin_loc">'[22]Loyers SCI'!$G$1</definedName>
    <definedName name="Date_Livraison">[36]Hypothèses!$C$10</definedName>
    <definedName name="Date_location">'[7]Hypothèses Investisseur'!$G$22</definedName>
    <definedName name="Date_revente">'[7]Hypothèses Investisseur'!$N$12</definedName>
    <definedName name="DateA">#REF!</definedName>
    <definedName name="DATEACHEVEMENT">'[37]Suivi décaissement'!$BG$11:$BG$65</definedName>
    <definedName name="DateCloture">#REF!</definedName>
    <definedName name="DATEcomp">'[12]Param opération'!#REF!</definedName>
    <definedName name="DateFinancement">#REF!</definedName>
    <definedName name="DateLivraison">[38]Informations!#REF!</definedName>
    <definedName name="DateMS">#REF!</definedName>
    <definedName name="DATEOS">'[37]Suivi décaissement'!$T$11:$T$65</definedName>
    <definedName name="dateos1">[1]Saisie!$C$78</definedName>
    <definedName name="Dates_échéances_foncier">'[7]Echéancier d''emprunt foncier'!$I$2:$I$254</definedName>
    <definedName name="Dates_échéances_travaux">'[7]Echéancier d''emprunt travaux'!$I$2:$I$254</definedName>
    <definedName name="Dates_loyers">'[22]Loyers SCI'!$G$11:$G$681</definedName>
    <definedName name="Dates_Tirages">'[22]Rém Compte séquestre CPI'!$A$11:$A$35</definedName>
    <definedName name="Datesaisie">[1]Résultats!$R$1</definedName>
    <definedName name="DATEvent">'[12]Param opération'!#REF!</definedName>
    <definedName name="DatFin">'[22]Hypothèses Investissement'!$I$34</definedName>
    <definedName name="DatMep">[24]Data!#REF!</definedName>
    <definedName name="datmes1">[1]Résultats!$C$39</definedName>
    <definedName name="Day">#REF!</definedName>
    <definedName name="DBE">#REF!</definedName>
    <definedName name="Dcdc">[1]Saisie!$C$86</definedName>
    <definedName name="dcp">#REF!</definedName>
    <definedName name="dd">'[39]Par. Op.'!$F$28</definedName>
    <definedName name="Débours">'[7]Hypothèses générales'!#REF!</definedName>
    <definedName name="Débroussaillages___nettoyage">#REF!</definedName>
    <definedName name="Decapage">#REF!</definedName>
    <definedName name="Décapage_de_terre_végétale">#REF!</definedName>
    <definedName name="Décapage_de_terre_végétale_cctp">#REF!</definedName>
    <definedName name="Deffort">[1]Saisie!$D$66</definedName>
    <definedName name="Defisc">'[22]Hypothèses Investissement'!$D$47</definedName>
    <definedName name="Defisc_Tot">#REF!</definedName>
    <definedName name="Defiscalisateur">[15]Listes!$Q$4:$Q$8</definedName>
    <definedName name="Dégagement">#REF!</definedName>
    <definedName name="DEMOLITION">#REF!</definedName>
    <definedName name="Démolition">#REF!</definedName>
    <definedName name="DEMOLITION___REPRISE_METRE">#REF!</definedName>
    <definedName name="DEMOLITION_SOMMAIRE">#REF!</definedName>
    <definedName name="Démolition_sommaire">#REF!</definedName>
    <definedName name="Démolition_VRD">#REF!</definedName>
    <definedName name="DEMOLITIONS">#REF!</definedName>
    <definedName name="Démolitions">#REF!</definedName>
    <definedName name="DepLoy">'[22]Hypothèses Investissement'!$I$31</definedName>
    <definedName name="DepLT">[24]Data!#REF!</definedName>
    <definedName name="Dépose">#REF!</definedName>
    <definedName name="Dépréciation">[36]Hypothèses!$C$15</definedName>
    <definedName name="DepReev">'[22]Hypothèses Investissement'!$I$35</definedName>
    <definedName name="DepTF">[40]Data!#REF!</definedName>
    <definedName name="dernière">#REF!</definedName>
    <definedName name="des">#REF!</definedName>
    <definedName name="Dés_béton">#REF!</definedName>
    <definedName name="des_dur">#REF!</definedName>
    <definedName name="Descente_de_charges">#REF!</definedName>
    <definedName name="Descente_ep">#REF!</definedName>
    <definedName name="Descentes_d_eaux_pluviales">#REF!</definedName>
    <definedName name="Descentes_EP__aluminium">#REF!</definedName>
    <definedName name="Descentes_EP__PVC">#REF!</definedName>
    <definedName name="Détermination_des_disjoncteurs">#REF!</definedName>
    <definedName name="dFIN">[41]DATA!$C$3</definedName>
    <definedName name="Dfp">[1]Saisie!$D$72</definedName>
    <definedName name="dhdh" hidden="1">{#N/A,#N/A,FALSE,"Gain Fiscal";#N/A,#N/A,FALSE,"CR";#N/A,#N/A,FALSE,"Bilan";#N/A,#N/A,FALSE,"Trésorerie";#N/A,#N/A,FALSE,"Prêt-Emprunt";#N/A,#N/A,FALSE,"Swap"}</definedName>
    <definedName name="dhh">[17]Modele!#REF!</definedName>
    <definedName name="Diff_secteurs">'[22]Loyers SCI'!$D$1:$E$2</definedName>
    <definedName name="diffpgr">[1]Saisie!$D$89</definedName>
    <definedName name="Digicode___Interphone">#REF!</definedName>
    <definedName name="directeur_g">#REF!</definedName>
    <definedName name="Disjoncteurs">#REF!</definedName>
    <definedName name="DISPOSITION_GENERALES_METRE">#REF!</definedName>
    <definedName name="DISPOSITIONS_GENERALES">#REF!</definedName>
    <definedName name="DIVERS">#REF!</definedName>
    <definedName name="divers_a_d_commerces">#REF!</definedName>
    <definedName name="DIVERS_BOIS">#REF!</definedName>
    <definedName name="Divers_Commerces">#REF!</definedName>
    <definedName name="Divers_Electricite_d_communs">#REF!</definedName>
    <definedName name="Divers_et_finitions">#REF!</definedName>
    <definedName name="Divers_menuiseries_métal">#REF!</definedName>
    <definedName name="DIVERS_METRE">#REF!</definedName>
    <definedName name="Divers_Sommaire">#REF!</definedName>
    <definedName name="docurba">'[42]Param opération'!$F$81</definedName>
    <definedName name="données">'[15]Données habitat social'!$A$11:$EX$255</definedName>
    <definedName name="Doublage_acoustique">#REF!</definedName>
    <definedName name="Doublage_acoustique_cctp">#REF!</definedName>
    <definedName name="Doublage_acoustique_sommaire">#REF!</definedName>
    <definedName name="Double_lisses">#REF!</definedName>
    <definedName name="Douche_anglaise">#REF!</definedName>
    <definedName name="dp">#REF!</definedName>
    <definedName name="Dpcomp">[1]Saisie!$D$64</definedName>
    <definedName name="DPL">[3]Paramètres!$C$8</definedName>
    <definedName name="dra">#REF!</definedName>
    <definedName name="Drain_extérieur">#REF!</definedName>
    <definedName name="Drainage">#REF!</definedName>
    <definedName name="DUREE">#REF!</definedName>
    <definedName name="Durée">#REF!</definedName>
    <definedName name="Durée_Amt">[36]Hypothèses!$C$14</definedName>
    <definedName name="Durée_location">'[22]Loyers SCI'!$F$1</definedName>
    <definedName name="DuréeAmortissement">#REF!</definedName>
    <definedName name="DuréeEmprunt">#REF!</definedName>
    <definedName name="DURfonclls">'[12]Param globaux'!#REF!</definedName>
    <definedName name="DURfoncllts">'[12]Param globaux'!#REF!</definedName>
    <definedName name="DURfoncpls">'[12]Param globaux'!#REF!</definedName>
    <definedName name="DURpretlls">'[12]Param globaux'!#REF!</definedName>
    <definedName name="DURpretllts">'[12]Param globaux'!#REF!</definedName>
    <definedName name="DURpretpls">'[12]Param globaux'!#REF!</definedName>
    <definedName name="dvoye">#REF!</definedName>
    <definedName name="E">#REF!</definedName>
    <definedName name="ecamargin">[26]Assumptions!$B$21</definedName>
    <definedName name="Echéancier_appels">'[7]Hypothèses générales'!$B$53:$B$58</definedName>
    <definedName name="Echéancier_appels_foncier">'[7]Hypothèses générales'!$B$44:$B$49</definedName>
    <definedName name="EcheancierIS">#REF!</definedName>
    <definedName name="Eclairage_extérieur">#REF!</definedName>
    <definedName name="Eclairage_extérieur_cctp">#REF!</definedName>
    <definedName name="Eclairage_exterieur_VRD">#REF!</definedName>
    <definedName name="Eclairage_extérieur_VRD">#REF!</definedName>
    <definedName name="ECS">'[42]Param opération'!$F$12</definedName>
    <definedName name="eftfpb1">[1]Résultats!$BV$61</definedName>
    <definedName name="eftpgr1">[1]Résultats!$BW$61</definedName>
    <definedName name="efzefz">[43]HYP!#REF!</definedName>
    <definedName name="ELECTRICITE">#REF!</definedName>
    <definedName name="ELECTRICITE_DES_COMMUNS">#REF!</definedName>
    <definedName name="ELECTRICITE_METRE">#REF!</definedName>
    <definedName name="Elévation_en_superstructure">#REF!</definedName>
    <definedName name="emprunt1">#REF!</definedName>
    <definedName name="emprunt2">#REF!</definedName>
    <definedName name="Encoffrement_sous_dalle">#REF!</definedName>
    <definedName name="Encoffrement_sous_dalle___soffite">#REF!</definedName>
    <definedName name="Encoffrement_vertical">#REF!</definedName>
    <definedName name="ENCOFFREMENTS">#REF!</definedName>
    <definedName name="Encoffrements__des_descentes">#REF!</definedName>
    <definedName name="End_Bal">#REF!</definedName>
    <definedName name="Enduit_avant_peinture">#REF!</definedName>
    <definedName name="Enduit_petites_surfaces">#REF!</definedName>
    <definedName name="Enduit_plâtre_sous_dalle">#REF!</definedName>
    <definedName name="Enduits">#REF!</definedName>
    <definedName name="Enduits_de_soubassement">#REF!</definedName>
    <definedName name="ENDUITS_ET_FINITIONS_METRE">#REF!</definedName>
    <definedName name="Enduits_extérieurs_ciments">#REF!</definedName>
    <definedName name="Enduits_intérieurs_ciments">#REF!</definedName>
    <definedName name="Enduits_monocouches">#REF!</definedName>
    <definedName name="Enduits_plâtre">#REF!</definedName>
    <definedName name="eng">#REF!</definedName>
    <definedName name="Eng_dur">#REF!</definedName>
    <definedName name="Engazonnement">#REF!</definedName>
    <definedName name="Enlèvement_des_gravois">#REF!</definedName>
    <definedName name="Enrobés_à_chaud">#REF!</definedName>
    <definedName name="ensemble_menuise_1">#REF!</definedName>
    <definedName name="ensemble_menuise_2">#REF!</definedName>
    <definedName name="Ensemble_RIA">#REF!</definedName>
    <definedName name="entc">[1]Résultats!$H$30</definedName>
    <definedName name="entcour">[1]Saisie!$D$88</definedName>
    <definedName name="entete1">[1]Saisie!$E$29:$E$33</definedName>
    <definedName name="Entrée_d_air_des_ouvertures">#REF!</definedName>
    <definedName name="Entretien">#REF!</definedName>
    <definedName name="Epis">#REF!</definedName>
    <definedName name="Epis_Sommaire">#REF!</definedName>
    <definedName name="Equerre_d_Etanchéité_cctp">#REF!</definedName>
    <definedName name="equityamount">[26]Assumptions!$B$14</definedName>
    <definedName name="EquivLgt">#REF!</definedName>
    <definedName name="EREC">#REF!</definedName>
    <definedName name="ESCALIER">#REF!</definedName>
    <definedName name="Escalier_2_quartiers_tournants">#REF!</definedName>
    <definedName name="Escalier_béton_type_1">#REF!</definedName>
    <definedName name="Escalier_béton_type_2">#REF!</definedName>
    <definedName name="Escalier_béton_type_3">#REF!</definedName>
    <definedName name="Escalier_béton_type_4">#REF!</definedName>
    <definedName name="Escalier_béton_type_5">#REF!</definedName>
    <definedName name="Escalier_Electricité">#REF!</definedName>
    <definedName name="ESCALIER_METALLIQUE">#REF!</definedName>
    <definedName name="Escalier_métallique">#REF!</definedName>
    <definedName name="ESCALIERS">#REF!</definedName>
    <definedName name="Escaliers_béton">#REF!</definedName>
    <definedName name="Escaliers_bois">#REF!</definedName>
    <definedName name="Escaliers_cctp">#REF!</definedName>
    <definedName name="ESCALIERS_DES_COMMUNS">#REF!</definedName>
    <definedName name="ESCALIERS_DES_LOGEMENTS">#REF!</definedName>
    <definedName name="Escaliers_des_logements_Sommaire">#REF!</definedName>
    <definedName name="ESCALIERS_POUR_IMMEUBLE">#REF!</definedName>
    <definedName name="Escaliers_pour_villa">#REF!</definedName>
    <definedName name="Essais_au_fleuret">#REF!</definedName>
    <definedName name="ETANCHEITE">#REF!</definedName>
    <definedName name="ETANCHEITE_DALLE__ACCESSIBLE_PROTECTION_DALETTES_SUR_PLOTS">#REF!</definedName>
    <definedName name="ETANCHEITE_DALLE__ACCESSIBLE_PROTECTION_EN_DUR">#REF!</definedName>
    <definedName name="ETANCHEITE_DALLE_ACCESSIBLE_cctp">#REF!</definedName>
    <definedName name="ETANCHEITE_DALLE_ACCESSIBLE_METRE">#REF!</definedName>
    <definedName name="Etancheite_dalle_accessible_protection_en_dur">#REF!</definedName>
    <definedName name="Etancheite_dalle_inaccessible">#REF!</definedName>
    <definedName name="ETANCHEITE_DALLE_NON_ACCESSIBLE_cctp">#REF!</definedName>
    <definedName name="ETANCHEITE_DALLE_NON_ACCESSIBLE_METRE">#REF!</definedName>
    <definedName name="ETANCHEITE_DALLE_VEGETALISEE_cctp">#REF!</definedName>
    <definedName name="ETANCHEITE_DALLE_VEGETALISEE_METRE">#REF!</definedName>
    <definedName name="Etanchéité_de_murs_enterrés">#REF!</definedName>
    <definedName name="Etanchéité_des_évacuations_des_EP_cctp">#REF!</definedName>
    <definedName name="Etancheite_evacuation">#REF!</definedName>
    <definedName name="Etancheite_flintkote_sommaire">#REF!</definedName>
    <definedName name="Etancheite_jardin_et_jardiniere">#REF!</definedName>
    <definedName name="ETANCHEITE_LIQUIDE">#REF!</definedName>
    <definedName name="etancheité_liquide_cctp">#REF!</definedName>
    <definedName name="ETANCHEITE_LIQUIDE_METRE">#REF!</definedName>
    <definedName name="Etancheite_liquide_Sommaire">#REF!</definedName>
    <definedName name="Etanchéité_liquide_sous_revêtements_durs.cctp">#REF!</definedName>
    <definedName name="ETANCHEITE_METRE">#REF!</definedName>
    <definedName name="Etanchéité_pour_jardinière_et_jardin_cctp">#REF!</definedName>
    <definedName name="Etanchéité_type_LANKO_594_cctp">#REF!</definedName>
    <definedName name="Etancheite_type_somdrain">#REF!</definedName>
    <definedName name="euro" localSheetId="13">#REF!</definedName>
    <definedName name="euro" localSheetId="12">#REF!</definedName>
    <definedName name="euro" localSheetId="7">#REF!</definedName>
    <definedName name="euro" localSheetId="6">#REF!</definedName>
    <definedName name="euro" localSheetId="11">#REF!</definedName>
    <definedName name="euro" localSheetId="9">#REF!</definedName>
    <definedName name="euro" localSheetId="0">#REF!</definedName>
    <definedName name="euro" localSheetId="1">#REF!</definedName>
    <definedName name="euro" localSheetId="3">#REF!</definedName>
    <definedName name="euro" localSheetId="10">#REF!</definedName>
    <definedName name="euro" localSheetId="4">#REF!</definedName>
    <definedName name="euro" localSheetId="5">#REF!</definedName>
    <definedName name="euro" localSheetId="2">#REF!</definedName>
    <definedName name="euro" localSheetId="8">#REF!</definedName>
    <definedName name="euro" localSheetId="14">#REF!</definedName>
    <definedName name="Euro">#REF!</definedName>
    <definedName name="Evacuation_des_terres">#REF!</definedName>
    <definedName name="Evacuations_verticales">#REF!</definedName>
    <definedName name="Evier">#REF!</definedName>
    <definedName name="EXCH_RATE">[17]Modele!$E$6</definedName>
    <definedName name="existenceADF">#REF!</definedName>
    <definedName name="exotfpb">[1]Saisie!$C$92</definedName>
    <definedName name="Exploitation_de_l_installation">#REF!</definedName>
    <definedName name="EXTERIEUR">#REF!</definedName>
    <definedName name="Extérieur">#REF!</definedName>
    <definedName name="Extra_Pay">#REF!</definedName>
    <definedName name="F">#REF!</definedName>
    <definedName name="FACADE_DE_GAINE_TECHNIQUE">#REF!</definedName>
    <definedName name="Façades_de_gaines_techniques">#REF!</definedName>
    <definedName name="Facde_de_gaine_technique">#REF!</definedName>
    <definedName name="FACTURATION">#REF!</definedName>
    <definedName name="FAIENCE_DES_COMMERCES">#REF!</definedName>
    <definedName name="FAIENCE_DES_COMMUNS">#REF!</definedName>
    <definedName name="FAIENCE_LOGEMENT">#REF!</definedName>
    <definedName name="Faience_logement_Sommaire">#REF!</definedName>
    <definedName name="Faïences_commerces_cctp">#REF!</definedName>
    <definedName name="Faïences_communs_cctp">#REF!</definedName>
    <definedName name="Faïences_logemnts_cctp">#REF!</definedName>
    <definedName name="Faux_plafond_cctp">#REF!</definedName>
    <definedName name="Faux_plafond_en_plaques_de_plâtre">#REF!</definedName>
    <definedName name="Faux_plafond_en_plaques_de_plâtre_avec_isolant">#REF!</definedName>
    <definedName name="FAUX_PLAFOND_METRE">#REF!</definedName>
    <definedName name="Faux_plafond_minéral">#REF!</definedName>
    <definedName name="FAUX_PLAFONDS">#REF!</definedName>
    <definedName name="Faux_plafonds_extérieurs">#REF!</definedName>
    <definedName name="FAUX_PLAFONDS_EXTERIEURS__SOUS_TÔLE">#REF!</definedName>
    <definedName name="Faux_plafonds_exterieurs__sous_tole__Sommaire">#REF!</definedName>
    <definedName name="Faux_plafonds_mineral__sous_dalle">#REF!</definedName>
    <definedName name="FAUX_PLAFONDS_MINERAL__SOUS_TÔLE">#REF!</definedName>
    <definedName name="Faux_plafonds_mineral__sous_tole_Sommaire">#REF!</definedName>
    <definedName name="FAUX_PLAFONDS_PLACOPLATRE___ISOLATION__SOUS_TÔLE">#REF!</definedName>
    <definedName name="Faux_plafonds_placoplatre___isolation__sous_tole_Sommaire">#REF!</definedName>
    <definedName name="Faux_plafonds_placoplatre__sous_dalle">#REF!</definedName>
    <definedName name="Faux_plafonds_placoplatre__sous_tole">#REF!</definedName>
    <definedName name="fef">[43]HYP!#REF!</definedName>
    <definedName name="Fenêtre_1_vantail">#REF!</definedName>
    <definedName name="Fenêtre_2_vantaux">#REF!</definedName>
    <definedName name="Fenêtre_coulissante">#REF!</definedName>
    <definedName name="Fenêtre_de_toit">#REF!</definedName>
    <definedName name="Fenetre_de_toit__VELUX">#REF!</definedName>
    <definedName name="fenêtre_de_toit_cctp">#REF!</definedName>
    <definedName name="Fenêtre_persiennée">#REF!</definedName>
    <definedName name="Fenetres">#REF!</definedName>
    <definedName name="Fenetres_alu">#REF!</definedName>
    <definedName name="FENETRES_BOIS">#REF!</definedName>
    <definedName name="Fenêtres_vitrées">#REF!</definedName>
    <definedName name="FERMONTE">#REF!</definedName>
    <definedName name="Feutre_anti_condensation">#REF!</definedName>
    <definedName name="Feutre_anti_condensation_sommaire">#REF!</definedName>
    <definedName name="fezfzef" hidden="1">{"Hyp&amp;Res",#N/A,TRUE,"Modele";"LO CF USD",#N/A,TRUE,"Modele";"LO CF EUR",#N/A,TRUE,"Modele";"LO P&amp;L",#N/A,TRUE,"Modele";"BNPP Tax Situation",#N/A,TRUE,"Modele";"BNPP ATR",#N/A,TRUE,"Modele";"Schedule",#N/A,TRUE,"Modele";"BNP Paribas CF",#N/A,TRUE,"Modele";"FeeSharing",#N/A,TRUE,"Modele";"Equity Use",#N/A,TRUE,"IRR Exim";"Balance Sheet",#N/A,TRUE,"IRR Exim";"TVs",#N/A,TRUE,"IRR Exim";"IRR SIA",#N/A,TRUE,"IRR Exim";"IRR SAI EXIM",#N/A,TRUE,"IRR Exim";"TV calc 2",#N/A,TRUE,"IRR Exim";"TVcalc1",#N/A,TRUE,"IRR Exim"}</definedName>
    <definedName name="ff" hidden="1">{#N/A,#N/A,FALSE,"Gain Fiscal";#N/A,#N/A,FALSE,"CR";#N/A,#N/A,FALSE,"Bilan";#N/A,#N/A,FALSE,"Trésorerie";#N/A,#N/A,FALSE,"Prêt-Emprunt";#N/A,#N/A,FALSE,"Swap"}</definedName>
    <definedName name="fff" hidden="1">{#N/A,#N/A,FALSE,"Gain Fiscal";#N/A,#N/A,FALSE,"CR";#N/A,#N/A,FALSE,"Bilan";#N/A,#N/A,FALSE,"Trésorerie";#N/A,#N/A,FALSE,"Prêt-Emprunt";#N/A,#N/A,FALSE,"Swap"}</definedName>
    <definedName name="FFX">#REF!</definedName>
    <definedName name="FG">[3]Paramètres!$C$10</definedName>
    <definedName name="fgest">[1]Résultats!$H$31</definedName>
    <definedName name="fiche">'[15]fiche opé'!$A$1:$Q$65</definedName>
    <definedName name="FINANCT">[15]Listes!$J$4:$J$15</definedName>
    <definedName name="finautres">#REF!</definedName>
    <definedName name="findiv">#REF!</definedName>
    <definedName name="FINITIONS">#REF!</definedName>
    <definedName name="FINITIONS_Sommaire">#REF!</definedName>
    <definedName name="FITO">[1]Saisie!$F$49</definedName>
    <definedName name="FLUX">'[44]TRI SORTIE CDC 2026'!$C$16:$P$16</definedName>
    <definedName name="Flux_gestion">'[22]Loyers SCI'!$L$11:$L$681</definedName>
    <definedName name="Flux_loyers">'[22]Loyers SCI'!$J$11:$J$681</definedName>
    <definedName name="Flux_mandat">'[22]Loyers SCI'!$M$11:$M$681</definedName>
    <definedName name="Flux_travaux">'[24]Loyers SCI'!#REF!</definedName>
    <definedName name="FLUX2">'[44]TRI SORTIE CDC 2021'!$C$16:$K$16</definedName>
    <definedName name="FONCIER">[15]Listes!$K$4:$K$41</definedName>
    <definedName name="Forme_de_pente">#REF!</definedName>
    <definedName name="Fosse_ascenseur">#REF!</definedName>
    <definedName name="Fosse_de_relevage">#REF!</definedName>
    <definedName name="Fosse_septique">#REF!</definedName>
    <definedName name="Fouilles_en_terrain_rocheux">#REF!</definedName>
    <definedName name="Fouilles_en_terrain_rocheux_cctp">#REF!</definedName>
    <definedName name="Fouilles_en_terrain_rocheux_cctp_go">#REF!</definedName>
    <definedName name="Fouilles_pour_réalisation_des_fondations">#REF!</definedName>
    <definedName name="Fouilles_pour_réseaux">#REF!</definedName>
    <definedName name="FP_LLS">#REF!</definedName>
    <definedName name="FP_LLTS">#REF!</definedName>
    <definedName name="FPO">[1]Saisie!$F$60</definedName>
    <definedName name="FPRO">[3]Programme!$B$19</definedName>
    <definedName name="FPsf">'[45]Prix rev.CE'!#REF!</definedName>
    <definedName name="FPsolaire">[1]Saisie!$D$70</definedName>
    <definedName name="FRAFU_LLS">#REF!</definedName>
    <definedName name="FRAFU_LLTS">#REF!</definedName>
    <definedName name="Frais_commercialisation">'[7]Hypothèses générales'!#REF!</definedName>
    <definedName name="Frais_notaire">[7]Infos!$C$40</definedName>
    <definedName name="franc">#REF!</definedName>
    <definedName name="FSbat">'[29]Tableau financier'!$A$55</definedName>
    <definedName name="Full_Print">'[33]BFC 2  2009'!$A$1:$I$212</definedName>
    <definedName name="G">#REF!</definedName>
    <definedName name="GALANDAGE">#REF!</definedName>
    <definedName name="Garage">#REF!</definedName>
    <definedName name="Garantie">[11]Modele!#REF!</definedName>
    <definedName name="GARANTIEcglls">'[9]Param opération'!$F$70</definedName>
    <definedName name="garanties_emprunts">[15]Listes!$M$4:$M$7</definedName>
    <definedName name="Garde_corp_Métal">#REF!</definedName>
    <definedName name="GARDE_CORPS">#REF!</definedName>
    <definedName name="Garde_corps_alu">#REF!</definedName>
    <definedName name="garde_corps_bois_cctp">#REF!</definedName>
    <definedName name="GARDE_CORPS_METAL">#REF!</definedName>
    <definedName name="garde_corps_metal_cctp">#REF!</definedName>
    <definedName name="Garde_corps_Sommaire">#REF!</definedName>
    <definedName name="Gardes_corps">#REF!</definedName>
    <definedName name="Gardes_corps___Murets_beton">#REF!</definedName>
    <definedName name="Gardes_corps_aluminium">#REF!</definedName>
    <definedName name="Gardes_corps_bois">#REF!</definedName>
    <definedName name="gen_couverture">#REF!</definedName>
    <definedName name="Généralités">#REF!</definedName>
    <definedName name="généralités_charpente">#REF!</definedName>
    <definedName name="Généralités_go">#REF!</definedName>
    <definedName name="GENERALITES_METRE">#REF!</definedName>
    <definedName name="GENERALITES_revetements_durs_cctp">#REF!</definedName>
    <definedName name="Généralités_som">#REF!</definedName>
    <definedName name="Généralités_sommaire">#REF!</definedName>
    <definedName name="Génie_civil_pour_poste_transformateur">#REF!</definedName>
    <definedName name="GEOMETRE">'[12]Param opération'!#REF!</definedName>
    <definedName name="GEOTECH">'[12]Param opération'!#REF!</definedName>
    <definedName name="gestadm">[1]Saisie!$D$87</definedName>
    <definedName name="gf">#REF!</definedName>
    <definedName name="Glace_miroir">#REF!</definedName>
    <definedName name="Goutiere_Sommaire">#REF!</definedName>
    <definedName name="Gouttière">#REF!</definedName>
    <definedName name="GOUTTIERE_METRE">#REF!</definedName>
    <definedName name="Gouttières_aluminium">#REF!</definedName>
    <definedName name="Gouttières_PVC">#REF!</definedName>
    <definedName name="Grillage_simple_torsion_type_axial">#REF!</definedName>
    <definedName name="Grilles_de_protection">#REF!</definedName>
    <definedName name="Grilles_de_ventilation">#REF!</definedName>
    <definedName name="Gros_béton">#REF!</definedName>
    <definedName name="Gros_béton___redans">#REF!</definedName>
    <definedName name="GROS_ŒUVRE">#REF!</definedName>
    <definedName name="GROS_OEUVRE_METRE">#REF!</definedName>
    <definedName name="Grosse_serrurerie">#REF!</definedName>
    <definedName name="H">#REF!</definedName>
    <definedName name="Habillage_des_halls">#REF!</definedName>
    <definedName name="Habillages_bois">#REF!</definedName>
    <definedName name="Haies_arbustives___Arbustes">#REF!</definedName>
    <definedName name="Header_Row" localSheetId="13">ROW('[33]BFC 2  2009'!$17:$17)</definedName>
    <definedName name="Header_Row" localSheetId="12">ROW('[33]BFC 2  2009'!$17:$17)</definedName>
    <definedName name="Header_Row" localSheetId="7">ROW('[33]BFC 2  2009'!$17:$17)</definedName>
    <definedName name="Header_Row" localSheetId="6">ROW('[33]BFC 2  2009'!$17:$17)</definedName>
    <definedName name="Header_Row" localSheetId="11">ROW('[33]BFC 2  2009'!$17:$17)</definedName>
    <definedName name="Header_Row" localSheetId="9">ROW('[33]BFC 2  2009'!$17:$17)</definedName>
    <definedName name="Header_Row" localSheetId="1">ROW('[33]BFC 2  2009'!$17:$17)</definedName>
    <definedName name="Header_Row" localSheetId="3">ROW('[33]BFC 2  2009'!$17:$17)</definedName>
    <definedName name="Header_Row" localSheetId="10">ROW('[33]BFC 2  2009'!$17:$17)</definedName>
    <definedName name="Header_Row" localSheetId="4">ROW('[33]BFC 2  2009'!$17:$17)</definedName>
    <definedName name="Header_Row" localSheetId="5">ROW('[33]BFC 2  2009'!$17:$17)</definedName>
    <definedName name="Header_Row" localSheetId="2">ROW('[33]BFC 2  2009'!$17:$17)</definedName>
    <definedName name="Header_Row" localSheetId="8">ROW('[33]BFC 2  2009'!$17:$17)</definedName>
    <definedName name="Header_Row" localSheetId="14">ROW('[33]BFC 2  2009'!$17:$17)</definedName>
    <definedName name="Header_Row">ROW('[33]BFC 2  2009'!$17:$17)</definedName>
    <definedName name="Hérissonnage">#REF!</definedName>
    <definedName name="Herissonnage_sommaire">#REF!</definedName>
    <definedName name="hhd">[17]Modele!#REF!</definedName>
    <definedName name="Honoraires">'[7]Hypothèses générales'!#REF!</definedName>
    <definedName name="Hottes_d_extraction_d_air_des_cuisines__maison_et_appartement">#REF!</definedName>
    <definedName name="Hublot_basculant">#REF!</definedName>
    <definedName name="Hublot_décoratif">#REF!</definedName>
    <definedName name="Hublots_étanches_sur_détecteur_de_présence">#REF!</definedName>
    <definedName name="Hublots_étanches_sur_télérupteur">#REF!</definedName>
    <definedName name="Huisserie">#REF!</definedName>
    <definedName name="Hypothése_inflation">'[7]Hypothèses générales'!$F$42</definedName>
    <definedName name="I">#REF!</definedName>
    <definedName name="ICC">[3]Paramètres!$C$5</definedName>
    <definedName name="Image">[1]Saisie!$D$141:$D$143</definedName>
    <definedName name="Imperméabilisation">#REF!</definedName>
    <definedName name="impfonc">[1]Résultats!$H$32</definedName>
    <definedName name="Implantation">#REF!</definedName>
    <definedName name="Implantation__Piquetage">#REF!</definedName>
    <definedName name="Implantation_des_ouvrages">#REF!</definedName>
    <definedName name="Imposition_NC">#REF!</definedName>
    <definedName name="Imprégnation_gravillonnée_et_bicouche">#REF!</definedName>
    <definedName name="IMPRIMERIE">#REF!</definedName>
    <definedName name="indchge">[1]Résultats!$J$30</definedName>
    <definedName name="indchge2">[1]Résultats!$K$30</definedName>
    <definedName name="Indéxation_Loyer">#REF!</definedName>
    <definedName name="INDIANA">#REF!</definedName>
    <definedName name="indinv">[1]Résultats!$J$34</definedName>
    <definedName name="indloy">[1]Résultats!$J$26</definedName>
    <definedName name="IndtaxPCcom">'[9]Param opération'!$F$42</definedName>
    <definedName name="IndtaxPClgt">'[9]Param opération'!$F$41</definedName>
    <definedName name="indtfpb">[1]Résultats!$J$32</definedName>
    <definedName name="indtfpb2">[1]Résultats!$K$32</definedName>
    <definedName name="INFRASTRUCTURE">#REF!</definedName>
    <definedName name="INFRASTRUCTURE_METRE">#REF!</definedName>
    <definedName name="INFRASTRUCTURE_SOMMAIRE">#REF!</definedName>
    <definedName name="Insatallation_de_chantier_cctp_go">#REF!</definedName>
    <definedName name="InseeN">#REF!</definedName>
    <definedName name="InseeO">[1]Saisie!$C$29</definedName>
    <definedName name="inst">#REF!</definedName>
    <definedName name="inst_dur">#REF!</definedName>
    <definedName name="Installation_de_chantier">#REF!</definedName>
    <definedName name="Int">#REF!</definedName>
    <definedName name="Interest_Rate">#REF!</definedName>
    <definedName name="INTERETS">[1]Saisie!$F$11:$F$35</definedName>
    <definedName name="Intérêts_foncier">'[7]Echéancier d''emprunt foncier'!$M$2:$M$254</definedName>
    <definedName name="Intérêts_travaux">'[7]Echéancier d''emprunt travaux'!$M$2:$M$254</definedName>
    <definedName name="Interrupteur_différentiels_30_mA">#REF!</definedName>
    <definedName name="Interrupteurs_généraux_des_tableaux">#REF!</definedName>
    <definedName name="intinte">[1]Saisie!$E$48</definedName>
    <definedName name="Intitulé_produits">#REF!</definedName>
    <definedName name="INV">[32]HYP!#REF!</definedName>
    <definedName name="Investissement">#REF!</definedName>
    <definedName name="IR">'[22]Hypothèses Investissement'!$J$38</definedName>
    <definedName name="IS">[36]Hypothèses!$M$4</definedName>
    <definedName name="IS_1">#REF!</definedName>
    <definedName name="IS_2">#REF!</definedName>
    <definedName name="IS_3">#REF!</definedName>
    <definedName name="Isolation_phonique_cctp">#REF!</definedName>
    <definedName name="Jalousies">#REF!</definedName>
    <definedName name="Jambage_évier">#REF!</definedName>
    <definedName name="JARDIN">#REF!</definedName>
    <definedName name="Joint_de_dilatation_cctp">#REF!</definedName>
    <definedName name="Joints_de_dilatation">#REF!</definedName>
    <definedName name="Jupe_de_baignoire">#REF!</definedName>
    <definedName name="kffatl">#REF!</definedName>
    <definedName name="kffbe">#REF!</definedName>
    <definedName name="kffgf">#REF!</definedName>
    <definedName name="kffmo">#REF!</definedName>
    <definedName name="kffpf">#REF!</definedName>
    <definedName name="kffra">#REF!</definedName>
    <definedName name="kffstt">#REF!</definedName>
    <definedName name="khcatl">#REF!</definedName>
    <definedName name="khcbe">#REF!</definedName>
    <definedName name="khcgf">#REF!</definedName>
    <definedName name="khcmo">#REF!</definedName>
    <definedName name="khcpf">#REF!</definedName>
    <definedName name="khcra">#REF!</definedName>
    <definedName name="khcstt">#REF!</definedName>
    <definedName name="klp">[1]Saisie!$F$101</definedName>
    <definedName name="kratl">#REF!</definedName>
    <definedName name="krbe">#REF!</definedName>
    <definedName name="krgf">#REF!</definedName>
    <definedName name="krmo">#REF!</definedName>
    <definedName name="krpf">#REF!</definedName>
    <definedName name="krra">#REF!</definedName>
    <definedName name="krstt">#REF!</definedName>
    <definedName name="kv_d">#REF!</definedName>
    <definedName name="kvf">#REF!</definedName>
    <definedName name="KVMOEX">#REF!</definedName>
    <definedName name="KVMOL">#REF!</definedName>
    <definedName name="KVVMO">#REF!</definedName>
    <definedName name="L.Com">#REF!</definedName>
    <definedName name="L.max">#REF!</definedName>
    <definedName name="L.maxLLS">#REF!</definedName>
    <definedName name="L.maxLLTS">#REF!</definedName>
    <definedName name="Lambrequin">#REF!</definedName>
    <definedName name="Lambrequins">#REF!</definedName>
    <definedName name="Last_Row" localSheetId="13">IF(Amortissements!Values_Entered,Amortissements!Header_Row+Amortissements!Number_of_Payments,Amortissements!Header_Row)</definedName>
    <definedName name="Last_Row" localSheetId="12">IF(Assurance!Values_Entered,Assurance!Header_Row+Assurance!Number_of_Payments,Assurance!Header_Row)</definedName>
    <definedName name="Last_Row" localSheetId="7">IF(Equipements!Values_Entered,Equipements!Header_Row+Equipements!Number_of_Payments,Equipements!Header_Row)</definedName>
    <definedName name="Last_Row" localSheetId="6">IF(GER!Values_Entered,GER!Header_Row+GER!Number_of_Payments,GER!Header_Row)</definedName>
    <definedName name="Last_Row" localSheetId="11">IF('Impôts et taxes'!Values_Entered,'Impôts et taxes'!Header_Row+'Impôts et taxes'!Number_of_Payments,'Impôts et taxes'!Header_Row)</definedName>
    <definedName name="Last_Row" localSheetId="9">IF(LOYERS!Values_Entered,LOYERS!Header_Row+LOYERS!Number_of_Payments,LOYERS!Header_Row)</definedName>
    <definedName name="Last_Row" localSheetId="0">IF('Modèle financier'!Values_Entered,Header_Row+'Modèle financier'!Number_of_Payments,Header_Row)</definedName>
    <definedName name="Last_Row" localSheetId="1">IF('Plan de financement'!Values_Entered,'Plan de financement'!Header_Row+'Plan de financement'!Number_of_Payments,'Plan de financement'!Header_Row)</definedName>
    <definedName name="Last_Row" localSheetId="3">IF('Plan de trésorerie'!Values_Entered,'Plan de trésorerie'!Header_Row+'Plan de trésorerie'!Number_of_Payments,'Plan de trésorerie'!Header_Row)</definedName>
    <definedName name="Last_Row" localSheetId="10">IF('PLS 40 ans Tr'!Values_Entered,'PLS 40 ans Tr'!Header_Row+'PLS 40 ans Tr'!Number_of_Payments,'PLS 40 ans Tr'!Header_Row)</definedName>
    <definedName name="Last_Row" localSheetId="4">IF(PRD!Values_Entered,PRD!Header_Row+PRD!Number_of_Payments,PRD!Header_Row)</definedName>
    <definedName name="Last_Row" localSheetId="5">IF(Préfinancement!Values_Entered,Préfinancement!Header_Row+Préfinancement!Number_of_Payments,Préfinancement!Header_Row)</definedName>
    <definedName name="Last_Row" localSheetId="2">IF('Prix de revient'!Values_Entered,'Prix de revient'!Header_Row+'Prix de revient'!Number_of_Payments,'Prix de revient'!Header_Row)</definedName>
    <definedName name="Last_Row" localSheetId="8">IF('Remplacement de composants'!Values_Entered,'Remplacement de composants'!Header_Row+'Remplacement de composants'!Number_of_Payments,'Remplacement de composants'!Header_Row)</definedName>
    <definedName name="Last_Row" localSheetId="14">IF('Reprise subvent°'!Values_Entered,'Reprise subvent°'!Header_Row+'Reprise subvent°'!Number_of_Payments,'Reprise subvent°'!Header_Row)</definedName>
    <definedName name="Last_Row">IF(Values_Entered,Header_Row+Number_of_Payments,Header_Row)</definedName>
    <definedName name="Lasure">#REF!</definedName>
    <definedName name="Lasure_Peinture">#REF!</definedName>
    <definedName name="Lavabo_simple">#REF!</definedName>
    <definedName name="Lave_main">#REF!</definedName>
    <definedName name="LBU.LLS">#REF!</definedName>
    <definedName name="LBU.LLTS">#REF!</definedName>
    <definedName name="LBU_FRAFU">#REF!</definedName>
    <definedName name="LBU_SF">#REF!</definedName>
    <definedName name="LBU_Tot">#REF!</definedName>
    <definedName name="LBUacqui">'[12]Param opération'!#REF!</definedName>
    <definedName name="LIBELLE">'[37]Suivi décaissement'!$H$11:$H$65</definedName>
    <definedName name="LIBELLE_DE_LA_FACTURE">#REF!</definedName>
    <definedName name="Libor">[36]Hypothèses!#REF!</definedName>
    <definedName name="Liernes___Platines___Contreventements">#REF!</definedName>
    <definedName name="Liernes_et_contreventements">#REF!</definedName>
    <definedName name="ligne_aluminium_fin">#REF!</definedName>
    <definedName name="ligne_bois_fin">#REF!</definedName>
    <definedName name="ligne_menuiserie_aluminium">#REF!</definedName>
    <definedName name="ligne_menuiserie_bois">#REF!</definedName>
    <definedName name="ligne_menuiserie_metal">#REF!</definedName>
    <definedName name="ligne_metal_fin">#REF!</definedName>
    <definedName name="LIGNES_SUPPLEMENTAIRES__CHARPENTE_COUVERTURE">#REF!</definedName>
    <definedName name="Lignes_supplémentaires__Charpente_Couverture__Sommaire">#REF!</definedName>
    <definedName name="LIGNES_SUPPLEMENTAIRES__ELECTRICITE">#REF!</definedName>
    <definedName name="LIGNES_SUPPLEMENTAIRES__ETANCHEITE">#REF!</definedName>
    <definedName name="LIGNES_SUPPLEMENTAIRES__FAUX_PLAFOND">#REF!</definedName>
    <definedName name="LIGNES_SUPPLEMENTAIRES__GROS_ŒUVRE">#REF!</definedName>
    <definedName name="Lignes_supplémentaires__gros_oeuvre__Sommaire">#REF!</definedName>
    <definedName name="LIGNES_SUPPLEMENTAIRES__MENUISERIE_ALUMINIUM">#REF!</definedName>
    <definedName name="LIGNES_SUPPLEMENTAIRES__MENUISERIE_METAL">#REF!</definedName>
    <definedName name="LIGNES_SUPPLEMENTAIRES__PEINTURE">#REF!</definedName>
    <definedName name="LIGNES_SUPPLEMENTAIRES__PLOMBERIE">#REF!</definedName>
    <definedName name="LIGNES_SUPPLEMENTAIRES__REVETEMENT_SOUPLE">#REF!</definedName>
    <definedName name="LIGNES_SUPPLEMENTAIRES__REVETEMENTS_DURS">#REF!</definedName>
    <definedName name="LIGNES_SUPPLEMENTAIRES__VRD">#REF!</definedName>
    <definedName name="limcount" hidden="1">1</definedName>
    <definedName name="Linéaire">#REF!</definedName>
    <definedName name="Lisse__1_tube">#REF!</definedName>
    <definedName name="Liste_périodicité">'[22]Loyers SCI'!$A$1:$B$4</definedName>
    <definedName name="llp">[1]Saisie!$F$99</definedName>
    <definedName name="LLTS_p.a">#REF!</definedName>
    <definedName name="LMDom">#REF!</definedName>
    <definedName name="LMDomTS">#REF!</definedName>
    <definedName name="Loan_Amount">#REF!</definedName>
    <definedName name="Loan_Start">#REF!</definedName>
    <definedName name="Loan_Years">#REF!</definedName>
    <definedName name="Longrines_et_beches">#REF!</definedName>
    <definedName name="Loyer">[17]Modele!#REF!</definedName>
    <definedName name="loyer_annéeMES">[1]Résultats!$H$43</definedName>
    <definedName name="loyerequil">[1]Saisie!$F$104</definedName>
    <definedName name="loyerplaf">[1]Saisie!$F$102</definedName>
    <definedName name="loyerplan">[1]Saisie!$F$100</definedName>
    <definedName name="Loyers">'[22]Loyers SCI'!$G$11:$S$681</definedName>
    <definedName name="Loyers_SCI">'[22]Loyers SCI'!$J$11:$J$301</definedName>
    <definedName name="LP_LLS">#REF!</definedName>
    <definedName name="LP_LLTS">#REF!</definedName>
    <definedName name="LPRAT">'[45]Par. Op.'!$F$206</definedName>
    <definedName name="LVPOWER">#REF!</definedName>
    <definedName name="MACONNERIE">#REF!</definedName>
    <definedName name="Maçonnerie_d_agglos">#REF!</definedName>
    <definedName name="MACONNERIE_METRE">#REF!</definedName>
    <definedName name="Macro10">[46]!Macro3</definedName>
    <definedName name="Macro3">[47]!Macro3</definedName>
    <definedName name="Macro4">[47]!Macro4</definedName>
    <definedName name="Main_courante">#REF!</definedName>
    <definedName name="Main_courante_métal_cctp">#REF!</definedName>
    <definedName name="MAINS_COURANTE">#REF!</definedName>
    <definedName name="MAINS_COURANTE___LISSES">#REF!</definedName>
    <definedName name="Mains_courante_lisses_alu">#REF!</definedName>
    <definedName name="maitrise_foncier">[15]Listes!$D$32:$D$41</definedName>
    <definedName name="maj">#REF!</definedName>
    <definedName name="MAJecs">'[9]Param globaux'!$J$7</definedName>
    <definedName name="Marches_escalier">#REF!</definedName>
    <definedName name="Marches_escalier_sommaire">#REF!</definedName>
    <definedName name="Marquage_au_sol">#REF!</definedName>
    <definedName name="Marquage_au_sol_Peinture">#REF!</definedName>
    <definedName name="mass">#REF!</definedName>
    <definedName name="MATL">#REF!</definedName>
    <definedName name="MATR">#REF!</definedName>
    <definedName name="matrice">#REF!</definedName>
    <definedName name="MDIVC">#REF!</definedName>
    <definedName name="MEMB">#REF!</definedName>
    <definedName name="menuisé1">#REF!</definedName>
    <definedName name="MENUISERIE_ALUMI">#REF!</definedName>
    <definedName name="MENUISERIE_ALUMINIUM">#REF!</definedName>
    <definedName name="menuiserie_aluminium_1">#REF!</definedName>
    <definedName name="MENUISERIE_ALUMINIUM_METRE">#REF!</definedName>
    <definedName name="menuiserie_bois_1">#REF!</definedName>
    <definedName name="MENUISERIE_BOIS_METAL">#REF!</definedName>
    <definedName name="MENUISERIE_BOIS_METAL_METRE">#REF!</definedName>
    <definedName name="MENUISERIE_BOIS_METRE">#REF!</definedName>
    <definedName name="MENUISERIE_EXTERIEURE_ALU">#REF!</definedName>
    <definedName name="MENUISERIE_EXTERIEURE_BOIS">#REF!</definedName>
    <definedName name="MENUISERIE_EXTERIEURE_METAL">#REF!</definedName>
    <definedName name="MENUISERIE_INTERIEURE_ALU">#REF!</definedName>
    <definedName name="MENUISERIE_INTERIEURE_BOIS">#REF!</definedName>
    <definedName name="MENUISERIE_INTERIEURE_METAL">#REF!</definedName>
    <definedName name="menuiserie_metal_1">#REF!</definedName>
    <definedName name="MENUISERIE_NON_DEDUITE_DE_LA_MACONNERIE">#REF!</definedName>
    <definedName name="MENUISERIE_NON_DEDUITE_DE_LA_MACONNERIE_ALU">#REF!</definedName>
    <definedName name="MENUISERIE_NON_DEDUITE_DE_LA_MACONNERIE_METAL">#REF!</definedName>
    <definedName name="menuiserie1">#REF!</definedName>
    <definedName name="menuiserie2">#REF!</definedName>
    <definedName name="MENUISERIES_ALUMINIUM">#REF!</definedName>
    <definedName name="MENUISERIES_BOIS">#REF!</definedName>
    <definedName name="menuiseries_bois_cctp">#REF!</definedName>
    <definedName name="MENUISERIES_METAL_METRE">#REF!</definedName>
    <definedName name="MENUISERIES_METALLIQUE">#REF!</definedName>
    <definedName name="MENUISERIES_METALLIQUES">#REF!</definedName>
    <definedName name="Meubles_vasques">#REF!</definedName>
    <definedName name="MFAX">#REF!</definedName>
    <definedName name="mfraish">#REF!</definedName>
    <definedName name="mfraism">#REF!</definedName>
    <definedName name="MGC">#REF!</definedName>
    <definedName name="MGFU">#REF!</definedName>
    <definedName name="million">'[48]Compta - RBT'!$B$9</definedName>
    <definedName name="MINERAL">#REF!</definedName>
    <definedName name="Miroir">#REF!</definedName>
    <definedName name="MMAN">#REF!</definedName>
    <definedName name="mmax">[1]Saisie!$D$26</definedName>
    <definedName name="mmaxi">[1]Saisie!$F$26</definedName>
    <definedName name="mmocc">#REF!</definedName>
    <definedName name="mmoh">#REF!</definedName>
    <definedName name="mmol">#REF!</definedName>
    <definedName name="mnour">#REF!</definedName>
    <definedName name="mnourh">#REF!</definedName>
    <definedName name="mnourm">#REF!</definedName>
    <definedName name="MntLT">'[22]Hypothèses Investissement'!$E$58</definedName>
    <definedName name="mo">#REF!</definedName>
    <definedName name="Modénature_sur_murs">#REF!</definedName>
    <definedName name="MOELLONS">#REF!</definedName>
    <definedName name="Moellons_VRD">#REF!</definedName>
    <definedName name="MONTANT">#REF!</definedName>
    <definedName name="montant_eligible">#REF!</definedName>
    <definedName name="montant_eligible_LLS">#REF!</definedName>
    <definedName name="montant_eligible_LLTS">#REF!</definedName>
    <definedName name="Montant_pen_foncier">'[7]Echéancier d''emprunt foncier'!$B$18</definedName>
    <definedName name="Montant_pen_travaux">'[7]Echéancier d''emprunt travaux'!$B$18</definedName>
    <definedName name="Montant_travaux">'[7]Hypothèses Investisseur'!$G$18</definedName>
    <definedName name="MontantDefiscalisation">'[37]Suivi décaissement'!$R$11:$R$65</definedName>
    <definedName name="MontantPret">'[37]Suivi décaissement'!$O$11:$O$65</definedName>
    <definedName name="MOUT">#REF!</definedName>
    <definedName name="MPFU">#REF!</definedName>
    <definedName name="MSTT">#REF!</definedName>
    <definedName name="MTR">#REF!</definedName>
    <definedName name="MUR_PORTEUR">#REF!</definedName>
    <definedName name="Murets_béton">#REF!</definedName>
    <definedName name="Murets_en_moellons">#REF!</definedName>
    <definedName name="Murs_de_gaine_technique">#REF!</definedName>
    <definedName name="Murs_de_gaine_technique__agglos">#REF!</definedName>
    <definedName name="Murs_de_soutènement__voiles">#REF!</definedName>
    <definedName name="Murs_en_agglomérés">#REF!</definedName>
    <definedName name="Murs_périphériques__voiles">#REF!</definedName>
    <definedName name="mveh">#REF!</definedName>
    <definedName name="mvilla">#REF!</definedName>
    <definedName name="mvillah">#REF!</definedName>
    <definedName name="mvillam">#REF!</definedName>
    <definedName name="N">'[49]Plan de financement'!#REF!</definedName>
    <definedName name="nac">[26]Assumptions!$B$5</definedName>
    <definedName name="NB">'[22]Loyers SCI'!$F$12:$F$681</definedName>
    <definedName name="NBLA">'[50]compar.'!$E$6</definedName>
    <definedName name="NBLOGT">'[37]Suivi décaissement'!$L$11:$L$65</definedName>
    <definedName name="nblogts">#REF!</definedName>
    <definedName name="nbpertes">[1]Résultats!$AX$51</definedName>
    <definedName name="nbpertespf">[1]Résultats!$BA$51</definedName>
    <definedName name="Nbre" localSheetId="13">'[49]Plan de financement'!#REF!</definedName>
    <definedName name="Nbre" localSheetId="12">'[49]Plan de financement'!#REF!</definedName>
    <definedName name="Nbre" localSheetId="7">'[49]Plan de financement'!#REF!</definedName>
    <definedName name="Nbre" localSheetId="6">'[49]Plan de financement'!#REF!</definedName>
    <definedName name="Nbre" localSheetId="11">'[49]Plan de financement'!#REF!</definedName>
    <definedName name="Nbre" localSheetId="9">'[49]Plan de financement'!#REF!</definedName>
    <definedName name="Nbre" localSheetId="0">'[49]Plan de financement'!#REF!</definedName>
    <definedName name="Nbre" localSheetId="1">'Plan de financement'!#REF!</definedName>
    <definedName name="Nbre" localSheetId="3">'[49]Plan de financement'!#REF!</definedName>
    <definedName name="Nbre" localSheetId="10">'[49]Plan de financement'!#REF!</definedName>
    <definedName name="Nbre" localSheetId="4">'[49]Plan de financement'!#REF!</definedName>
    <definedName name="Nbre" localSheetId="5">'[49]Plan de financement'!#REF!</definedName>
    <definedName name="Nbre" localSheetId="2">'[49]Plan de financement'!#REF!</definedName>
    <definedName name="Nbre" localSheetId="8">'[49]Plan de financement'!#REF!</definedName>
    <definedName name="Nbre" localSheetId="14">'[49]Plan de financement'!#REF!</definedName>
    <definedName name="Nbre">#REF!</definedName>
    <definedName name="NbreCom">#REF!</definedName>
    <definedName name="NbreCOMM">#REF!</definedName>
    <definedName name="NbreLLS">#REF!</definedName>
    <definedName name="NbreLLTS">#REF!</definedName>
    <definedName name="NCOM">[9]Surfaces!$X$53</definedName>
    <definedName name="Nettoyage_de_chantier">#REF!</definedName>
    <definedName name="Nettoyage_de_chantier_Peinture">#REF!</definedName>
    <definedName name="NETTOYAGE_METRE">#REF!</definedName>
    <definedName name="nhbe">#REF!</definedName>
    <definedName name="NHCC">#REF!</definedName>
    <definedName name="NHCEL">#REF!</definedName>
    <definedName name="nhdevmol">#REF!</definedName>
    <definedName name="NHHL1">#REF!</definedName>
    <definedName name="NHHL2">#REF!</definedName>
    <definedName name="NHHL3">#REF!</definedName>
    <definedName name="nhmodev">#REF!</definedName>
    <definedName name="nhmois">#REF!</definedName>
    <definedName name="NHMOLDEV">#REF!</definedName>
    <definedName name="nhra">#REF!</definedName>
    <definedName name="NHTCC">#REF!</definedName>
    <definedName name="NHTCEL">#REF!</definedName>
    <definedName name="nhth1">#REF!</definedName>
    <definedName name="nhth2">#REF!</definedName>
    <definedName name="nhth3">#REF!</definedName>
    <definedName name="nhthl1">#REF!</definedName>
    <definedName name="NHTHL2">#REF!</definedName>
    <definedName name="NHTHL3">#REF!</definedName>
    <definedName name="nhtmo">#REF!</definedName>
    <definedName name="NHTMOL">#REF!</definedName>
    <definedName name="Niveau_souhaité">#REF!</definedName>
    <definedName name="niveaux">'[42]Param opération'!$F$9</definedName>
    <definedName name="njgc">#REF!</definedName>
    <definedName name="nlgt">'[12]Param opération'!$F$5</definedName>
    <definedName name="nom">#REF!</definedName>
    <definedName name="Nombre">#REF!</definedName>
    <definedName name="Nombre_de_pièces">#REF!</definedName>
    <definedName name="nombreLLS">#REF!</definedName>
    <definedName name="nombreLLTS">#REF!</definedName>
    <definedName name="NOMcompllts">'[9]Param opération'!$F$54</definedName>
    <definedName name="nomzac">'[12]Param opération'!$F$32</definedName>
    <definedName name="Noues_encaissées_en_tôle_pliées">#REF!</definedName>
    <definedName name="Npark">'[42]Param opération'!$F$13</definedName>
    <definedName name="NREC">#REF!</definedName>
    <definedName name="Num_Pmt_Per_Year">#REF!</definedName>
    <definedName name="Number_of_Payments" localSheetId="13">MATCH(0.01,End_Bal,-1)+1</definedName>
    <definedName name="Number_of_Payments" localSheetId="12">MATCH(0.01,End_Bal,-1)+1</definedName>
    <definedName name="Number_of_Payments" localSheetId="7">MATCH(0.01,End_Bal,-1)+1</definedName>
    <definedName name="Number_of_Payments" localSheetId="6">MATCH(0.01,End_Bal,-1)+1</definedName>
    <definedName name="Number_of_Payments" localSheetId="11">MATCH(0.01,End_Bal,-1)+1</definedName>
    <definedName name="Number_of_Payments" localSheetId="9">MATCH(0.01,End_Bal,-1)+1</definedName>
    <definedName name="Number_of_Payments" localSheetId="0">MATCH(0.01,End_Bal,-1)+1</definedName>
    <definedName name="Number_of_Payments" localSheetId="1">MATCH(0.01,End_Bal,-1)+1</definedName>
    <definedName name="Number_of_Payments" localSheetId="3">MATCH(0.01,End_Bal,-1)+1</definedName>
    <definedName name="Number_of_Payments" localSheetId="10">MATCH(0.01,End_Bal,-1)+1</definedName>
    <definedName name="Number_of_Payments" localSheetId="4">MATCH(0.01,End_Bal,-1)+1</definedName>
    <definedName name="Number_of_Payments" localSheetId="5">MATCH(0.01,End_Bal,-1)+1</definedName>
    <definedName name="Number_of_Payments" localSheetId="2">MATCH(0.01,End_Bal,-1)+1</definedName>
    <definedName name="Number_of_Payments" localSheetId="8">MATCH(0.01,End_Bal,-1)+1</definedName>
    <definedName name="Number_of_Payments" localSheetId="14">MATCH(0.01,End_Bal,-1)+1</definedName>
    <definedName name="Number_of_Payments">MATCH(0.01,End_Bal,-1)+1</definedName>
    <definedName name="numop">'[9]Param opération'!$F$6</definedName>
    <definedName name="numPC">#REF!</definedName>
    <definedName name="nvoye">#REF!</definedName>
    <definedName name="Objectif_revente">'[7]Hypothèses Investisseur'!$N$11</definedName>
    <definedName name="OPC">'[12]Param opération'!#REF!</definedName>
    <definedName name="OPERATION">'[51]LLS-LLTS  BDG'!$A:$IV</definedName>
    <definedName name="opération">'[15]Données habitat social'!$A$11:$A$253</definedName>
    <definedName name="ORGANIC">#REF!</definedName>
    <definedName name="Organigramme_des_clés">#REF!</definedName>
    <definedName name="Ossature_courante">#REF!</definedName>
    <definedName name="OUI_NON">[15]Listes!$A$32:$A$34</definedName>
    <definedName name="Ouverture_de_ligne">#REF!</definedName>
    <definedName name="OUVRAGES_BETON">#REF!</definedName>
    <definedName name="Ouvrages_particuliers_de_couverture_acier">#REF!</definedName>
    <definedName name="Ouvrages_particuliers_de_couverture_aluminium">#REF!</definedName>
    <definedName name="p">_L16C2</definedName>
    <definedName name="P.max">#REF!</definedName>
    <definedName name="P.maxCom">#REF!</definedName>
    <definedName name="P.maxLLS">#REF!</definedName>
    <definedName name="P.maxLLTS">#REF!</definedName>
    <definedName name="p49cc">#REF!</definedName>
    <definedName name="P49H1">#REF!</definedName>
    <definedName name="P49H2">#REF!</definedName>
    <definedName name="P49H3">#REF!</definedName>
    <definedName name="PA_SAS_HT_LLS">#REF!</definedName>
    <definedName name="PA_SAS_HT_LLTS">#REF!</definedName>
    <definedName name="PAE">[1]Saisie!$F$61</definedName>
    <definedName name="Paillasse">#REF!</definedName>
    <definedName name="PALMES">#REF!</definedName>
    <definedName name="Panneau_de_signalisation">#REF!</definedName>
    <definedName name="Pannes_métalliques">#REF!</definedName>
    <definedName name="Pannes_sablières">#REF!</definedName>
    <definedName name="parking">#REF!</definedName>
    <definedName name="parking_a">#REF!</definedName>
    <definedName name="parking_a_LLS">#REF!</definedName>
    <definedName name="parking_a_LLTS">#REF!</definedName>
    <definedName name="parking_c_LLS">#REF!</definedName>
    <definedName name="parking_c_LLTS">#REF!</definedName>
    <definedName name="parking_s_LLS">#REF!</definedName>
    <definedName name="parking_s_LLTS">#REF!</definedName>
    <definedName name="parkssbatfi">#REF!</definedName>
    <definedName name="Parquet_bois">#REF!</definedName>
    <definedName name="Parquet_bois_flottant">#REF!</definedName>
    <definedName name="part_subdebt">#REF!</definedName>
    <definedName name="Pay_Num">#REF!</definedName>
    <definedName name="pbe">#REF!</definedName>
    <definedName name="pce">#REF!</definedName>
    <definedName name="pdep">#REF!</definedName>
    <definedName name="PDIVC">#REF!</definedName>
    <definedName name="Peinture">#REF!</definedName>
    <definedName name="Peinture_bitumeuse">#REF!</definedName>
    <definedName name="Peinture_canalisation">#REF!</definedName>
    <definedName name="Peinture_canalisations">#REF!</definedName>
    <definedName name="Peinture_CCTP">#REF!</definedName>
    <definedName name="Peinture_des_commerces">#REF!</definedName>
    <definedName name="Peinture_des_commerces_Peinture">#REF!</definedName>
    <definedName name="Peinture_des_communs">#REF!</definedName>
    <definedName name="PEINTURE_DES_COMMUNS_METRE">#REF!</definedName>
    <definedName name="Peinture_des_communs_Peinture">#REF!</definedName>
    <definedName name="peinture_exterieure">#REF!</definedName>
    <definedName name="Peinture_imperméable">#REF!</definedName>
    <definedName name="Peinture_intérieure">#REF!</definedName>
    <definedName name="PEINTURE_INTERIEURE_METRE">#REF!</definedName>
    <definedName name="Peinture_intérieure_Peinture">#REF!</definedName>
    <definedName name="PEINTURE_METRE">#REF!</definedName>
    <definedName name="Peinture_sur_bardage">#REF!</definedName>
    <definedName name="Peinture_sur_bois">#REF!</definedName>
    <definedName name="Peinture_sur_bois_extérieur">#REF!</definedName>
    <definedName name="Peinture_sur_bois_extérieur__humidité_comprise_entre_15_et_18">#REF!</definedName>
    <definedName name="Peinture_sur_bois_intérieur">#REF!</definedName>
    <definedName name="Peinture_sur_bois_interieur_Peinture">#REF!</definedName>
    <definedName name="PEINTURE_SUR_BOIS_METRE">#REF!</definedName>
    <definedName name="PEINTURE_SUR_FACADE_EXTERIEURE_METRE">#REF!</definedName>
    <definedName name="Peinture_sur_métal">#REF!</definedName>
    <definedName name="PEINTURE_SUR_METAL_METRE">#REF!</definedName>
    <definedName name="PEINTURE_SUR_PVC_METRE">#REF!</definedName>
    <definedName name="PEINTURES_DES_COMMERCES_METRE">#REF!</definedName>
    <definedName name="Peintures_intérieures">#REF!</definedName>
    <definedName name="Peintures_sur_support_métallique">#REF!</definedName>
    <definedName name="PEO">#REF!</definedName>
    <definedName name="PEO___PAC">#REF!</definedName>
    <definedName name="PEO_PAC_CCTP_GO">#REF!</definedName>
    <definedName name="Per">'[22]Hypothèses Investissement'!$I$26</definedName>
    <definedName name="PERGOLA">#REF!</definedName>
    <definedName name="Pergola_bois">#REF!</definedName>
    <definedName name="PERGOLA_METRE">#REF!</definedName>
    <definedName name="PERGOLAS">#REF!</definedName>
    <definedName name="Pergolas_Sommaire">#REF!</definedName>
    <definedName name="Périodicité">'[22]Loyers SCI'!$A$1:$A$4</definedName>
    <definedName name="PerLT">'[22]Hypothèses Investissement'!$I$58</definedName>
    <definedName name="PERSIENNES__non_déduite_de_la_maçonnerie">#REF!</definedName>
    <definedName name="Persiennes_Sommaire">#REF!</definedName>
    <definedName name="pertes">[1]Résultats!$AV$51</definedName>
    <definedName name="pertespf">[1]Résultats!$AY$51</definedName>
    <definedName name="PETITES_MACONNERIES_ET_DIVERS">#REF!</definedName>
    <definedName name="Petites_maconneries_et_divers_Sommaire">#REF!</definedName>
    <definedName name="pf">#REF!</definedName>
    <definedName name="PFAX">#REF!</definedName>
    <definedName name="PFI">#REF!</definedName>
    <definedName name="pg">#REF!</definedName>
    <definedName name="phcc">#REF!</definedName>
    <definedName name="phccs">#REF!</definedName>
    <definedName name="phh1s">#REF!</definedName>
    <definedName name="phh2s">#REF!</definedName>
    <definedName name="phh3s">#REF!</definedName>
    <definedName name="phmhs">#REF!</definedName>
    <definedName name="phmol">#REF!</definedName>
    <definedName name="phot">#REF!</definedName>
    <definedName name="Piscine">#REF!</definedName>
    <definedName name="Pissettes">#REF!</definedName>
    <definedName name="PL_SAS">'[36]Compta - RBT'!$B$48:$Q$67</definedName>
    <definedName name="Placards_coulissants">#REF!</definedName>
    <definedName name="Placards_type_sogal">#REF!</definedName>
    <definedName name="PLACOPLATRE">#REF!</definedName>
    <definedName name="Placoplatre_pour_galandage">#REF!</definedName>
    <definedName name="Plafonnier_2_x_36_W">#REF!</definedName>
    <definedName name="Plafonnier_2_x_58_W">#REF!</definedName>
    <definedName name="Planche_de_rive">#REF!</definedName>
    <definedName name="PLANCHER_BOIS">#REF!</definedName>
    <definedName name="plancher_bois_cctp">#REF!</definedName>
    <definedName name="Plancher_bois_Sommaire">#REF!</definedName>
    <definedName name="PLANCHERS">#REF!</definedName>
    <definedName name="Planchers_courant">#REF!</definedName>
    <definedName name="Planchers_coursive">#REF!</definedName>
    <definedName name="Planchers_sommaire">#REF!</definedName>
    <definedName name="Planchers_sur_parking">#REF!</definedName>
    <definedName name="Planchers_sur_vide_sanitaire">#REF!</definedName>
    <definedName name="Planchers_terrasse_accessible">#REF!</definedName>
    <definedName name="Planchers_terrasse_inaccessible">#REF!</definedName>
    <definedName name="Planchers_varangue">#REF!</definedName>
    <definedName name="Plans_d_exécution_charpente">#REF!</definedName>
    <definedName name="Plateau_de_bar">#REF!</definedName>
    <definedName name="Plinthe_PVC_semi_rigides_cctp">#REF!</definedName>
    <definedName name="PLINTHES_A_GORGES">#REF!</definedName>
    <definedName name="Plinthes_bois">#REF!</definedName>
    <definedName name="Pliolithe">#REF!</definedName>
    <definedName name="Pliolithe_peinture">#REF!</definedName>
    <definedName name="PLOMBERIE">#REF!</definedName>
    <definedName name="Plomberie_des_commerces">#REF!</definedName>
    <definedName name="PLOMBERIE_DES_COMMERCES_METRE">#REF!</definedName>
    <definedName name="Plomberie_des_logements">#REF!</definedName>
    <definedName name="PLOMBERIE_METRE">#REF!</definedName>
    <definedName name="Plus_value">#REF!</definedName>
    <definedName name="Plus_value_pour_blocs_pleins_sommaire">#REF!</definedName>
    <definedName name="Plus_value_pour_voiles_courbes">#REF!</definedName>
    <definedName name="Plus_value_pour_voiles_courbes_sommaire">#REF!</definedName>
    <definedName name="Plus_values_pour_blocs_pleins">#REF!</definedName>
    <definedName name="PlusSIX">#REF!</definedName>
    <definedName name="PMAN">#REF!</definedName>
    <definedName name="po_price">[26]Assumptions!$B$8</definedName>
    <definedName name="Pointe_de_façade__voiles">#REF!</definedName>
    <definedName name="Pointe_de_refends__voiles">#REF!</definedName>
    <definedName name="Points_lumineux">#REF!</definedName>
    <definedName name="Points_lumineux_electricite_d_communs">#REF!</definedName>
    <definedName name="Points_lumineux_supplémentaires">#REF!</definedName>
    <definedName name="Polyane">#REF!</definedName>
    <definedName name="PORTAIL">#REF!</definedName>
    <definedName name="PORTAIL_D_ENTREE">#REF!</definedName>
    <definedName name="Portail_d_entrée">#REF!</definedName>
    <definedName name="PORTAIL_D_ENTREE_DU_SOUS_SOL__Déduit_de_la_maçonnerie">#REF!</definedName>
    <definedName name="Portail_entrée_du_sous_sol__2_battants">#REF!</definedName>
    <definedName name="Portail_VRD">#REF!</definedName>
    <definedName name="Porte_coulissante">#REF!</definedName>
    <definedName name="Porte_coulissante_aluminium">#REF!</definedName>
    <definedName name="Porte_coupe_feu">#REF!</definedName>
    <definedName name="Porte_d_entrée">#REF!</definedName>
    <definedName name="Porte_extérieure">#REF!</definedName>
    <definedName name="Porte_grillagée">#REF!</definedName>
    <definedName name="Porte_isoplane_à_âme_alvéolée">#REF!</definedName>
    <definedName name="Porte_isoplane_à_âme_pleine">#REF!</definedName>
    <definedName name="Porte_pleine">#REF!</definedName>
    <definedName name="Porte_rouleau_papier">#REF!</definedName>
    <definedName name="Porte_savon">#REF!</definedName>
    <definedName name="Porte_vitrée">#REF!</definedName>
    <definedName name="Porte_vitrée_1_vantail">#REF!</definedName>
    <definedName name="Porte_vitrée_2_vantaux">#REF!</definedName>
    <definedName name="Portes">#REF!</definedName>
    <definedName name="Portes__Va_et_Vient">#REF!</definedName>
    <definedName name="Portes_alu">#REF!</definedName>
    <definedName name="Portes_automatiques">#REF!</definedName>
    <definedName name="PORTES_BOIS">#REF!</definedName>
    <definedName name="Portes_d_entrée_de_la_résidence">#REF!</definedName>
    <definedName name="Portes_d_entrée_des_commerces">#REF!</definedName>
    <definedName name="Portes_de_garage_basculante">#REF!</definedName>
    <definedName name="Portes_métallique_1_vantail">#REF!</definedName>
    <definedName name="Portes_métallique_2_vantaux">#REF!</definedName>
    <definedName name="Portes_pleine">#REF!</definedName>
    <definedName name="Portes_post_formées">#REF!</definedName>
    <definedName name="Portillon">#REF!</definedName>
    <definedName name="Poste_de_travail">#REF!</definedName>
    <definedName name="POTEAUX">#REF!</definedName>
    <definedName name="Poteaux_cctp_go">#REF!</definedName>
    <definedName name="Poteaux_circulaire">#REF!</definedName>
    <definedName name="Poteaux_circulaire_Ø200">#REF!</definedName>
    <definedName name="Poteaux_circulaire_Ø300">#REF!</definedName>
    <definedName name="Poteaux_circulaire_Ø400">#REF!</definedName>
    <definedName name="POTEAUX_ET_POUTRES">#REF!</definedName>
    <definedName name="Poteaux_et_poutres_en_infrastructure">#REF!</definedName>
    <definedName name="Poteaux_exterieurs">#REF!</definedName>
    <definedName name="Poteaux_interieurs">#REF!</definedName>
    <definedName name="POUT">#REF!</definedName>
    <definedName name="Poutre_voile___console_courte__voiles">#REF!</definedName>
    <definedName name="POUTRES">#REF!</definedName>
    <definedName name="Poutres_cctp_go">#REF!</definedName>
    <definedName name="Poutres_en_fondatio">#REF!</definedName>
    <definedName name="Poutres_en_fondation">#REF!</definedName>
    <definedName name="Poutres_exterieures">#REF!</definedName>
    <definedName name="Poutres_interieures">#REF!</definedName>
    <definedName name="Poutres_voiles">#REF!</definedName>
    <definedName name="Pouvoir_de_coupure">#REF!</definedName>
    <definedName name="ppfonc">[1]Saisie!$D$31</definedName>
    <definedName name="ppi">[1]Saisie!#REF!</definedName>
    <definedName name="ppl">[1]Saisie!#REF!</definedName>
    <definedName name="pplaf">[1]Saisie!#REF!</definedName>
    <definedName name="pra">#REF!</definedName>
    <definedName name="PRBAT">#REF!</definedName>
    <definedName name="PREAMBULE">#REF!</definedName>
    <definedName name="PREC">#REF!</definedName>
    <definedName name="Préparation_du_terrain_et_terre_végétale">#REF!</definedName>
    <definedName name="Prêt.Com">#REF!</definedName>
    <definedName name="PRETcomp">'[9]Param opération'!$F$78</definedName>
    <definedName name="PRETcomp_nom">'[9]Param opération'!$F$77</definedName>
    <definedName name="PRETemp">'[9]Param opération'!$F$72</definedName>
    <definedName name="PRETemp_nom">'[9]Param opération'!$F$73</definedName>
    <definedName name="PRETemp_unit">'[9]Param opération'!$F$75</definedName>
    <definedName name="PRETfon">'[9]Param opération'!$F$71</definedName>
    <definedName name="PRETOT">[3]Programme!$B$25</definedName>
    <definedName name="prêts">[15]Listes!$N$4:$N$9</definedName>
    <definedName name="prevt">[1]Saisie!$F$48</definedName>
    <definedName name="Princ">#REF!</definedName>
    <definedName name="Print_Area">#REF!</definedName>
    <definedName name="Print_Area_Reset" localSheetId="13">OFFSET(Full_Print,0,0,'[33]BFC 2  2009'!Last_Row)</definedName>
    <definedName name="Print_Area_Reset" localSheetId="12">OFFSET(Full_Print,0,0,'[33]BFC 2  2009'!Last_Row)</definedName>
    <definedName name="Print_Area_Reset" localSheetId="7">#N/A</definedName>
    <definedName name="Print_Area_Reset" localSheetId="6">OFFSET(Full_Print,0,0,'[33]BFC 2  2009'!Last_Row)</definedName>
    <definedName name="Print_Area_Reset" localSheetId="11">OFFSET(Full_Print,0,0,'[33]BFC 2  2009'!Last_Row)</definedName>
    <definedName name="Print_Area_Reset" localSheetId="9">OFFSET(Full_Print,0,0,'[33]BFC 2  2009'!Last_Row)</definedName>
    <definedName name="Print_Area_Reset" localSheetId="0">OFFSET(Full_Print,0,0,'[33]BFC 2  2009'!Last_Row)</definedName>
    <definedName name="Print_Area_Reset" localSheetId="1">OFFSET(Full_Print,0,0,'[33]BFC 2  2009'!Last_Row)</definedName>
    <definedName name="Print_Area_Reset" localSheetId="3">OFFSET(Full_Print,0,0,'[33]BFC 2  2009'!Last_Row)</definedName>
    <definedName name="Print_Area_Reset" localSheetId="10">OFFSET(Full_Print,0,0,'[33]BFC 2  2009'!Last_Row)</definedName>
    <definedName name="Print_Area_Reset" localSheetId="4">OFFSET(Full_Print,0,0,'[33]BFC 2  2009'!Last_Row)</definedName>
    <definedName name="Print_Area_Reset" localSheetId="5">OFFSET(Full_Print,0,0,'[33]BFC 2  2009'!Last_Row)</definedName>
    <definedName name="Print_Area_Reset" localSheetId="2">OFFSET(Full_Print,0,0,'[33]BFC 2  2009'!Last_Row)</definedName>
    <definedName name="Print_Area_Reset" localSheetId="8">OFFSET(Full_Print,0,0,'[33]BFC 2  2009'!Last_Row)</definedName>
    <definedName name="Print_Area_Reset" localSheetId="14">OFFSET(Full_Print,0,0,'[33]BFC 2  2009'!Last_Row)</definedName>
    <definedName name="Print_Area_Reset">OFFSET(Full_Print,0,0,'[33]BFC 2  2009'!Last_Row)</definedName>
    <definedName name="Print_Titles_MI">#REF!</definedName>
    <definedName name="Prise_de_courant">#REF!</definedName>
    <definedName name="Prises">#REF!</definedName>
    <definedName name="Prises_de_courants_supplémentaires">#REF!</definedName>
    <definedName name="Prises_Electricite_d_communs">#REF!</definedName>
    <definedName name="Prix_Euro">#REF!</definedName>
    <definedName name="Prix_Euro1">#REF!</definedName>
    <definedName name="Prix_revient_total_TTC">#REF!</definedName>
    <definedName name="Prix_USD">#REF!</definedName>
    <definedName name="Prix_USD1">#REF!</definedName>
    <definedName name="PrixTTC">'[29]Tableau financier'!$A$26</definedName>
    <definedName name="probabilité">[15]Listes!$O$4:$O$9</definedName>
    <definedName name="probabilité_finct_LBU">[15]Listes!$O$4:$O$9</definedName>
    <definedName name="PRODUIT">[15]Listes!$I$4:$I$7</definedName>
    <definedName name="Profil_IPE">#REF!</definedName>
    <definedName name="Profil_IPE__autre_calcul">#REF!</definedName>
    <definedName name="prog">[52]Général!$D$5</definedName>
    <definedName name="promoteur">#REF!</definedName>
    <definedName name="Protection_d_angle">#REF!</definedName>
    <definedName name="Protection_des_pieds_de_chute_EU___EV___EP">#REF!</definedName>
    <definedName name="Provenance__qualité_et_préparation_des_matériaux">#REF!</definedName>
    <definedName name="Provenance_des_matériaux">#REF!</definedName>
    <definedName name="Provision_pour_gros_béton">#REF!</definedName>
    <definedName name="PRP_TTC_LLS">#REF!</definedName>
    <definedName name="PRP_TTC_LLTS">#REF!</definedName>
    <definedName name="ptbe">#REF!</definedName>
    <definedName name="ptce">#REF!</definedName>
    <definedName name="ptdep">#REF!</definedName>
    <definedName name="ptdepra">#REF!</definedName>
    <definedName name="PTDIVBE">#REF!</definedName>
    <definedName name="ptdivra">#REF!</definedName>
    <definedName name="ptdivrec">#REF!</definedName>
    <definedName name="PTDOS">#REF!</definedName>
    <definedName name="pthl1">#REF!</definedName>
    <definedName name="pthl2">#REF!</definedName>
    <definedName name="pthl3">#REF!</definedName>
    <definedName name="pthot">#REF!</definedName>
    <definedName name="pthotra">#REF!</definedName>
    <definedName name="ptra">#REF!</definedName>
    <definedName name="PTREC">#REF!</definedName>
    <definedName name="pttrad">#REF!</definedName>
    <definedName name="PTVEH">#REF!</definedName>
    <definedName name="ptvehra">#REF!</definedName>
    <definedName name="ptvep">#REF!</definedName>
    <definedName name="ptvoy">#REF!</definedName>
    <definedName name="ptvoye">#REF!</definedName>
    <definedName name="ptvoymo">#REF!</definedName>
    <definedName name="ptvoyra">#REF!</definedName>
    <definedName name="pveh">#REF!</definedName>
    <definedName name="PVOY">#REF!</definedName>
    <definedName name="Pyrodome">#REF!</definedName>
    <definedName name="Pyrodôme">#REF!</definedName>
    <definedName name="Qualité_des_matériaux">#REF!</definedName>
    <definedName name="quartier">#REF!</definedName>
    <definedName name="ra">#REF!</definedName>
    <definedName name="raccEDF">'[9]Param opération'!$F$47</definedName>
    <definedName name="raccEU">'[9]Param opération'!$F$46</definedName>
    <definedName name="Ragréage">#REF!</definedName>
    <definedName name="Ragréage_sous_dalle">#REF!</definedName>
    <definedName name="Ragréages_rev_souples_cctp">#REF!</definedName>
    <definedName name="Rampe_de_parking">#REF!</definedName>
    <definedName name="Rampes_de_parking">#REF!</definedName>
    <definedName name="RAS">#REF!</definedName>
    <definedName name="Ratio_annuité">[1]Résultats!$ET$9:$ET$13</definedName>
    <definedName name="raz">#REF!,#REF!,#REF!,#REF!,#REF!,#REF!,#REF!,#REF!,#REF!,#REF!,#REF!,#REF!,#REF!,#REF!,#REF!,#REF!,#REF!,#REF!,#REF!,#REF!,#REF!,#REF!,#REF!,#REF!,#REF!</definedName>
    <definedName name="Réception_de_l_installation">#REF!</definedName>
    <definedName name="Receveur_à_douche___pare_douche">#REF!</definedName>
    <definedName name="refcad">'[42]Param opération'!$F$77</definedName>
    <definedName name="refcadastre">#REF!</definedName>
    <definedName name="Refends__voiles">#REF!</definedName>
    <definedName name="Regards">#REF!</definedName>
    <definedName name="Régl_copro">'[7]Hypothèses générales'!#REF!</definedName>
    <definedName name="Reglette___PC">#REF!</definedName>
    <definedName name="Relevés_BA">#REF!</definedName>
    <definedName name="Remblaiement_contre_bâtiment">#REF!</definedName>
    <definedName name="Remblais">#REF!</definedName>
    <definedName name="Remblais_sous_dalle_portée">#REF!</definedName>
    <definedName name="Renformis">#REF!</definedName>
    <definedName name="Repérage">#REF!</definedName>
    <definedName name="ReportInvestissement">#REF!</definedName>
    <definedName name="Reprise">#REF!</definedName>
    <definedName name="Réseau_AEP">#REF!</definedName>
    <definedName name="Réseau_courant_faible">#REF!</definedName>
    <definedName name="Réseau_courant_fort">#REF!</definedName>
    <definedName name="Reseau_d_adduction_d_eau_potable">#REF!</definedName>
    <definedName name="Réseau_d_eaux_usées_et_eaux_vannes">#REF!</definedName>
    <definedName name="Réseau_eaux_pluviales">#REF!</definedName>
    <definedName name="Reseau_electricite_VRD">#REF!</definedName>
    <definedName name="Reseau_incendie">#REF!</definedName>
    <definedName name="Réseaux_électricité">#REF!</definedName>
    <definedName name="Reseaux_electricite_VRD">#REF!</definedName>
    <definedName name="Réseaux_enterrés_sous_bâtiment">#REF!</definedName>
    <definedName name="Reseaux_enterres_sous_dallage___collecte_ep_des_parking_couvert">#REF!</definedName>
    <definedName name="Reseaux_EP">#REF!</definedName>
    <definedName name="Réseaux_EP">#REF!</definedName>
    <definedName name="Reseaux_EU_EV">#REF!</definedName>
    <definedName name="Réseaux_EU_EV">#REF!</definedName>
    <definedName name="RESEAUX_METRE">#REF!</definedName>
    <definedName name="RESEAUX_POUR__IMMEUBLE">#REF!</definedName>
    <definedName name="RESEAUX_POUR__LOTISSEMENT">#REF!</definedName>
    <definedName name="Réseaux_téléphone">#REF!</definedName>
    <definedName name="Reseaux_telephone_VRD">#REF!</definedName>
    <definedName name="reset">#REF!,#REF!,#REF!,#REF!,#REF!,#REF!,#REF!,#REF!,#REF!,#REF!,#REF!,#REF!,#REF!,#REF!,#REF!,#REF!,#REF!</definedName>
    <definedName name="resfc">[1]Résultats!$AT$50</definedName>
    <definedName name="rev">#REF!</definedName>
    <definedName name="REVENTEMENTS_DURS_METRE">#REF!</definedName>
    <definedName name="Revêtement_du_hall_d_entrée_cctp">#REF!</definedName>
    <definedName name="REVETEMENT_HALL_D_ENTREE">#REF!</definedName>
    <definedName name="revetement_souple">#REF!</definedName>
    <definedName name="revetement_souple_cctp">#REF!</definedName>
    <definedName name="revetement_souple_quest">#REF!</definedName>
    <definedName name="REVETEMENTS_DURS">#REF!</definedName>
    <definedName name="revetements_durs_cctp">#REF!</definedName>
    <definedName name="Rideau_métalique_sup.">#REF!</definedName>
    <definedName name="RIDEAU_METALLIQUE_SUP.__non_déduite_de_la_maçonnerie">#REF!</definedName>
    <definedName name="Rive_rampante">#REF!</definedName>
    <definedName name="Robinets_de_puisage">#REF!</definedName>
    <definedName name="RPA">[3]Ménage!$B$19</definedName>
    <definedName name="RPL">[3]Ménage!$B$15</definedName>
    <definedName name="rst">#REF!,#REF!,#REF!,#REF!,#REF!,#REF!,#REF!,#REF!,#REF!,#REF!,#REF!,#REF!,#REF!,#REF!,#REF!,#REF!,#REF!,#REF!,#REF!,#REF!,#REF!,#REF!,#REF!,#REF!,#REF!,#REF!,#REF!</definedName>
    <definedName name="S.LCR">#REF!</definedName>
    <definedName name="S_terrain">#REF!</definedName>
    <definedName name="S10y">#REF!</definedName>
    <definedName name="S10y97">#REF!</definedName>
    <definedName name="Salaire_conservateur">'[7]Hypothèses générales'!#REF!</definedName>
    <definedName name="Salle_de_bains">#REF!</definedName>
    <definedName name="SAS">#REF!</definedName>
    <definedName name="Scellement_et_calfeutrement">#REF!</definedName>
    <definedName name="Sched_Pay">#REF!</definedName>
    <definedName name="Scheduled_Extra_Payments">#REF!</definedName>
    <definedName name="Scheduled_Monthly_Payment">#REF!</definedName>
    <definedName name="Schéma">#REF!</definedName>
    <definedName name="scom">[9]Surfaces!$AA$53</definedName>
    <definedName name="Sdefisc">#REF!</definedName>
    <definedName name="Secteur">'[22]Loyers SCI'!$D$1:$D$2</definedName>
    <definedName name="Securite">#REF!</definedName>
    <definedName name="Securite_incendie">#REF!</definedName>
    <definedName name="Sécurité_incendie">#REF!</definedName>
    <definedName name="SECURITE_METRE">#REF!</definedName>
    <definedName name="Séjour">#REF!</definedName>
    <definedName name="Séjour_Electricite">#REF!</definedName>
    <definedName name="Sélectivité_ampérométrique">#REF!</definedName>
    <definedName name="Sélectivité_différentielle_résiduelle">#REF!</definedName>
    <definedName name="Semelles_filantes">#REF!</definedName>
    <definedName name="Semelles_filantes_sommaire">#REF!</definedName>
    <definedName name="Semelles_isolées">#REF!</definedName>
    <definedName name="semp">'[22]Surfaces Corossol'!$E$65</definedName>
    <definedName name="sencount" hidden="1">1</definedName>
    <definedName name="Séparateur_à_hydrocarbures">#REF!</definedName>
    <definedName name="Seuils_de_portes">#REF!</definedName>
    <definedName name="SF.Com">#REF!</definedName>
    <definedName name="SF.COMM">#REF!</definedName>
    <definedName name="SF.LLS" localSheetId="13">'[49]Plan de financement'!#REF!</definedName>
    <definedName name="SF.LLS" localSheetId="12">'[49]Plan de financement'!#REF!</definedName>
    <definedName name="SF.LLS" localSheetId="7">'[49]Plan de financement'!#REF!</definedName>
    <definedName name="SF.LLS" localSheetId="6">'[49]Plan de financement'!#REF!</definedName>
    <definedName name="SF.LLS" localSheetId="11">'[49]Plan de financement'!#REF!</definedName>
    <definedName name="SF.LLS" localSheetId="9">'[49]Plan de financement'!#REF!</definedName>
    <definedName name="SF.LLS" localSheetId="0">'[49]Plan de financement'!#REF!</definedName>
    <definedName name="SF.LLS" localSheetId="1">'Plan de financement'!#REF!</definedName>
    <definedName name="SF.LLS" localSheetId="3">'[49]Plan de financement'!#REF!</definedName>
    <definedName name="SF.LLS" localSheetId="10">'[49]Plan de financement'!#REF!</definedName>
    <definedName name="SF.LLS" localSheetId="4">'[49]Plan de financement'!#REF!</definedName>
    <definedName name="SF.LLS" localSheetId="5">'[49]Plan de financement'!#REF!</definedName>
    <definedName name="SF.LLS" localSheetId="2">'[49]Plan de financement'!#REF!</definedName>
    <definedName name="SF.LLS" localSheetId="8">'[49]Plan de financement'!#REF!</definedName>
    <definedName name="SF.LLS" localSheetId="14">'[49]Plan de financement'!#REF!</definedName>
    <definedName name="SF.LLS">#REF!</definedName>
    <definedName name="SF.LLTS" localSheetId="1">'Plan de financement'!$V$19</definedName>
    <definedName name="SF.LLTS">#REF!</definedName>
    <definedName name="SF.T" localSheetId="13">'[49]Plan de financement'!#REF!</definedName>
    <definedName name="SF.T" localSheetId="12">'[49]Plan de financement'!#REF!</definedName>
    <definedName name="SF.T" localSheetId="7">'[49]Plan de financement'!#REF!</definedName>
    <definedName name="SF.T" localSheetId="6">'[49]Plan de financement'!#REF!</definedName>
    <definedName name="SF.T" localSheetId="11">'[49]Plan de financement'!#REF!</definedName>
    <definedName name="SF.T" localSheetId="9">'[49]Plan de financement'!#REF!</definedName>
    <definedName name="SF.T" localSheetId="0">'[49]Plan de financement'!#REF!</definedName>
    <definedName name="SF.T" localSheetId="1">'Plan de financement'!#REF!</definedName>
    <definedName name="SF.T" localSheetId="3">'[49]Plan de financement'!#REF!</definedName>
    <definedName name="SF.T" localSheetId="10">'[49]Plan de financement'!#REF!</definedName>
    <definedName name="SF.T" localSheetId="4">'[49]Plan de financement'!#REF!</definedName>
    <definedName name="SF.T" localSheetId="5">'[49]Plan de financement'!#REF!</definedName>
    <definedName name="SF.T" localSheetId="2">'[49]Plan de financement'!#REF!</definedName>
    <definedName name="SF.T" localSheetId="8">'[49]Plan de financement'!#REF!</definedName>
    <definedName name="SF.T" localSheetId="14">'[49]Plan de financement'!#REF!</definedName>
    <definedName name="SF.T">#REF!</definedName>
    <definedName name="SF_LLS">#REF!</definedName>
    <definedName name="SF_LLTS">#REF!</definedName>
    <definedName name="SFdepmax">'[9]Param opération'!$F$83</definedName>
    <definedName name="sfin">#REF!</definedName>
    <definedName name="SFmax">'[12]Param opération'!#REF!</definedName>
    <definedName name="SFsub">'[9]Param opération'!$F$91</definedName>
    <definedName name="SFsubcom">'[9]Param opération'!$F$86</definedName>
    <definedName name="SFsubcr">'[12]Param opération'!#REF!</definedName>
    <definedName name="SFsubepci">'[9]Param opération'!$F$84</definedName>
    <definedName name="SFtx_com">'[9]Param opération'!$F$87</definedName>
    <definedName name="SFtx_epci">'[9]Param opération'!$F$85</definedName>
    <definedName name="SFtx_op">'[9]Param opération'!$F$90</definedName>
    <definedName name="SH.Com">#REF!</definedName>
    <definedName name="SH.COMM">#REF!</definedName>
    <definedName name="SH.LLS">#REF!</definedName>
    <definedName name="SH.LLTS">#REF!</definedName>
    <definedName name="SH.T">#REF!</definedName>
    <definedName name="SHA">#REF!</definedName>
    <definedName name="shab">'[22]Surfaces Corossol'!$D$85</definedName>
    <definedName name="SHARED_FORMULA_11_78_11_78_0">#REF!*#REF!</definedName>
    <definedName name="SHARED_FORMULA_12_78_12_78_1">#REF!*#REF!</definedName>
    <definedName name="SHFU.T">#REF!</definedName>
    <definedName name="shob">'[22]Surfaces Corossol'!$E$63</definedName>
    <definedName name="SHON" localSheetId="1">'Plan de financement'!$V$21</definedName>
    <definedName name="SHON">#REF!</definedName>
    <definedName name="Shunts">#REF!</definedName>
    <definedName name="Signalisation___numérotation">#REF!</definedName>
    <definedName name="Simple_allumage___point_lumineux">#REF!</definedName>
    <definedName name="Simple_allumage__point_lumineux_Electricité">#REF!</definedName>
    <definedName name="Simul">[28]Sommaire!$C$10</definedName>
    <definedName name="Siphon_de_sol">#REF!</definedName>
    <definedName name="Siphon_de_sol_Plomberie">#REF!</definedName>
    <definedName name="Sol_en_carrelage_grès_émaillé_scellée_cctp">#REF!</definedName>
    <definedName name="Sol_plastique_en_dalles_cctp">#REF!</definedName>
    <definedName name="Sol_plastique_en_lés_cctp">#REF!</definedName>
    <definedName name="solaire">#REF!</definedName>
    <definedName name="Solin_de_protection">#REF!</definedName>
    <definedName name="SOMMAIRE">#REF!</definedName>
    <definedName name="SOMMAIRE_CHARPENTE_COUVERTURE">#REF!</definedName>
    <definedName name="Sommaire_cloisons_faux_plafonds">#REF!</definedName>
    <definedName name="SOMMAIRE_ELECTRICITE">#REF!</definedName>
    <definedName name="sommaire_etancheïté">#REF!</definedName>
    <definedName name="SOMMAIRE_GENERAL">#REF!</definedName>
    <definedName name="SOMMAIRE_MENUISERIE_ALUMINIUM">#REF!</definedName>
    <definedName name="SOMMAIRE_MENUISERIE_BOIS_METAL_CCTP">#REF!</definedName>
    <definedName name="SOMMAIRE_METRE">#REF!</definedName>
    <definedName name="SOMMAIRE_PEINTURE">#REF!</definedName>
    <definedName name="SOMMAIRE_PLOMBERIE_SANITAIRE">#REF!</definedName>
    <definedName name="SOMMAIRE_REVETEMENTS_DURS_CCTP">#REF!</definedName>
    <definedName name="sommaire_revetemnt_souple_cctp">#REF!</definedName>
    <definedName name="SONDAGE">#REF!</definedName>
    <definedName name="SONNERIE">#REF!</definedName>
    <definedName name="Sortie_en_toiture">#REF!</definedName>
    <definedName name="Sorties_de_toiture">#REF!</definedName>
    <definedName name="Soubassement">#REF!</definedName>
    <definedName name="Soubassement_en_agglos">#REF!</definedName>
    <definedName name="Souches_en_terrasse">#REF!</definedName>
    <definedName name="Sous_rives_de_débords_de_toiture">#REF!</definedName>
    <definedName name="Spots_encastrés">#REF!</definedName>
    <definedName name="SRP">[1]Saisie!$D$57</definedName>
    <definedName name="SS">#REF!</definedName>
    <definedName name="Sterrain">'[30]Param opération'!$F$36</definedName>
    <definedName name="stt">#REF!</definedName>
    <definedName name="SU.Com">#REF!</definedName>
    <definedName name="SU.COMM">#REF!</definedName>
    <definedName name="SU.LLS">#REF!</definedName>
    <definedName name="SU.LLTS">#REF!</definedName>
    <definedName name="SU.T">#REF!</definedName>
    <definedName name="Sub_LLS">#REF!</definedName>
    <definedName name="Sub_LLTS">#REF!</definedName>
    <definedName name="SUBautre">'[9]Param opération'!$F$61</definedName>
    <definedName name="SUBautre_com">'[9]Param opération'!$F$63</definedName>
    <definedName name="SUBautre_comnom">'[9]Param opération'!$F$64</definedName>
    <definedName name="SUBautrenom">'[9]Param opération'!$F$62</definedName>
    <definedName name="subc1">[1]Saisie!$F$62</definedName>
    <definedName name="subc2">[1]Saisie!$F$63</definedName>
    <definedName name="SUBcl_etat">'[9]Param opération'!$F$60</definedName>
    <definedName name="SUBcom">'[9]Param opération'!$F$56</definedName>
    <definedName name="SUBcompllts">'[9]Param globaux'!$J$9</definedName>
    <definedName name="SUBcompllts_tot">'[9]Param opération'!$F$55</definedName>
    <definedName name="subCRsol_op">'[9]Param opération'!$F$67</definedName>
    <definedName name="subdiv">#REF!</definedName>
    <definedName name="SUBecs">'[9]Param opération'!$F$65</definedName>
    <definedName name="SUBepci">'[9]Param opération'!$F$58</definedName>
    <definedName name="subFEDERsol_op">'[9]Param opération'!$F$66</definedName>
    <definedName name="SUBlbu_acqui">'[9]Param opération'!$F$53</definedName>
    <definedName name="SUBsolaire">#REF!</definedName>
    <definedName name="SUBV">#REF!</definedName>
    <definedName name="Subv.LLS">#REF!</definedName>
    <definedName name="Subv.LLTS">#REF!</definedName>
    <definedName name="Subv.TScompl">#REF!</definedName>
    <definedName name="subvtotal">#REF!</definedName>
    <definedName name="SUPERSTRUCTURE">#REF!</definedName>
    <definedName name="SUPERSTRUCTURE_METRE">#REF!</definedName>
    <definedName name="SUPERSTRUCTURE_Sommaire">#REF!</definedName>
    <definedName name="SUPPLY">#REF!</definedName>
    <definedName name="Support_béton_ou_enduits_hydrauliques__acrylique">#REF!</definedName>
    <definedName name="Support_béton_ou_enduits_hydrauliques__glycérophtalique">#REF!</definedName>
    <definedName name="Support_placoplâtre__acrylique">#REF!</definedName>
    <definedName name="Support_placoplâtre__glycérophtalique">#REF!</definedName>
    <definedName name="surcc">#REF!</definedName>
    <definedName name="surffin">[1]Saisie!$C$41</definedName>
    <definedName name="surfhab">[1]Saisie!$C$40</definedName>
    <definedName name="surfterrain">#REF!</definedName>
    <definedName name="surh">#REF!</definedName>
    <definedName name="Syndication">#REF!</definedName>
    <definedName name="Système_d_assainissement_autonome">#REF!</definedName>
    <definedName name="T1_2009">'[31]Suivi décaissement'!$CO$11:$CO$65</definedName>
    <definedName name="T1_2009R">'[31]Suivi décaissement'!$ED$11:$ED$65</definedName>
    <definedName name="T1_2010">'[31]Suivi décaissement'!$CU$11:$CU$65</definedName>
    <definedName name="T1_2010R">'[31]Suivi décaissement'!$EJ$11:$EJ$65</definedName>
    <definedName name="T1_LLS">#REF!</definedName>
    <definedName name="T1_LLTS">#REF!</definedName>
    <definedName name="T2_2009">'[31]Suivi décaissement'!$CP$11:$CP$65</definedName>
    <definedName name="T2_2009R">'[31]Suivi décaissement'!$EE$11:$EE$65</definedName>
    <definedName name="T2_2010">'[31]Suivi décaissement'!$CV$11:$CV$65</definedName>
    <definedName name="T2_2010R">'[31]Suivi décaissement'!$EK$11:$EK$65</definedName>
    <definedName name="T2_LLS">#REF!</definedName>
    <definedName name="T2_LLTS">#REF!</definedName>
    <definedName name="T3_2009">'[31]Suivi décaissement'!$CQ$11:$CQ$65</definedName>
    <definedName name="T3_2009R">'[31]Suivi décaissement'!$EF$11:$EF$65</definedName>
    <definedName name="T3_2010">'[31]Suivi décaissement'!$CW$11:$CW$65</definedName>
    <definedName name="T3_2010R">'[31]Suivi décaissement'!$EL$11:$EL$65</definedName>
    <definedName name="T3_LLS">#REF!</definedName>
    <definedName name="T3_LLTS">#REF!</definedName>
    <definedName name="T4_2009">'[31]Suivi décaissement'!$CR$11:$CR$65</definedName>
    <definedName name="T4_2009R">'[31]Suivi décaissement'!$EG$11:$EG$65</definedName>
    <definedName name="T4_2010">'[31]Suivi décaissement'!$CX$11:$CX$65</definedName>
    <definedName name="T4_2010R">'[31]Suivi décaissement'!$EM$11:$EM$65</definedName>
    <definedName name="T4_LLS">#REF!</definedName>
    <definedName name="T4_LLTS">#REF!</definedName>
    <definedName name="T5_LLS">#REF!</definedName>
    <definedName name="T5_LLTS">#REF!</definedName>
    <definedName name="TA">[3]Paramètres!$C$9</definedName>
    <definedName name="Tableau_électrique">#REF!</definedName>
    <definedName name="Tableau_produits">#REF!</definedName>
    <definedName name="Tableaux_d_affichage_bois">#REF!</definedName>
    <definedName name="Tabliers_de_baignoire">#REF!</definedName>
    <definedName name="Tapis_brosse_cctp">#REF!</definedName>
    <definedName name="TAPIS_DE_BROSSE">#REF!</definedName>
    <definedName name="Taux_A">#REF!</definedName>
    <definedName name="Taux_A_Act">#REF!</definedName>
    <definedName name="Taux_A1">#REF!</definedName>
    <definedName name="Taux_appels">'[7]Hypothèses générales'!$C$53:$C$58</definedName>
    <definedName name="Taux_appels_foncier">'[7]Hypothèses générales'!$C$44:$C$49</definedName>
    <definedName name="Taux_B1">#REF!</definedName>
    <definedName name="Taux_change">#REF!</definedName>
    <definedName name="Taux_de_change">#REF!</definedName>
    <definedName name="Taux_Depot">#REF!</definedName>
    <definedName name="Taux_DGI">#REF!</definedName>
    <definedName name="Taux_foncière">#REF!</definedName>
    <definedName name="Taux_foncière_garage">#REF!</definedName>
    <definedName name="Taux_foncière_jardin">#REF!</definedName>
    <definedName name="Taux_Part">'[53]Echéancier des prêts'!$AH$7</definedName>
    <definedName name="Taux_révision">[35]Hypothèses!$C$47</definedName>
    <definedName name="Taux_US">#REF!</definedName>
    <definedName name="Taux_US1">#REF!</definedName>
    <definedName name="Tauxamortissement">#REF!</definedName>
    <definedName name="tauxcdc">[1]Saisie!$C$84</definedName>
    <definedName name="Tauxconversion">#REF!</definedName>
    <definedName name="Tauxeffort">[1]Saisie!$C$66</definedName>
    <definedName name="TauxEmprunt">#REF!</definedName>
    <definedName name="tauxevolcharges">[1]Saisie!$C$93</definedName>
    <definedName name="tauxevoloyer">[1]Saisie!$C$95</definedName>
    <definedName name="tauxevolPGR">[1]Saisie!$C$94</definedName>
    <definedName name="tauxfp">#REF!</definedName>
    <definedName name="tauxgegr">[1]Saisie!$C$89</definedName>
    <definedName name="TauxICC">#REF!</definedName>
    <definedName name="tauximpayes">[1]Saisie!$C$91</definedName>
    <definedName name="Tauxloyers">#REF!</definedName>
    <definedName name="Tauxpcomp">[1]Saisie!$C$64</definedName>
    <definedName name="Tauxprogression">#REF!</definedName>
    <definedName name="tauxrem">[54]data!#REF!</definedName>
    <definedName name="Tauxsub.LLS">#REF!</definedName>
    <definedName name="Tauxsub.LLTS">#REF!</definedName>
    <definedName name="tauxvacance">[1]Saisie!$C$90</definedName>
    <definedName name="TAX_autres">'[9]Param opération'!$F$48</definedName>
    <definedName name="Taxes_diverses">'[7]Hypothèses générales'!#REF!</definedName>
    <definedName name="tbat">'[28]Prix rev.CE'!$D$24</definedName>
    <definedName name="tbat_com">'[28]Prix rev.CE'!$E$24</definedName>
    <definedName name="TD">[34]Hyp_Res!$D$17</definedName>
    <definedName name="TELEPHONE">#REF!</definedName>
    <definedName name="Téléphone">#REF!</definedName>
    <definedName name="Téléphone_a_d_commerces">#REF!</definedName>
    <definedName name="TELEVISION">#REF!</definedName>
    <definedName name="Télévision">#REF!</definedName>
    <definedName name="télévision_a_d_commerces">#REF!</definedName>
    <definedName name="TempsAmortissement">#REF!</definedName>
    <definedName name="terrain">'[12]Param opération'!$F$27</definedName>
    <definedName name="terrassement_compl">#REF!</definedName>
    <definedName name="Terrassement_Complémentaire">#REF!</definedName>
    <definedName name="Terrassement_en_déblais">#REF!</definedName>
    <definedName name="Terrassement_en_déblais_cctp_go">#REF!</definedName>
    <definedName name="Terrassement_en_deblais_sommaire">#REF!</definedName>
    <definedName name="Terrassement_en_remblais">#REF!</definedName>
    <definedName name="Terrassement_en_remblais_sommaire">#REF!</definedName>
    <definedName name="TERRASSEMENT_GENERAL">#REF!</definedName>
    <definedName name="Terrassement_pour_plate_forme______au_lot_VRD">#REF!</definedName>
    <definedName name="TERRASSEMENT_RESEAUX">#REF!</definedName>
    <definedName name="Terrassement_reseaux_VRD">#REF!</definedName>
    <definedName name="TERRASSEMENTS_GENERAUX_METRE">#REF!</definedName>
    <definedName name="Terrasses_accessibles_avec_protection_dalles_sur_plots_cctp">#REF!</definedName>
    <definedName name="Terrasses_accessibles_avec_protection_en_durs_cctp">#REF!</definedName>
    <definedName name="Terrasses_inaccessibles_autoprotégées_cctp">#REF!</definedName>
    <definedName name="Terre_végétale">#REF!</definedName>
    <definedName name="Terressement_general_VRD">#REF!</definedName>
    <definedName name="test">#REF!</definedName>
    <definedName name="TEST2">#REF!</definedName>
    <definedName name="tfin">'[12]Param opération'!$F$7</definedName>
    <definedName name="TFNA">[3]Paramètres!$C$16</definedName>
    <definedName name="TFNN">[3]Paramètres!$C$15</definedName>
    <definedName name="tfpb">[1]Saisie!$D$92</definedName>
    <definedName name="TI">[3]Paramètres!$C$4</definedName>
    <definedName name="Tirage_apport_foncier">#REF!</definedName>
    <definedName name="Tirage_apport_travaux">#REF!</definedName>
    <definedName name="Tirage_prêt_foncier">#REF!</definedName>
    <definedName name="Tirage_Prêt_Princi">#REF!</definedName>
    <definedName name="Tirage_Prêt_Relais">#REF!</definedName>
    <definedName name="Tirage_prêt_travaux">#REF!</definedName>
    <definedName name="Tole_cintree">#REF!</definedName>
    <definedName name="tot_sp">#REF!</definedName>
    <definedName name="Total_Interest">'[33]BFC 2  2009'!$H$10</definedName>
    <definedName name="Total_Pay">#REF!</definedName>
    <definedName name="Total_Payment" localSheetId="13">Scheduled_Payment+Extra_Payment</definedName>
    <definedName name="Total_Payment" localSheetId="12">Scheduled_Payment+Extra_Payment</definedName>
    <definedName name="Total_Payment" localSheetId="7">Scheduled_Payment+Extra_Payment</definedName>
    <definedName name="Total_Payment" localSheetId="6">Scheduled_Payment+Extra_Payment</definedName>
    <definedName name="Total_Payment" localSheetId="11">Scheduled_Payment+Extra_Payment</definedName>
    <definedName name="Total_Payment" localSheetId="9">Scheduled_Payment+Extra_Payment</definedName>
    <definedName name="Total_Payment" localSheetId="0">Scheduled_Payment+Extra_Payment</definedName>
    <definedName name="Total_Payment" localSheetId="1">Scheduled_Payment+Extra_Payment</definedName>
    <definedName name="Total_Payment" localSheetId="3">Scheduled_Payment+Extra_Payment</definedName>
    <definedName name="Total_Payment" localSheetId="10">Scheduled_Payment+Extra_Payment</definedName>
    <definedName name="Total_Payment" localSheetId="4">Scheduled_Payment+Extra_Payment</definedName>
    <definedName name="Total_Payment" localSheetId="5">Scheduled_Payment+Extra_Payment</definedName>
    <definedName name="Total_Payment" localSheetId="2">Scheduled_Payment+Extra_Payment</definedName>
    <definedName name="Total_Payment" localSheetId="8">Scheduled_Payment+Extra_Payment</definedName>
    <definedName name="Total_Payment" localSheetId="14">Scheduled_Payment+Extra_Payment</definedName>
    <definedName name="Total_Payment">Scheduled_Payment+Extra_Payment</definedName>
    <definedName name="Total_taxe_fonc_XPF">'[35]Détail des surfaces'!$K$5</definedName>
    <definedName name="TOTAL2008">'[31]Suivi décaissement'!$CM$11:$CM$65</definedName>
    <definedName name="TOTAL2008R">'[31]Suivi décaissement'!$EB$11:$EB$65</definedName>
    <definedName name="TOTAL2011">'[31]Suivi décaissement'!$DE$11:$DE$65</definedName>
    <definedName name="TOTAL2011R">'[31]Suivi décaissement'!$ET$11:$ET$65</definedName>
    <definedName name="TOTAL2012">'[31]Suivi décaissement'!$DK$11:$DK$65</definedName>
    <definedName name="TOTAL2012R">'[31]Suivi décaissement'!$EZ$11:$EZ$65</definedName>
    <definedName name="TotinvestUSD">[32]HYP!#REF!</definedName>
    <definedName name="TOTLOGT">[1]Saisie!$C$38</definedName>
    <definedName name="TP">#REF!</definedName>
    <definedName name="tpgr">[1]Résultats!$H$34</definedName>
    <definedName name="tprogcdc">[1]Saisie!$C$85</definedName>
    <definedName name="Traitement_anti_termites_par_termifilm">#REF!</definedName>
    <definedName name="Traitement_anti_termites_sommaire">#REF!</definedName>
    <definedName name="TRAITEMENT_DES_EVACUATIONS_cctp">#REF!</definedName>
    <definedName name="TRAITEMENT_DES_EVACUATIONS_METRE">#REF!</definedName>
    <definedName name="Trappe_de_visite">#REF!</definedName>
    <definedName name="Travaux">#REF!</definedName>
    <definedName name="TRAVAUX_PREPARATOIRES">#REF!</definedName>
    <definedName name="TRAVAUX_PREPARATOIRES_METRE">#REF!</definedName>
    <definedName name="Travaux_revalo">#REF!</definedName>
    <definedName name="TRI">[11]Modele!#REF!</definedName>
    <definedName name="Triple_lisses">#REF!</definedName>
    <definedName name="TroisQuatre">#REF!</definedName>
    <definedName name="Trop_plein">#REF!</definedName>
    <definedName name="Trottoir">#REF!</definedName>
    <definedName name="TROTTOIR___DALLAGE___PAV_HERBE">#REF!</definedName>
    <definedName name="Trottoir_Dallage_Pav_herbe">#REF!</definedName>
    <definedName name="tsol">'[28]Prix rev.CE'!$D$25</definedName>
    <definedName name="tt">'[39]Par. Op.'!$F$5</definedName>
    <definedName name="Tube_carre">#REF!</definedName>
    <definedName name="Tube_rond">#REF!</definedName>
    <definedName name="TVAdefisc">'[19]Par. Op.'!$F$147</definedName>
    <definedName name="TVAdue">'[9]Param globaux'!$J$36</definedName>
    <definedName name="TVAN">'[51]76 Budget'!$H$4</definedName>
    <definedName name="TVAN1">#REF!</definedName>
    <definedName name="TVArec">'[9]Param globaux'!$J$37</definedName>
    <definedName name="TVAS">'[51]76 Budget'!$H$3</definedName>
    <definedName name="tvrd">'[28]Prix rev.CE'!$D$23</definedName>
    <definedName name="tvrd_com">'[28]Prix rev.CE'!$E$23</definedName>
    <definedName name="tx_change">#REF!</definedName>
    <definedName name="txAL">'[28]Prix rev.CE'!$J$22</definedName>
    <definedName name="TXbatHT">'[28]Prix rev.CE'!$E$56</definedName>
    <definedName name="txCAUE">'[9]Param opération'!$F$44</definedName>
    <definedName name="Txfonlls">'[12]Param globaux'!#REF!</definedName>
    <definedName name="Txfonllts">'[12]Param globaux'!#REF!</definedName>
    <definedName name="Txfonpls">'[12]Param globaux'!#REF!</definedName>
    <definedName name="txFS">'[28]Prix rev.CE'!$J$24</definedName>
    <definedName name="TxInt1">[1]Résultats!$G$13</definedName>
    <definedName name="TxInt2">[1]Résultats!$G$14</definedName>
    <definedName name="TxInt3">[1]Résultats!$G$18</definedName>
    <definedName name="Txint4">[1]Résultats!$G$19</definedName>
    <definedName name="Txintlls">'[12]Param globaux'!#REF!</definedName>
    <definedName name="Txintllts">'[12]Param globaux'!#REF!</definedName>
    <definedName name="Txintpls">'[12]Param globaux'!#REF!</definedName>
    <definedName name="TxLT">'[22]Hypothèses Investissement'!$C$58</definedName>
    <definedName name="txMO">#REF!</definedName>
    <definedName name="Txremsidr">'[9]Param globaux'!$J$35</definedName>
    <definedName name="txrév">'[9]Param globaux'!$J$34</definedName>
    <definedName name="TXsolHT">'[29]Tableau financier'!#REF!</definedName>
    <definedName name="txSUB">'[9]Param opération'!$F$51</definedName>
    <definedName name="txTDENS">'[9]Param opération'!$F$45</definedName>
    <definedName name="TxTLE">'[9]Param opération'!$F$43</definedName>
    <definedName name="TXvrdHT">'[28]Prix rev.CE'!$E$37</definedName>
    <definedName name="Type">[1]Saisie!$C$39</definedName>
    <definedName name="Type_Amortissement">#REF!</definedName>
    <definedName name="TYPE_DE_MARCHE">#REF!</definedName>
    <definedName name="type_hab">'[30]Param opération'!$F$9</definedName>
    <definedName name="type_lg">#REF!</definedName>
    <definedName name="type_lg_LLS">#REF!</definedName>
    <definedName name="type_lg_LLTS">#REF!</definedName>
    <definedName name="Type_Remboursement">#REF!</definedName>
    <definedName name="Typedefisc">'[19]Par. Op.'!$F$146</definedName>
    <definedName name="Types_d_elevation">#REF!</definedName>
    <definedName name="Typesurf">'[22]Surfaces Corossol'!$BC$15:$BM$32</definedName>
    <definedName name="V_charges_copro">#REF!</definedName>
    <definedName name="V_choix_apparts">'[7]Hypothèses Investisseur'!#REF!</definedName>
    <definedName name="V_comm_appart">#REF!</definedName>
    <definedName name="V_eros_mone">#REF!</definedName>
    <definedName name="V_lots_appart">#REF!</definedName>
    <definedName name="V_loyers">#REF!</definedName>
    <definedName name="V_montant_travaux">#REF!</definedName>
    <definedName name="V_surfaces">#REF!</definedName>
    <definedName name="V_taxe_fonciére">#REF!</definedName>
    <definedName name="V_valeur_appart">#REF!</definedName>
    <definedName name="Va_et_vient___point_lumineux">#REF!</definedName>
    <definedName name="Valeur_bien">'[7]Hypothèses Investisseur'!$N$21</definedName>
    <definedName name="Valeur_immobilier">'[7]Hypothèses générales'!$B$13</definedName>
    <definedName name="VALEURACQUISITION">'[37]Suivi décaissement'!$N$11:$N$65</definedName>
    <definedName name="Values_Entered" localSheetId="13">IF(Loan_Amount*Interest_Rate*Loan_Years*Loan_Start&gt;0,1,0)</definedName>
    <definedName name="Values_Entered" localSheetId="12">IF(Loan_Amount*Interest_Rate*Loan_Years*Loan_Start&gt;0,1,0)</definedName>
    <definedName name="Values_Entered" localSheetId="7">IF(Loan_Amount*Interest_Rate*Loan_Years*Loan_Start&gt;0,1,0)</definedName>
    <definedName name="Values_Entered" localSheetId="6">IF(Loan_Amount*Interest_Rate*Loan_Years*Loan_Start&gt;0,1,0)</definedName>
    <definedName name="Values_Entered" localSheetId="11">IF(Loan_Amount*Interest_Rate*Loan_Years*Loan_Start&gt;0,1,0)</definedName>
    <definedName name="Values_Entered" localSheetId="9">IF(Loan_Amount*Interest_Rate*Loan_Years*Loan_Start&gt;0,1,0)</definedName>
    <definedName name="Values_Entered" localSheetId="0">IF(Loan_Amount*Interest_Rate*Loan_Years*Loan_Start&gt;0,1,0)</definedName>
    <definedName name="Values_Entered" localSheetId="1">IF(Loan_Amount*Interest_Rate*Loan_Years*Loan_Start&gt;0,1,0)</definedName>
    <definedName name="Values_Entered" localSheetId="3">IF(Loan_Amount*Interest_Rate*Loan_Years*Loan_Start&gt;0,1,0)</definedName>
    <definedName name="Values_Entered" localSheetId="10">IF(Loan_Amount*Interest_Rate*Loan_Years*Loan_Start&gt;0,1,0)</definedName>
    <definedName name="Values_Entered" localSheetId="4">IF(Loan_Amount*Interest_Rate*Loan_Years*Loan_Start&gt;0,1,0)</definedName>
    <definedName name="Values_Entered" localSheetId="5">IF(Loan_Amount*Interest_Rate*Loan_Years*Loan_Start&gt;0,1,0)</definedName>
    <definedName name="Values_Entered" localSheetId="2">IF(Loan_Amount*Interest_Rate*Loan_Years*Loan_Start&gt;0,1,0)</definedName>
    <definedName name="Values_Entered" localSheetId="8">IF(Loan_Amount*Interest_Rate*Loan_Years*Loan_Start&gt;0,1,0)</definedName>
    <definedName name="Values_Entered" localSheetId="14">IF(Loan_Amount*Interest_Rate*Loan_Years*Loan_Start&gt;0,1,0)</definedName>
    <definedName name="Values_Entered">IF(Loan_Amount*Interest_Rate*Loan_Years*Loan_Start&gt;0,1,0)</definedName>
    <definedName name="Varangue_balcon">#REF!</definedName>
    <definedName name="Vasques">#REF!</definedName>
    <definedName name="VASTR">#REF!</definedName>
    <definedName name="VATL">#REF!</definedName>
    <definedName name="VBE">#REF!</definedName>
    <definedName name="VDH">#REF!</definedName>
    <definedName name="VDIV">#REF!</definedName>
    <definedName name="VDM">#REF!</definedName>
    <definedName name="VEGETALISATION">#REF!</definedName>
    <definedName name="VEGETALISATION_METRE">#REF!</definedName>
    <definedName name="Vegetalisation_VRD">#REF!</definedName>
    <definedName name="VEMB">#REF!</definedName>
    <definedName name="vent_gf">#REF!</definedName>
    <definedName name="vent_inst">#REF!</definedName>
    <definedName name="vent_pf">#REF!</definedName>
    <definedName name="Ventilation">#REF!</definedName>
    <definedName name="Ventilations_à_chicane">#REF!</definedName>
    <definedName name="VFAX">#REF!</definedName>
    <definedName name="VGC">#REF!</definedName>
    <definedName name="VGF">#REF!</definedName>
    <definedName name="Vide_sanitaire">#REF!</definedName>
    <definedName name="VILLAS_ET_APPARTEMENTS">#REF!</definedName>
    <definedName name="vinst">#REF!</definedName>
    <definedName name="Vmc">#REF!</definedName>
    <definedName name="VMC__individuelle">#REF!</definedName>
    <definedName name="VMC_cummune">#REF!</definedName>
    <definedName name="VMC_METRE">#REF!</definedName>
    <definedName name="VMIS">#REF!</definedName>
    <definedName name="VMOH">#REF!</definedName>
    <definedName name="VMOH1">#REF!</definedName>
    <definedName name="VMOH3">#REF!</definedName>
    <definedName name="VMOL">#REF!</definedName>
    <definedName name="VMOL1">#REF!</definedName>
    <definedName name="VMOL3">#REF!</definedName>
    <definedName name="VMOM">#REF!</definedName>
    <definedName name="VMOM1">#REF!</definedName>
    <definedName name="vmom3">#REF!</definedName>
    <definedName name="VMOT1">#REF!</definedName>
    <definedName name="VMOT3">#REF!</definedName>
    <definedName name="Voile_courbe">#REF!</definedName>
    <definedName name="Voiles_betons_en_elevation">#REF!</definedName>
    <definedName name="Voiles_en_soubassement">#REF!</definedName>
    <definedName name="Voiles_particuliers">#REF!</definedName>
    <definedName name="VOIRIES">#REF!</definedName>
    <definedName name="VOIRIES_METRE">#REF!</definedName>
    <definedName name="Voiries_VRD">#REF!</definedName>
    <definedName name="Volet_battant_sup_Sommaire">#REF!</definedName>
    <definedName name="Volet_roulant_manuel">#REF!</definedName>
    <definedName name="Volet_roulant_motorisé">#REF!</definedName>
    <definedName name="Volets_battant_aluminium">#REF!</definedName>
    <definedName name="VOLETS_BATTANT_SUP.__non_déduite_de_la_maçonnerie">#REF!</definedName>
    <definedName name="Volets_battant_sup__alu">#REF!</definedName>
    <definedName name="Volets_battants">#REF!</definedName>
    <definedName name="Volets_battants_en_bois">#REF!</definedName>
    <definedName name="Volets_roulants_à_lames_pleines">#REF!</definedName>
    <definedName name="VOLETS_ROULANTS_SUP.__non_déduite_de_la_maçonnerie">#REF!</definedName>
    <definedName name="Volets_roulants_sup__alu">#REF!</definedName>
    <definedName name="Volets_roulants_type_grille_de_bijoutier">#REF!</definedName>
    <definedName name="VPF">#REF!</definedName>
    <definedName name="VRA">#REF!</definedName>
    <definedName name="VRAF">#REF!</definedName>
    <definedName name="VRAH">#REF!</definedName>
    <definedName name="VRAR">#REF!</definedName>
    <definedName name="VRAV">#REF!</definedName>
    <definedName name="VRAVE">#REF!</definedName>
    <definedName name="VRD">#REF!</definedName>
    <definedName name="VRD_METRE">#REF!</definedName>
    <definedName name="VSTT">#REF!</definedName>
    <definedName name="VTR">#REF!</definedName>
    <definedName name="VTRAD">#REF!</definedName>
    <definedName name="VVEHMO">#REF!</definedName>
    <definedName name="VVMO">#REF!</definedName>
    <definedName name="WC">#REF!</definedName>
    <definedName name="WHT">#REF!</definedName>
    <definedName name="whtint">#REF!</definedName>
    <definedName name="wrn.Comité." hidden="1">{"Option 4",#N/A,FALSE,"GIE-GNi-2002+ 0 an";"Option 4 + 1",#N/A,FALSE,"GIE-GNi-2002+ 0 an";"Option 4 + 2",#N/A,FALSE,"GIE-GNi-2002+ 0 an"}</definedName>
    <definedName name="wrn.Imprime." hidden="1">{"Hyp&amp;Res",#N/A,TRUE,"Modele";"LO CF USD",#N/A,TRUE,"Modele";"LO CF EUR",#N/A,TRUE,"Modele";"LO P&amp;L",#N/A,TRUE,"Modele";"BNPP Tax Situation",#N/A,TRUE,"Modele";"BNPP ATR",#N/A,TRUE,"Modele";"Schedule",#N/A,TRUE,"Modele";"BNP Paribas CF",#N/A,TRUE,"Modele";"FeeSharing",#N/A,TRUE,"Modele";"Equity Use",#N/A,TRUE,"IRR Exim";"Balance Sheet",#N/A,TRUE,"IRR Exim";"TVs",#N/A,TRUE,"IRR Exim";"IRR SIA",#N/A,TRUE,"IRR Exim";"IRR SAI EXIM",#N/A,TRUE,"IRR Exim";"TV calc 2",#N/A,TRUE,"IRR Exim";"TVcalc1",#N/A,TRUE,"IRR Exim"}</definedName>
    <definedName name="wrn.Tranche._.1." hidden="1">{"Hypothèses - T1",#N/A,FALSE,"GIE- Tranche 1 seule";"Prêt - T1",#N/A,FALSE,"GIE- Tranche 1 seule";"Trésorerie - T1",#N/A,FALSE,"GIE- Tranche 1 seule";"Amort - T1",#N/A,FALSE,"GIE- Tranche 1 seule";"CR - T1",#N/A,FALSE,"GIE- Tranche 1 seule";"VAN - T1",#N/A,FALSE,"GIE- Tranche 1 seule";"Bilan - T1",#N/A,FALSE,"GIE- Tranche 1 seule";"Loyer C - T1",#N/A,FALSE,"ADF&amp;TV - T1";"Loyer - T1",#N/A,FALSE,"GIE- Tranche 1 seule";"5 Hypothèse - T1",#N/A,FALSE,"GIE- Tranche 1 seule";"5 Ec. Fiscale - T1",#N/A,FALSE,"GIE- Tranche 1 seule";"5 Tréso - T1",#N/A,FALSE,"GIE- Tranche 1 seule";"5 RF - T1",#N/A,FALSE,"GIE- Tranche 1 seule";"4 VR - T1",#N/A,FALSE,"GIE- Tranche 1 seule";"TEG 1",#N/A,FALSE,"TEG 1";"DGI SYNTH",#N/A,FALSE,"Décomposition"}</definedName>
    <definedName name="wrn.Tranche._.1._.et._.Tranche._.2." hidden="1">{"Hypothèse T1 + T2",#N/A,FALSE,"GIE- Centrale en totalité";"Prêt T1 + T2",#N/A,FALSE,"GIE- Centrale en totalité";"Trésorerie - T1 + T2",#N/A,FALSE,"GIE- Centrale en totalité";"Amort - T1 + T2",#N/A,FALSE,"GIE- Centrale en totalité";"CR - T1 + T2",#N/A,FALSE,"GIE- Centrale en totalité";"VAN - T1 + T2",#N/A,FALSE,"GIE- Centrale en totalité";"Bilan - T1 + T2",#N/A,FALSE,"GIE- Centrale en totalité";"Loyer - T1 + T2",#N/A,FALSE,"GIE- Centrale en totalité";"Loyer C - T1 + T2",#N/A,FALSE,"GIE- Centrale en totalité";"5 Hypothèse - T1 + T2",#N/A,FALSE,"GIE- Centrale en totalité";"5 Ec. Fiscale - T1 + T2",#N/A,FALSE,"GIE- Centrale en totalité";"5 Tréso - T1 + T2",#N/A,FALSE,"GIE- Centrale en totalité";"5 RF - T1 + T2",#N/A,FALSE,"GIE- Centrale en totalité";"4 VR - T1 + T2",#N/A,FALSE,"GIE- Centrale en totalité";"TEG 2",#N/A,FALSE,"TEG 1&amp;2"}</definedName>
    <definedName name="yyy">_L17C2</definedName>
    <definedName name="_xlnm.Print_Area" localSheetId="13">Amortissements!$A$1:$T$50</definedName>
    <definedName name="_xlnm.Print_Area" localSheetId="12">Assurance!$A$1:$F$4</definedName>
    <definedName name="_xlnm.Print_Area" localSheetId="7">Equipements!$A$2:$K$74</definedName>
    <definedName name="_xlnm.Print_Area" localSheetId="6">GER!$B$1:$AD$49</definedName>
    <definedName name="_xlnm.Print_Area" localSheetId="11">'Impôts et taxes'!$B$14:$E$18</definedName>
    <definedName name="_xlnm.Print_Area" localSheetId="9">LOYERS!$A$1:$H$51</definedName>
    <definedName name="_xlnm.Print_Area" localSheetId="0">'Modèle financier'!$A$1:$AS$19</definedName>
    <definedName name="_xlnm.Print_Area" localSheetId="1">'Plan de financement'!$A$1:$I$22</definedName>
    <definedName name="_xlnm.Print_Area" localSheetId="3">'Plan de trésorerie'!$A$1:$S$20</definedName>
    <definedName name="_xlnm.Print_Area" localSheetId="10">'PLS 40 ans Tr'!$A$1:$T$163</definedName>
    <definedName name="_xlnm.Print_Area" localSheetId="4">PRD!$A$1:$AW$25</definedName>
    <definedName name="_xlnm.Print_Area" localSheetId="2">'Prix de revient'!$A$1:$J$17</definedName>
    <definedName name="_xlnm.Print_Area" localSheetId="8">'Remplacement de composants'!$A$1:$N$29</definedName>
    <definedName name="_xlnm.Print_Area" localSheetId="14">'Reprise subvent°'!$A$1:$Q$50</definedName>
    <definedName name="zone400">#REF!</definedName>
    <definedName name="zone400m">'[42]Param opération'!$F$17</definedName>
    <definedName name="zonedonnées1">#REF!</definedName>
    <definedName name="zonedonnées2">#REF!</definedName>
    <definedName name="zoneurba">'[42]Param opération'!$F$82</definedName>
    <definedName name="zonnedonnées3">#REF!</definedName>
    <definedName name="zreglementaire">#REF!</definedName>
    <definedName name="zz">'[39]Par. Op.'!$F$7</definedName>
  </definedNames>
  <calcPr calcId="152511"/>
  <pivotCaches>
    <pivotCache cacheId="2" r:id="rId71"/>
  </pivotCaches>
</workbook>
</file>

<file path=xl/calcChain.xml><?xml version="1.0" encoding="utf-8"?>
<calcChain xmlns="http://schemas.openxmlformats.org/spreadsheetml/2006/main">
  <c r="L4" i="46" l="1"/>
  <c r="K4" i="46"/>
  <c r="J4" i="46"/>
  <c r="I4" i="46"/>
  <c r="H4" i="46"/>
  <c r="G4" i="46"/>
  <c r="F4" i="46"/>
  <c r="E4" i="46"/>
  <c r="F5" i="46"/>
  <c r="AA3" i="46"/>
  <c r="AA47" i="46" s="1"/>
  <c r="J3" i="46"/>
  <c r="J47" i="46" s="1"/>
  <c r="G3" i="46"/>
  <c r="AS48" i="46"/>
  <c r="AS35" i="46"/>
  <c r="AS7" i="46"/>
  <c r="AS4" i="46"/>
  <c r="AR48" i="46"/>
  <c r="AR32" i="46"/>
  <c r="AR46" i="46" s="1"/>
  <c r="AR7" i="46"/>
  <c r="AR5" i="46"/>
  <c r="AQ48" i="46"/>
  <c r="AQ7" i="46"/>
  <c r="AP48" i="46"/>
  <c r="AP35" i="46"/>
  <c r="AP7" i="46"/>
  <c r="AO48" i="46"/>
  <c r="AO35" i="46"/>
  <c r="AO7" i="46"/>
  <c r="AO4" i="46"/>
  <c r="AN48" i="46"/>
  <c r="AN7" i="46"/>
  <c r="AM48" i="46"/>
  <c r="AM32" i="46"/>
  <c r="AM7" i="46"/>
  <c r="AM5" i="46"/>
  <c r="AL48" i="46"/>
  <c r="AL35" i="46"/>
  <c r="AL7" i="46"/>
  <c r="AK48" i="46"/>
  <c r="AK35" i="46"/>
  <c r="AK7" i="46"/>
  <c r="AJ3" i="46"/>
  <c r="AJ47" i="46" s="1"/>
  <c r="AM3" i="46"/>
  <c r="AM47" i="46" s="1"/>
  <c r="AN3" i="46"/>
  <c r="AQ3" i="46"/>
  <c r="AQ47" i="46" s="1"/>
  <c r="AR3" i="46"/>
  <c r="AR47" i="46" s="1"/>
  <c r="AJ48" i="46"/>
  <c r="AJ35" i="46"/>
  <c r="AJ7" i="46"/>
  <c r="AJ9" i="46"/>
  <c r="AJ10" i="46"/>
  <c r="AI48" i="46"/>
  <c r="AI35" i="46"/>
  <c r="AI7" i="46"/>
  <c r="AH48" i="46"/>
  <c r="AH35" i="46"/>
  <c r="AH7" i="46"/>
  <c r="P48" i="60"/>
  <c r="F48" i="60"/>
  <c r="P47" i="60"/>
  <c r="P46" i="60"/>
  <c r="P45" i="60"/>
  <c r="P44" i="60"/>
  <c r="P43" i="60"/>
  <c r="A8" i="60"/>
  <c r="A9" i="60" s="1"/>
  <c r="A10" i="60" s="1"/>
  <c r="A11" i="60" s="1"/>
  <c r="A12" i="60" s="1"/>
  <c r="A13" i="60" s="1"/>
  <c r="A14" i="60" s="1"/>
  <c r="A15" i="60" s="1"/>
  <c r="A16" i="60" s="1"/>
  <c r="A17" i="60" s="1"/>
  <c r="A18" i="60" s="1"/>
  <c r="A19" i="60" s="1"/>
  <c r="A20" i="60" s="1"/>
  <c r="A21" i="60" s="1"/>
  <c r="A22" i="60" s="1"/>
  <c r="A23" i="60" s="1"/>
  <c r="A24" i="60" s="1"/>
  <c r="A25" i="60" s="1"/>
  <c r="A26" i="60" s="1"/>
  <c r="A27" i="60" s="1"/>
  <c r="A28" i="60" s="1"/>
  <c r="A29" i="60" s="1"/>
  <c r="A30" i="60" s="1"/>
  <c r="A31" i="60" s="1"/>
  <c r="A32" i="60" s="1"/>
  <c r="A33" i="60" s="1"/>
  <c r="A34" i="60" s="1"/>
  <c r="A35" i="60" s="1"/>
  <c r="A36" i="60" s="1"/>
  <c r="A37" i="60" s="1"/>
  <c r="A38" i="60" s="1"/>
  <c r="A39" i="60" s="1"/>
  <c r="A40" i="60" s="1"/>
  <c r="A41" i="60" s="1"/>
  <c r="A42" i="60" s="1"/>
  <c r="A43" i="60" s="1"/>
  <c r="A44" i="60" s="1"/>
  <c r="A45" i="60" s="1"/>
  <c r="A46" i="60" s="1"/>
  <c r="A47" i="60" s="1"/>
  <c r="A48" i="60" s="1"/>
  <c r="T48" i="59"/>
  <c r="Q48" i="59"/>
  <c r="P48" i="59"/>
  <c r="F48" i="59"/>
  <c r="S47" i="59"/>
  <c r="P47" i="59"/>
  <c r="S46" i="59"/>
  <c r="AR35" i="46" s="1"/>
  <c r="P46" i="59"/>
  <c r="S45" i="59"/>
  <c r="AQ35" i="46" s="1"/>
  <c r="P45" i="59"/>
  <c r="S44" i="59"/>
  <c r="P44" i="59"/>
  <c r="S43" i="59"/>
  <c r="P43" i="59"/>
  <c r="S42" i="59"/>
  <c r="AN35" i="46" s="1"/>
  <c r="S41" i="59"/>
  <c r="AM35" i="46" s="1"/>
  <c r="S40" i="59"/>
  <c r="S39" i="59"/>
  <c r="S38" i="59"/>
  <c r="S37" i="59"/>
  <c r="S36" i="59"/>
  <c r="S35" i="59"/>
  <c r="S34" i="59"/>
  <c r="S33" i="59"/>
  <c r="S32" i="59"/>
  <c r="S31" i="59"/>
  <c r="S30" i="59"/>
  <c r="S29" i="59"/>
  <c r="S28" i="59"/>
  <c r="S27" i="59"/>
  <c r="S26" i="59"/>
  <c r="S25" i="59"/>
  <c r="S24" i="59"/>
  <c r="S23" i="59"/>
  <c r="S22" i="59"/>
  <c r="S21" i="59"/>
  <c r="S20" i="59"/>
  <c r="S19" i="59"/>
  <c r="S18" i="59"/>
  <c r="S17" i="59"/>
  <c r="S16" i="59"/>
  <c r="S15" i="59"/>
  <c r="S14" i="59"/>
  <c r="S13" i="59"/>
  <c r="S12" i="59"/>
  <c r="S11" i="59"/>
  <c r="S10" i="59"/>
  <c r="S9" i="59"/>
  <c r="A9" i="59"/>
  <c r="A10" i="59" s="1"/>
  <c r="A11" i="59" s="1"/>
  <c r="A12" i="59" s="1"/>
  <c r="A13" i="59" s="1"/>
  <c r="A14" i="59" s="1"/>
  <c r="A15" i="59" s="1"/>
  <c r="A16" i="59" s="1"/>
  <c r="A17" i="59" s="1"/>
  <c r="A18" i="59" s="1"/>
  <c r="A19" i="59" s="1"/>
  <c r="A20" i="59" s="1"/>
  <c r="A21" i="59" s="1"/>
  <c r="A22" i="59" s="1"/>
  <c r="A23" i="59" s="1"/>
  <c r="A24" i="59" s="1"/>
  <c r="A25" i="59" s="1"/>
  <c r="A26" i="59" s="1"/>
  <c r="A27" i="59" s="1"/>
  <c r="A28" i="59" s="1"/>
  <c r="A29" i="59" s="1"/>
  <c r="A30" i="59" s="1"/>
  <c r="A31" i="59" s="1"/>
  <c r="A32" i="59" s="1"/>
  <c r="A33" i="59" s="1"/>
  <c r="A34" i="59" s="1"/>
  <c r="A35" i="59" s="1"/>
  <c r="A36" i="59" s="1"/>
  <c r="A37" i="59" s="1"/>
  <c r="A38" i="59" s="1"/>
  <c r="A39" i="59" s="1"/>
  <c r="A40" i="59" s="1"/>
  <c r="A41" i="59" s="1"/>
  <c r="A42" i="59" s="1"/>
  <c r="A43" i="59" s="1"/>
  <c r="A44" i="59" s="1"/>
  <c r="A45" i="59" s="1"/>
  <c r="A46" i="59" s="1"/>
  <c r="A47" i="59" s="1"/>
  <c r="A48" i="59" s="1"/>
  <c r="S8" i="59"/>
  <c r="A8" i="59"/>
  <c r="S7" i="59"/>
  <c r="S3" i="59"/>
  <c r="F3" i="58"/>
  <c r="C16" i="57"/>
  <c r="C17" i="57" s="1"/>
  <c r="F8" i="57"/>
  <c r="E8" i="57"/>
  <c r="F7" i="57"/>
  <c r="E7" i="57"/>
  <c r="F6" i="57"/>
  <c r="E6" i="57"/>
  <c r="F5" i="57"/>
  <c r="E5" i="57"/>
  <c r="F4" i="57"/>
  <c r="E4" i="57"/>
  <c r="F3" i="57"/>
  <c r="F9" i="57" s="1"/>
  <c r="D17" i="57" s="1"/>
  <c r="E3" i="57"/>
  <c r="E9" i="57" s="1"/>
  <c r="D16" i="57" s="1"/>
  <c r="K163" i="56"/>
  <c r="H163" i="56"/>
  <c r="T159" i="56"/>
  <c r="S159" i="56"/>
  <c r="R159" i="56"/>
  <c r="T155" i="56"/>
  <c r="S155" i="56"/>
  <c r="R155" i="56"/>
  <c r="T151" i="56"/>
  <c r="S151" i="56"/>
  <c r="R151" i="56"/>
  <c r="T147" i="56"/>
  <c r="S147" i="56"/>
  <c r="R147" i="56"/>
  <c r="T143" i="56"/>
  <c r="S143" i="56"/>
  <c r="R143" i="56"/>
  <c r="T139" i="56"/>
  <c r="S139" i="56"/>
  <c r="R139" i="56"/>
  <c r="T135" i="56"/>
  <c r="S135" i="56"/>
  <c r="R135" i="56"/>
  <c r="T131" i="56"/>
  <c r="S131" i="56"/>
  <c r="R131" i="56"/>
  <c r="T127" i="56"/>
  <c r="S127" i="56"/>
  <c r="R127" i="56"/>
  <c r="T123" i="56"/>
  <c r="S123" i="56"/>
  <c r="R123" i="56"/>
  <c r="T119" i="56"/>
  <c r="S119" i="56"/>
  <c r="R119" i="56"/>
  <c r="T115" i="56"/>
  <c r="S115" i="56"/>
  <c r="R115" i="56"/>
  <c r="T111" i="56"/>
  <c r="S111" i="56"/>
  <c r="R111" i="56"/>
  <c r="T107" i="56"/>
  <c r="S107" i="56"/>
  <c r="R107" i="56"/>
  <c r="T103" i="56"/>
  <c r="S103" i="56"/>
  <c r="R103" i="56"/>
  <c r="T99" i="56"/>
  <c r="S99" i="56"/>
  <c r="R99" i="56"/>
  <c r="T95" i="56"/>
  <c r="S95" i="56"/>
  <c r="R95" i="56"/>
  <c r="T91" i="56"/>
  <c r="S91" i="56"/>
  <c r="R91" i="56"/>
  <c r="T87" i="56"/>
  <c r="S87" i="56"/>
  <c r="R87" i="56"/>
  <c r="T83" i="56"/>
  <c r="S83" i="56"/>
  <c r="R83" i="56"/>
  <c r="T79" i="56"/>
  <c r="S79" i="56"/>
  <c r="R79" i="56"/>
  <c r="T75" i="56"/>
  <c r="S75" i="56"/>
  <c r="R75" i="56"/>
  <c r="T71" i="56"/>
  <c r="S71" i="56"/>
  <c r="R71" i="56"/>
  <c r="T67" i="56"/>
  <c r="S67" i="56"/>
  <c r="R67" i="56"/>
  <c r="T63" i="56"/>
  <c r="S63" i="56"/>
  <c r="R63" i="56"/>
  <c r="T59" i="56"/>
  <c r="S59" i="56"/>
  <c r="R59" i="56"/>
  <c r="T55" i="56"/>
  <c r="S55" i="56"/>
  <c r="R55" i="56"/>
  <c r="T51" i="56"/>
  <c r="S51" i="56"/>
  <c r="R51" i="56"/>
  <c r="T47" i="56"/>
  <c r="S47" i="56"/>
  <c r="R47" i="56"/>
  <c r="T43" i="56"/>
  <c r="S43" i="56"/>
  <c r="R43" i="56"/>
  <c r="T39" i="56"/>
  <c r="S39" i="56"/>
  <c r="R39" i="56"/>
  <c r="T35" i="56"/>
  <c r="S35" i="56"/>
  <c r="R35" i="56"/>
  <c r="T31" i="56"/>
  <c r="S31" i="56"/>
  <c r="R31" i="56"/>
  <c r="T27" i="56"/>
  <c r="S27" i="56"/>
  <c r="R27" i="56"/>
  <c r="T23" i="56"/>
  <c r="S23" i="56"/>
  <c r="R23" i="56"/>
  <c r="T19" i="56"/>
  <c r="S19" i="56"/>
  <c r="S163" i="56" s="1"/>
  <c r="S164" i="56" s="1"/>
  <c r="R19" i="56"/>
  <c r="T15" i="56"/>
  <c r="S15" i="56"/>
  <c r="R15" i="56"/>
  <c r="T11" i="56"/>
  <c r="S11" i="56"/>
  <c r="R11" i="56"/>
  <c r="T7" i="56"/>
  <c r="S7" i="56"/>
  <c r="R7" i="56"/>
  <c r="T3" i="56"/>
  <c r="S3" i="56"/>
  <c r="R3" i="56"/>
  <c r="E3" i="56"/>
  <c r="E4" i="56" s="1"/>
  <c r="E5" i="56" s="1"/>
  <c r="E6" i="56" s="1"/>
  <c r="E7" i="56" s="1"/>
  <c r="E8" i="56" s="1"/>
  <c r="E9" i="56" s="1"/>
  <c r="E10" i="56" s="1"/>
  <c r="E11" i="56" s="1"/>
  <c r="E12" i="56" s="1"/>
  <c r="E13" i="56" s="1"/>
  <c r="E14" i="56" s="1"/>
  <c r="E15" i="56" s="1"/>
  <c r="E16" i="56" s="1"/>
  <c r="E17" i="56" s="1"/>
  <c r="E18" i="56" s="1"/>
  <c r="E19" i="56" s="1"/>
  <c r="E20" i="56" s="1"/>
  <c r="E21" i="56" s="1"/>
  <c r="E22" i="56" s="1"/>
  <c r="E23" i="56" s="1"/>
  <c r="E24" i="56" s="1"/>
  <c r="E25" i="56" s="1"/>
  <c r="E26" i="56" s="1"/>
  <c r="E27" i="56" s="1"/>
  <c r="E28" i="56" s="1"/>
  <c r="E29" i="56" s="1"/>
  <c r="E30" i="56" s="1"/>
  <c r="E31" i="56" s="1"/>
  <c r="E32" i="56" s="1"/>
  <c r="E33" i="56" s="1"/>
  <c r="E34" i="56" s="1"/>
  <c r="E35" i="56" s="1"/>
  <c r="E36" i="56" s="1"/>
  <c r="E37" i="56" s="1"/>
  <c r="E38" i="56" s="1"/>
  <c r="E39" i="56" s="1"/>
  <c r="E40" i="56" s="1"/>
  <c r="E41" i="56" s="1"/>
  <c r="E42" i="56" s="1"/>
  <c r="E43" i="56" s="1"/>
  <c r="E44" i="56" s="1"/>
  <c r="E45" i="56" s="1"/>
  <c r="E46" i="56" s="1"/>
  <c r="E47" i="56" s="1"/>
  <c r="E48" i="56" s="1"/>
  <c r="E49" i="56" s="1"/>
  <c r="E50" i="56" s="1"/>
  <c r="E51" i="56" s="1"/>
  <c r="E52" i="56" s="1"/>
  <c r="E53" i="56" s="1"/>
  <c r="E54" i="56" s="1"/>
  <c r="E55" i="56" s="1"/>
  <c r="E56" i="56" s="1"/>
  <c r="E57" i="56" s="1"/>
  <c r="E58" i="56" s="1"/>
  <c r="E59" i="56" s="1"/>
  <c r="E60" i="56" s="1"/>
  <c r="E61" i="56" s="1"/>
  <c r="E62" i="56" s="1"/>
  <c r="E63" i="56" s="1"/>
  <c r="E64" i="56" s="1"/>
  <c r="E65" i="56" s="1"/>
  <c r="E66" i="56" s="1"/>
  <c r="E67" i="56" s="1"/>
  <c r="E68" i="56" s="1"/>
  <c r="E69" i="56" s="1"/>
  <c r="E70" i="56" s="1"/>
  <c r="E71" i="56" s="1"/>
  <c r="E72" i="56" s="1"/>
  <c r="E73" i="56" s="1"/>
  <c r="E74" i="56" s="1"/>
  <c r="E75" i="56" s="1"/>
  <c r="E76" i="56" s="1"/>
  <c r="E77" i="56" s="1"/>
  <c r="E78" i="56" s="1"/>
  <c r="E79" i="56" s="1"/>
  <c r="E80" i="56" s="1"/>
  <c r="E81" i="56" s="1"/>
  <c r="E82" i="56" s="1"/>
  <c r="E83" i="56" s="1"/>
  <c r="E84" i="56" s="1"/>
  <c r="E85" i="56" s="1"/>
  <c r="E86" i="56" s="1"/>
  <c r="E87" i="56" s="1"/>
  <c r="E88" i="56" s="1"/>
  <c r="E89" i="56" s="1"/>
  <c r="E90" i="56" s="1"/>
  <c r="E91" i="56" s="1"/>
  <c r="E92" i="56" s="1"/>
  <c r="E93" i="56" s="1"/>
  <c r="E94" i="56" s="1"/>
  <c r="E95" i="56" s="1"/>
  <c r="E96" i="56" s="1"/>
  <c r="E97" i="56" s="1"/>
  <c r="E98" i="56" s="1"/>
  <c r="E99" i="56" s="1"/>
  <c r="E100" i="56" s="1"/>
  <c r="E101" i="56" s="1"/>
  <c r="E102" i="56" s="1"/>
  <c r="E103" i="56" s="1"/>
  <c r="E104" i="56" s="1"/>
  <c r="E105" i="56" s="1"/>
  <c r="E106" i="56" s="1"/>
  <c r="E107" i="56" s="1"/>
  <c r="E108" i="56" s="1"/>
  <c r="E109" i="56" s="1"/>
  <c r="E110" i="56" s="1"/>
  <c r="E111" i="56" s="1"/>
  <c r="E112" i="56" s="1"/>
  <c r="E113" i="56" s="1"/>
  <c r="E114" i="56" s="1"/>
  <c r="E115" i="56" s="1"/>
  <c r="E116" i="56" s="1"/>
  <c r="E117" i="56" s="1"/>
  <c r="E118" i="56" s="1"/>
  <c r="E119" i="56" s="1"/>
  <c r="E120" i="56" s="1"/>
  <c r="E121" i="56" s="1"/>
  <c r="E122" i="56" s="1"/>
  <c r="E123" i="56" s="1"/>
  <c r="E124" i="56" s="1"/>
  <c r="E125" i="56" s="1"/>
  <c r="E126" i="56" s="1"/>
  <c r="E127" i="56" s="1"/>
  <c r="E128" i="56" s="1"/>
  <c r="E129" i="56" s="1"/>
  <c r="E130" i="56" s="1"/>
  <c r="E131" i="56" s="1"/>
  <c r="E132" i="56" s="1"/>
  <c r="E133" i="56" s="1"/>
  <c r="E134" i="56" s="1"/>
  <c r="E135" i="56" s="1"/>
  <c r="E136" i="56" s="1"/>
  <c r="E137" i="56" s="1"/>
  <c r="E138" i="56" s="1"/>
  <c r="E139" i="56" s="1"/>
  <c r="E140" i="56" s="1"/>
  <c r="E141" i="56" s="1"/>
  <c r="E142" i="56" s="1"/>
  <c r="E143" i="56" s="1"/>
  <c r="E144" i="56" s="1"/>
  <c r="E145" i="56" s="1"/>
  <c r="E146" i="56" s="1"/>
  <c r="E147" i="56" s="1"/>
  <c r="E148" i="56" s="1"/>
  <c r="E149" i="56" s="1"/>
  <c r="E150" i="56" s="1"/>
  <c r="E151" i="56" s="1"/>
  <c r="E152" i="56" s="1"/>
  <c r="E153" i="56" s="1"/>
  <c r="E154" i="56" s="1"/>
  <c r="E155" i="56" s="1"/>
  <c r="E156" i="56" s="1"/>
  <c r="E157" i="56" s="1"/>
  <c r="E158" i="56" s="1"/>
  <c r="E159" i="56" s="1"/>
  <c r="E160" i="56" s="1"/>
  <c r="E161" i="56" s="1"/>
  <c r="E162" i="56" s="1"/>
  <c r="S2" i="56"/>
  <c r="G49" i="55"/>
  <c r="H49" i="55" s="1"/>
  <c r="G48" i="55"/>
  <c r="F48" i="55"/>
  <c r="E48" i="55"/>
  <c r="AS32" i="46" s="1"/>
  <c r="D48" i="55"/>
  <c r="C48" i="55"/>
  <c r="G47" i="55"/>
  <c r="F47" i="55"/>
  <c r="E47" i="55"/>
  <c r="D47" i="55"/>
  <c r="AR4" i="46" s="1"/>
  <c r="C47" i="55"/>
  <c r="H47" i="55" s="1"/>
  <c r="G46" i="55"/>
  <c r="F46" i="55"/>
  <c r="E46" i="55"/>
  <c r="AQ5" i="46" s="1"/>
  <c r="D46" i="55"/>
  <c r="AQ4" i="46" s="1"/>
  <c r="C46" i="55"/>
  <c r="G45" i="55"/>
  <c r="F45" i="55"/>
  <c r="E45" i="55"/>
  <c r="AP32" i="46" s="1"/>
  <c r="AP46" i="46" s="1"/>
  <c r="D45" i="55"/>
  <c r="AP4" i="46" s="1"/>
  <c r="C45" i="55"/>
  <c r="G44" i="55"/>
  <c r="F44" i="55"/>
  <c r="E44" i="55"/>
  <c r="AO32" i="46" s="1"/>
  <c r="D44" i="55"/>
  <c r="C44" i="55"/>
  <c r="H44" i="55" s="1"/>
  <c r="G43" i="55"/>
  <c r="F43" i="55"/>
  <c r="E43" i="55"/>
  <c r="AN5" i="46" s="1"/>
  <c r="D43" i="55"/>
  <c r="AN4" i="46" s="1"/>
  <c r="C43" i="55"/>
  <c r="H43" i="55" s="1"/>
  <c r="G42" i="55"/>
  <c r="F42" i="55"/>
  <c r="E42" i="55"/>
  <c r="D42" i="55"/>
  <c r="AM4" i="46" s="1"/>
  <c r="C42" i="55"/>
  <c r="G41" i="55"/>
  <c r="F41" i="55"/>
  <c r="E41" i="55"/>
  <c r="AL32" i="46" s="1"/>
  <c r="AL46" i="46" s="1"/>
  <c r="D41" i="55"/>
  <c r="AL4" i="46" s="1"/>
  <c r="C41" i="55"/>
  <c r="H41" i="55" s="1"/>
  <c r="G40" i="55"/>
  <c r="F40" i="55"/>
  <c r="E40" i="55"/>
  <c r="D40" i="55"/>
  <c r="AK4" i="46" s="1"/>
  <c r="C40" i="55"/>
  <c r="H40" i="55" s="1"/>
  <c r="G39" i="55"/>
  <c r="F39" i="55"/>
  <c r="E39" i="55"/>
  <c r="D39" i="55"/>
  <c r="AJ4" i="46" s="1"/>
  <c r="C39" i="55"/>
  <c r="G38" i="55"/>
  <c r="F38" i="55"/>
  <c r="E38" i="55"/>
  <c r="AI32" i="46" s="1"/>
  <c r="D38" i="55"/>
  <c r="AI4" i="46" s="1"/>
  <c r="C38" i="55"/>
  <c r="H38" i="55" s="1"/>
  <c r="G37" i="55"/>
  <c r="F37" i="55"/>
  <c r="E37" i="55"/>
  <c r="D37" i="55"/>
  <c r="AH4" i="46" s="1"/>
  <c r="C37" i="55"/>
  <c r="H37" i="55" s="1"/>
  <c r="G36" i="55"/>
  <c r="F36" i="55"/>
  <c r="E36" i="55"/>
  <c r="D36" i="55"/>
  <c r="C36" i="55"/>
  <c r="G35" i="55"/>
  <c r="F35" i="55"/>
  <c r="E35" i="55"/>
  <c r="D35" i="55"/>
  <c r="C35" i="55"/>
  <c r="H34" i="55"/>
  <c r="G34" i="55"/>
  <c r="F34" i="55"/>
  <c r="E34" i="55"/>
  <c r="D34" i="55"/>
  <c r="C34" i="55"/>
  <c r="G33" i="55"/>
  <c r="F33" i="55"/>
  <c r="E33" i="55"/>
  <c r="D33" i="55"/>
  <c r="C33" i="55"/>
  <c r="G32" i="55"/>
  <c r="F32" i="55"/>
  <c r="E32" i="55"/>
  <c r="D32" i="55"/>
  <c r="C32" i="55"/>
  <c r="G31" i="55"/>
  <c r="F31" i="55"/>
  <c r="E31" i="55"/>
  <c r="D31" i="55"/>
  <c r="C31" i="55"/>
  <c r="H31" i="55" s="1"/>
  <c r="G30" i="55"/>
  <c r="F30" i="55"/>
  <c r="E30" i="55"/>
  <c r="D30" i="55"/>
  <c r="C30" i="55"/>
  <c r="G29" i="55"/>
  <c r="F29" i="55"/>
  <c r="E29" i="55"/>
  <c r="D29" i="55"/>
  <c r="C29" i="55"/>
  <c r="H29" i="55" s="1"/>
  <c r="G28" i="55"/>
  <c r="F28" i="55"/>
  <c r="E28" i="55"/>
  <c r="D28" i="55"/>
  <c r="C28" i="55"/>
  <c r="H28" i="55" s="1"/>
  <c r="G27" i="55"/>
  <c r="F27" i="55"/>
  <c r="E27" i="55"/>
  <c r="D27" i="55"/>
  <c r="C27" i="55"/>
  <c r="H27" i="55" s="1"/>
  <c r="G26" i="55"/>
  <c r="F26" i="55"/>
  <c r="E26" i="55"/>
  <c r="D26" i="55"/>
  <c r="C26" i="55"/>
  <c r="G25" i="55"/>
  <c r="F25" i="55"/>
  <c r="E25" i="55"/>
  <c r="D25" i="55"/>
  <c r="C25" i="55"/>
  <c r="H25" i="55" s="1"/>
  <c r="G24" i="55"/>
  <c r="F24" i="55"/>
  <c r="E24" i="55"/>
  <c r="D24" i="55"/>
  <c r="C24" i="55"/>
  <c r="H24" i="55" s="1"/>
  <c r="G23" i="55"/>
  <c r="F23" i="55"/>
  <c r="E23" i="55"/>
  <c r="D23" i="55"/>
  <c r="C23" i="55"/>
  <c r="N22" i="55"/>
  <c r="L22" i="55"/>
  <c r="G22" i="55"/>
  <c r="F22" i="55"/>
  <c r="E22" i="55"/>
  <c r="D22" i="55"/>
  <c r="C22" i="55"/>
  <c r="H22" i="55" s="1"/>
  <c r="L21" i="55"/>
  <c r="G21" i="55"/>
  <c r="F21" i="55"/>
  <c r="E21" i="55"/>
  <c r="D21" i="55"/>
  <c r="C21" i="55"/>
  <c r="L20" i="55"/>
  <c r="G20" i="55"/>
  <c r="F20" i="55"/>
  <c r="E20" i="55"/>
  <c r="D20" i="55"/>
  <c r="C20" i="55"/>
  <c r="H20" i="55" s="1"/>
  <c r="L19" i="55"/>
  <c r="G19" i="55"/>
  <c r="F19" i="55"/>
  <c r="E19" i="55"/>
  <c r="D19" i="55"/>
  <c r="C19" i="55"/>
  <c r="N18" i="55"/>
  <c r="L18" i="55"/>
  <c r="G18" i="55"/>
  <c r="F18" i="55"/>
  <c r="E18" i="55"/>
  <c r="D18" i="55"/>
  <c r="C18" i="55"/>
  <c r="L17" i="55"/>
  <c r="G17" i="55"/>
  <c r="F17" i="55"/>
  <c r="E17" i="55"/>
  <c r="D17" i="55"/>
  <c r="C17" i="55"/>
  <c r="H17" i="55" s="1"/>
  <c r="L16" i="55"/>
  <c r="G16" i="55"/>
  <c r="F16" i="55"/>
  <c r="E16" i="55"/>
  <c r="D16" i="55"/>
  <c r="C16" i="55"/>
  <c r="L15" i="55"/>
  <c r="G15" i="55"/>
  <c r="F15" i="55"/>
  <c r="E15" i="55"/>
  <c r="D15" i="55"/>
  <c r="C15" i="55"/>
  <c r="H15" i="55" s="1"/>
  <c r="N14" i="55"/>
  <c r="L14" i="55"/>
  <c r="G14" i="55"/>
  <c r="F14" i="55"/>
  <c r="E14" i="55"/>
  <c r="D14" i="55"/>
  <c r="C14" i="55"/>
  <c r="AE3" i="46" s="1"/>
  <c r="AE47" i="46" s="1"/>
  <c r="L13" i="55"/>
  <c r="G13" i="55"/>
  <c r="F13" i="55"/>
  <c r="E13" i="55"/>
  <c r="D13" i="55"/>
  <c r="C13" i="55"/>
  <c r="L12" i="55"/>
  <c r="G12" i="55"/>
  <c r="F12" i="55"/>
  <c r="E12" i="55"/>
  <c r="D12" i="55"/>
  <c r="C12" i="55"/>
  <c r="H12" i="55" s="1"/>
  <c r="L11" i="55"/>
  <c r="H11" i="55"/>
  <c r="G11" i="55"/>
  <c r="F11" i="55"/>
  <c r="E11" i="55"/>
  <c r="D11" i="55"/>
  <c r="C11" i="55"/>
  <c r="N10" i="55"/>
  <c r="L10" i="55"/>
  <c r="G10" i="55"/>
  <c r="F10" i="55"/>
  <c r="E10" i="55"/>
  <c r="D10" i="55"/>
  <c r="C10" i="55"/>
  <c r="H10" i="55" s="1"/>
  <c r="L9" i="55"/>
  <c r="G9" i="55"/>
  <c r="F9" i="55"/>
  <c r="E9" i="55"/>
  <c r="D9" i="55"/>
  <c r="C9" i="55"/>
  <c r="L8" i="55"/>
  <c r="G8" i="55"/>
  <c r="G51" i="55" s="1"/>
  <c r="F8" i="55"/>
  <c r="D8" i="55"/>
  <c r="D51" i="55" s="1"/>
  <c r="D52" i="55" s="1"/>
  <c r="L7" i="55"/>
  <c r="L6" i="55"/>
  <c r="A6" i="55"/>
  <c r="A7" i="55" s="1"/>
  <c r="A8" i="55" s="1"/>
  <c r="A9" i="55" s="1"/>
  <c r="A10" i="55" s="1"/>
  <c r="A11" i="55" s="1"/>
  <c r="A12" i="55" s="1"/>
  <c r="A13" i="55" s="1"/>
  <c r="A14" i="55" s="1"/>
  <c r="A15" i="55" s="1"/>
  <c r="A16" i="55" s="1"/>
  <c r="A17" i="55" s="1"/>
  <c r="A18" i="55" s="1"/>
  <c r="A19" i="55" s="1"/>
  <c r="A20" i="55" s="1"/>
  <c r="A21" i="55" s="1"/>
  <c r="A22" i="55" s="1"/>
  <c r="A23" i="55" s="1"/>
  <c r="A24" i="55" s="1"/>
  <c r="A25" i="55" s="1"/>
  <c r="A26" i="55" s="1"/>
  <c r="A27" i="55" s="1"/>
  <c r="A28" i="55" s="1"/>
  <c r="A29" i="55" s="1"/>
  <c r="A30" i="55" s="1"/>
  <c r="A31" i="55" s="1"/>
  <c r="A32" i="55" s="1"/>
  <c r="A33" i="55" s="1"/>
  <c r="A34" i="55" s="1"/>
  <c r="A35" i="55" s="1"/>
  <c r="A36" i="55" s="1"/>
  <c r="A37" i="55" s="1"/>
  <c r="A38" i="55" s="1"/>
  <c r="A39" i="55" s="1"/>
  <c r="A40" i="55" s="1"/>
  <c r="A41" i="55" s="1"/>
  <c r="A42" i="55" s="1"/>
  <c r="A43" i="55" s="1"/>
  <c r="A44" i="55" s="1"/>
  <c r="A45" i="55" s="1"/>
  <c r="A46" i="55" s="1"/>
  <c r="A47" i="55" s="1"/>
  <c r="A48" i="55" s="1"/>
  <c r="A49" i="55" s="1"/>
  <c r="L5" i="55"/>
  <c r="L4" i="55"/>
  <c r="N29" i="54"/>
  <c r="K28" i="54"/>
  <c r="H28" i="54"/>
  <c r="I28" i="54" s="1"/>
  <c r="L28" i="54" s="1"/>
  <c r="M28" i="54" s="1"/>
  <c r="G27" i="54"/>
  <c r="H27" i="54" s="1"/>
  <c r="I27" i="54" s="1"/>
  <c r="L27" i="54" s="1"/>
  <c r="M27" i="54" s="1"/>
  <c r="K26" i="54"/>
  <c r="H26" i="54"/>
  <c r="I26" i="54" s="1"/>
  <c r="L26" i="54" s="1"/>
  <c r="K25" i="54"/>
  <c r="H25" i="54"/>
  <c r="I25" i="54" s="1"/>
  <c r="L25" i="54" s="1"/>
  <c r="K24" i="54"/>
  <c r="I24" i="54"/>
  <c r="L24" i="54" s="1"/>
  <c r="M24" i="54" s="1"/>
  <c r="H24" i="54"/>
  <c r="K23" i="54"/>
  <c r="I23" i="54"/>
  <c r="L23" i="54" s="1"/>
  <c r="H23" i="54"/>
  <c r="K22" i="54"/>
  <c r="L22" i="54" s="1"/>
  <c r="M22" i="54" s="1"/>
  <c r="I22" i="54"/>
  <c r="H22" i="54"/>
  <c r="K21" i="54"/>
  <c r="H21" i="54"/>
  <c r="I21" i="54" s="1"/>
  <c r="L21" i="54" s="1"/>
  <c r="M21" i="54" s="1"/>
  <c r="K20" i="54"/>
  <c r="H20" i="54"/>
  <c r="I20" i="54" s="1"/>
  <c r="L20" i="54" s="1"/>
  <c r="K19" i="54"/>
  <c r="H19" i="54"/>
  <c r="I19" i="54" s="1"/>
  <c r="L19" i="54" s="1"/>
  <c r="M19" i="54" s="1"/>
  <c r="K18" i="54"/>
  <c r="I18" i="54"/>
  <c r="L18" i="54" s="1"/>
  <c r="M18" i="54" s="1"/>
  <c r="H18" i="54"/>
  <c r="K17" i="54"/>
  <c r="I17" i="54"/>
  <c r="L17" i="54" s="1"/>
  <c r="H17" i="54"/>
  <c r="K16" i="54"/>
  <c r="L16" i="54" s="1"/>
  <c r="M16" i="54" s="1"/>
  <c r="I16" i="54"/>
  <c r="H16" i="54"/>
  <c r="K15" i="54"/>
  <c r="L15" i="54" s="1"/>
  <c r="I15" i="54"/>
  <c r="H15" i="54"/>
  <c r="K14" i="54"/>
  <c r="H14" i="54"/>
  <c r="I14" i="54" s="1"/>
  <c r="L14" i="54" s="1"/>
  <c r="M14" i="54" s="1"/>
  <c r="K13" i="54"/>
  <c r="H13" i="54"/>
  <c r="I13" i="54" s="1"/>
  <c r="L13" i="54" s="1"/>
  <c r="M13" i="54" s="1"/>
  <c r="K12" i="54"/>
  <c r="I12" i="54"/>
  <c r="L12" i="54" s="1"/>
  <c r="M12" i="54" s="1"/>
  <c r="H12" i="54"/>
  <c r="K11" i="54"/>
  <c r="L11" i="54" s="1"/>
  <c r="M11" i="54" s="1"/>
  <c r="I11" i="54"/>
  <c r="H11" i="54"/>
  <c r="K10" i="54"/>
  <c r="H10" i="54"/>
  <c r="I10" i="54" s="1"/>
  <c r="L10" i="54" s="1"/>
  <c r="M10" i="54" s="1"/>
  <c r="K9" i="54"/>
  <c r="H9" i="54"/>
  <c r="I9" i="54" s="1"/>
  <c r="L9" i="54" s="1"/>
  <c r="M9" i="54" s="1"/>
  <c r="K8" i="54"/>
  <c r="I8" i="54"/>
  <c r="L8" i="54" s="1"/>
  <c r="M8" i="54" s="1"/>
  <c r="H8" i="54"/>
  <c r="K7" i="54"/>
  <c r="L7" i="54" s="1"/>
  <c r="M7" i="54" s="1"/>
  <c r="I7" i="54"/>
  <c r="H7" i="54"/>
  <c r="K6" i="54"/>
  <c r="H6" i="54"/>
  <c r="I6" i="54" s="1"/>
  <c r="L6" i="54" s="1"/>
  <c r="K5" i="54"/>
  <c r="I5" i="54"/>
  <c r="I29" i="54" s="1"/>
  <c r="H5" i="54"/>
  <c r="H29" i="54" s="1"/>
  <c r="K4" i="54"/>
  <c r="K3" i="54"/>
  <c r="K2" i="54"/>
  <c r="P73" i="53"/>
  <c r="O73" i="53"/>
  <c r="N73" i="53"/>
  <c r="M73" i="53"/>
  <c r="L73" i="53"/>
  <c r="I73" i="53"/>
  <c r="G73" i="53"/>
  <c r="P72" i="53"/>
  <c r="O72" i="53"/>
  <c r="N72" i="53"/>
  <c r="M72" i="53"/>
  <c r="L72" i="53"/>
  <c r="G72" i="53"/>
  <c r="I72" i="53" s="1"/>
  <c r="P71" i="53"/>
  <c r="O71" i="53"/>
  <c r="N71" i="53"/>
  <c r="M71" i="53"/>
  <c r="L71" i="53"/>
  <c r="H71" i="53"/>
  <c r="I71" i="53" s="1"/>
  <c r="K71" i="53" s="1"/>
  <c r="G71" i="53"/>
  <c r="P70" i="53"/>
  <c r="O70" i="53"/>
  <c r="N70" i="53"/>
  <c r="M70" i="53"/>
  <c r="L70" i="53"/>
  <c r="I70" i="53"/>
  <c r="K70" i="53" s="1"/>
  <c r="H70" i="53"/>
  <c r="G70" i="53"/>
  <c r="P69" i="53"/>
  <c r="O69" i="53"/>
  <c r="N69" i="53"/>
  <c r="M69" i="53"/>
  <c r="L69" i="53"/>
  <c r="I69" i="53"/>
  <c r="G69" i="53"/>
  <c r="P68" i="53"/>
  <c r="O68" i="53"/>
  <c r="N68" i="53"/>
  <c r="M68" i="53"/>
  <c r="L68" i="53"/>
  <c r="G68" i="53"/>
  <c r="I68" i="53" s="1"/>
  <c r="P67" i="53"/>
  <c r="O67" i="53"/>
  <c r="N67" i="53"/>
  <c r="M67" i="53"/>
  <c r="L67" i="53"/>
  <c r="H67" i="53"/>
  <c r="I67" i="53" s="1"/>
  <c r="K67" i="53" s="1"/>
  <c r="G67" i="53"/>
  <c r="P66" i="53"/>
  <c r="O66" i="53"/>
  <c r="N66" i="53"/>
  <c r="M66" i="53"/>
  <c r="L66" i="53"/>
  <c r="I66" i="53"/>
  <c r="K66" i="53" s="1"/>
  <c r="H66" i="53"/>
  <c r="G66" i="53"/>
  <c r="P65" i="53"/>
  <c r="O65" i="53"/>
  <c r="N65" i="53"/>
  <c r="M65" i="53"/>
  <c r="L65" i="53"/>
  <c r="H65" i="53"/>
  <c r="I65" i="53" s="1"/>
  <c r="K65" i="53" s="1"/>
  <c r="G65" i="53"/>
  <c r="P64" i="53"/>
  <c r="O64" i="53"/>
  <c r="N64" i="53"/>
  <c r="M64" i="53"/>
  <c r="L64" i="53"/>
  <c r="H64" i="53"/>
  <c r="G64" i="53"/>
  <c r="H63" i="53"/>
  <c r="I63" i="53" s="1"/>
  <c r="J63" i="53" s="1"/>
  <c r="G63" i="53"/>
  <c r="P62" i="53"/>
  <c r="O62" i="53"/>
  <c r="N62" i="53"/>
  <c r="M62" i="53"/>
  <c r="L62" i="53"/>
  <c r="P61" i="53"/>
  <c r="O61" i="53"/>
  <c r="N61" i="53"/>
  <c r="M61" i="53"/>
  <c r="L61" i="53"/>
  <c r="P60" i="53"/>
  <c r="O60" i="53"/>
  <c r="N60" i="53"/>
  <c r="M60" i="53"/>
  <c r="L60" i="53"/>
  <c r="H60" i="53"/>
  <c r="G60" i="53"/>
  <c r="P59" i="53"/>
  <c r="O59" i="53"/>
  <c r="N59" i="53"/>
  <c r="M59" i="53"/>
  <c r="L59" i="53"/>
  <c r="H59" i="53"/>
  <c r="I59" i="53" s="1"/>
  <c r="K59" i="53" s="1"/>
  <c r="G59" i="53"/>
  <c r="P58" i="53"/>
  <c r="O58" i="53"/>
  <c r="N58" i="53"/>
  <c r="M58" i="53"/>
  <c r="L58" i="53"/>
  <c r="I58" i="53"/>
  <c r="K58" i="53" s="1"/>
  <c r="H58" i="53"/>
  <c r="G58" i="53"/>
  <c r="P57" i="53"/>
  <c r="O57" i="53"/>
  <c r="N57" i="53"/>
  <c r="M57" i="53"/>
  <c r="L57" i="53"/>
  <c r="H57" i="53"/>
  <c r="I57" i="53" s="1"/>
  <c r="K57" i="53" s="1"/>
  <c r="G57" i="53"/>
  <c r="P56" i="53"/>
  <c r="O56" i="53"/>
  <c r="N56" i="53"/>
  <c r="M56" i="53"/>
  <c r="L56" i="53"/>
  <c r="H56" i="53"/>
  <c r="G56" i="53"/>
  <c r="H55" i="53"/>
  <c r="I55" i="53" s="1"/>
  <c r="J55" i="53" s="1"/>
  <c r="G55" i="53"/>
  <c r="N54" i="53"/>
  <c r="I54" i="53"/>
  <c r="J54" i="53" s="1"/>
  <c r="H54" i="53"/>
  <c r="G54" i="53"/>
  <c r="P53" i="53"/>
  <c r="O53" i="53"/>
  <c r="N53" i="53"/>
  <c r="M53" i="53"/>
  <c r="L53" i="53"/>
  <c r="H53" i="53"/>
  <c r="I53" i="53" s="1"/>
  <c r="K53" i="53" s="1"/>
  <c r="G53" i="53"/>
  <c r="P52" i="53"/>
  <c r="O52" i="53"/>
  <c r="N52" i="53"/>
  <c r="M52" i="53"/>
  <c r="L52" i="53"/>
  <c r="H52" i="53"/>
  <c r="G52" i="53"/>
  <c r="H51" i="53"/>
  <c r="I51" i="53" s="1"/>
  <c r="J51" i="53" s="1"/>
  <c r="G51" i="53"/>
  <c r="P50" i="53"/>
  <c r="O50" i="53"/>
  <c r="N50" i="53"/>
  <c r="M50" i="53"/>
  <c r="L50" i="53"/>
  <c r="I50" i="53"/>
  <c r="K50" i="53" s="1"/>
  <c r="H50" i="53"/>
  <c r="G50" i="53"/>
  <c r="P49" i="53"/>
  <c r="O49" i="53"/>
  <c r="N49" i="53"/>
  <c r="M49" i="53"/>
  <c r="L49" i="53"/>
  <c r="H49" i="53"/>
  <c r="I49" i="53" s="1"/>
  <c r="K49" i="53" s="1"/>
  <c r="G49" i="53"/>
  <c r="H48" i="53"/>
  <c r="I48" i="53" s="1"/>
  <c r="J48" i="53" s="1"/>
  <c r="G48" i="53"/>
  <c r="I47" i="53"/>
  <c r="J47" i="53" s="1"/>
  <c r="H47" i="53"/>
  <c r="G47" i="53"/>
  <c r="I46" i="53"/>
  <c r="J46" i="53" s="1"/>
  <c r="H46" i="53"/>
  <c r="G46" i="53"/>
  <c r="P45" i="53"/>
  <c r="O45" i="53"/>
  <c r="N45" i="53"/>
  <c r="M45" i="53"/>
  <c r="L45" i="53"/>
  <c r="P44" i="53"/>
  <c r="O44" i="53"/>
  <c r="N44" i="53"/>
  <c r="M44" i="53"/>
  <c r="L44" i="53"/>
  <c r="P43" i="53"/>
  <c r="O43" i="53"/>
  <c r="N43" i="53"/>
  <c r="M43" i="53"/>
  <c r="L43" i="53"/>
  <c r="I43" i="53"/>
  <c r="K43" i="53" s="1"/>
  <c r="H43" i="53"/>
  <c r="G43" i="53"/>
  <c r="P42" i="53"/>
  <c r="O42" i="53"/>
  <c r="N42" i="53"/>
  <c r="M42" i="53"/>
  <c r="L42" i="53"/>
  <c r="K42" i="53"/>
  <c r="I42" i="53"/>
  <c r="H42" i="53"/>
  <c r="G42" i="53"/>
  <c r="P41" i="53"/>
  <c r="O41" i="53"/>
  <c r="N41" i="53"/>
  <c r="M41" i="53"/>
  <c r="L41" i="53"/>
  <c r="H41" i="53"/>
  <c r="G41" i="53"/>
  <c r="H40" i="53"/>
  <c r="G40" i="53"/>
  <c r="H39" i="53"/>
  <c r="I39" i="53" s="1"/>
  <c r="J39" i="53" s="1"/>
  <c r="G39" i="53"/>
  <c r="J38" i="53"/>
  <c r="I38" i="53"/>
  <c r="H38" i="53"/>
  <c r="G38" i="53"/>
  <c r="H37" i="53"/>
  <c r="I37" i="53" s="1"/>
  <c r="J37" i="53" s="1"/>
  <c r="G37" i="53"/>
  <c r="P36" i="53"/>
  <c r="O36" i="53"/>
  <c r="N36" i="53"/>
  <c r="M36" i="53"/>
  <c r="L36" i="53"/>
  <c r="H36" i="53"/>
  <c r="G36" i="53"/>
  <c r="P35" i="53"/>
  <c r="O35" i="53"/>
  <c r="N35" i="53"/>
  <c r="M35" i="53"/>
  <c r="L35" i="53"/>
  <c r="H35" i="53"/>
  <c r="I35" i="53" s="1"/>
  <c r="K35" i="53" s="1"/>
  <c r="G35" i="53"/>
  <c r="P34" i="53"/>
  <c r="O34" i="53"/>
  <c r="N34" i="53"/>
  <c r="M34" i="53"/>
  <c r="L34" i="53"/>
  <c r="I34" i="53"/>
  <c r="K34" i="53" s="1"/>
  <c r="H34" i="53"/>
  <c r="G34" i="53"/>
  <c r="H33" i="53"/>
  <c r="G33" i="53"/>
  <c r="H32" i="53"/>
  <c r="G32" i="53"/>
  <c r="H31" i="53"/>
  <c r="I31" i="53" s="1"/>
  <c r="J31" i="53" s="1"/>
  <c r="G31" i="53"/>
  <c r="P30" i="53"/>
  <c r="O30" i="53"/>
  <c r="N30" i="53"/>
  <c r="M30" i="53"/>
  <c r="L30" i="53"/>
  <c r="I30" i="53"/>
  <c r="K30" i="53" s="1"/>
  <c r="H30" i="53"/>
  <c r="G30" i="53"/>
  <c r="P29" i="53"/>
  <c r="O29" i="53"/>
  <c r="N29" i="53"/>
  <c r="M29" i="53"/>
  <c r="L29" i="53"/>
  <c r="H29" i="53"/>
  <c r="G29" i="53"/>
  <c r="H28" i="53"/>
  <c r="G28" i="53"/>
  <c r="H27" i="53"/>
  <c r="I27" i="53" s="1"/>
  <c r="J27" i="53" s="1"/>
  <c r="G27" i="53"/>
  <c r="P26" i="53"/>
  <c r="O26" i="53"/>
  <c r="N26" i="53"/>
  <c r="M26" i="53"/>
  <c r="L26" i="53"/>
  <c r="I26" i="53"/>
  <c r="K26" i="53" s="1"/>
  <c r="H26" i="53"/>
  <c r="G26" i="53"/>
  <c r="P25" i="53"/>
  <c r="O25" i="53"/>
  <c r="N25" i="53"/>
  <c r="M25" i="53"/>
  <c r="L25" i="53"/>
  <c r="H25" i="53"/>
  <c r="I25" i="53" s="1"/>
  <c r="K25" i="53" s="1"/>
  <c r="G25" i="53"/>
  <c r="P24" i="53"/>
  <c r="O24" i="53"/>
  <c r="N24" i="53"/>
  <c r="M24" i="53"/>
  <c r="L24" i="53"/>
  <c r="H24" i="53"/>
  <c r="G24" i="53"/>
  <c r="P23" i="53"/>
  <c r="O23" i="53"/>
  <c r="N23" i="53"/>
  <c r="M23" i="53"/>
  <c r="L23" i="53"/>
  <c r="H23" i="53"/>
  <c r="I23" i="53" s="1"/>
  <c r="K23" i="53" s="1"/>
  <c r="G23" i="53"/>
  <c r="P22" i="53"/>
  <c r="O22" i="53"/>
  <c r="N22" i="53"/>
  <c r="M22" i="53"/>
  <c r="L22" i="53"/>
  <c r="I22" i="53"/>
  <c r="K22" i="53" s="1"/>
  <c r="H22" i="53"/>
  <c r="G22" i="53"/>
  <c r="P21" i="53"/>
  <c r="O21" i="53"/>
  <c r="N21" i="53"/>
  <c r="M21" i="53"/>
  <c r="L21" i="53"/>
  <c r="H21" i="53"/>
  <c r="I21" i="53" s="1"/>
  <c r="K21" i="53" s="1"/>
  <c r="G21" i="53"/>
  <c r="P20" i="53"/>
  <c r="O20" i="53"/>
  <c r="N20" i="53"/>
  <c r="M20" i="53"/>
  <c r="L20" i="53"/>
  <c r="H20" i="53"/>
  <c r="G20" i="53"/>
  <c r="P19" i="53"/>
  <c r="O19" i="53"/>
  <c r="N19" i="53"/>
  <c r="M19" i="53"/>
  <c r="L19" i="53"/>
  <c r="H19" i="53"/>
  <c r="I19" i="53" s="1"/>
  <c r="K19" i="53" s="1"/>
  <c r="G19" i="53"/>
  <c r="I18" i="53"/>
  <c r="J18" i="53" s="1"/>
  <c r="H18" i="53"/>
  <c r="G18" i="53"/>
  <c r="H17" i="53"/>
  <c r="G17" i="53"/>
  <c r="H16" i="53"/>
  <c r="I16" i="53" s="1"/>
  <c r="J16" i="53" s="1"/>
  <c r="G16" i="53"/>
  <c r="P15" i="53"/>
  <c r="O15" i="53"/>
  <c r="N15" i="53"/>
  <c r="M15" i="53"/>
  <c r="L15" i="53"/>
  <c r="H15" i="53"/>
  <c r="I15" i="53" s="1"/>
  <c r="K15" i="53" s="1"/>
  <c r="G15" i="53"/>
  <c r="P14" i="53"/>
  <c r="O14" i="53"/>
  <c r="N14" i="53"/>
  <c r="M14" i="53"/>
  <c r="L14" i="53"/>
  <c r="I14" i="53"/>
  <c r="K14" i="53" s="1"/>
  <c r="H14" i="53"/>
  <c r="G14" i="53"/>
  <c r="H13" i="53"/>
  <c r="G13" i="53"/>
  <c r="H12" i="53"/>
  <c r="I12" i="53" s="1"/>
  <c r="J12" i="53" s="1"/>
  <c r="G12" i="53"/>
  <c r="P11" i="53"/>
  <c r="O11" i="53"/>
  <c r="N11" i="53"/>
  <c r="M11" i="53"/>
  <c r="L11" i="53"/>
  <c r="H11" i="53"/>
  <c r="I11" i="53" s="1"/>
  <c r="K11" i="53" s="1"/>
  <c r="G11" i="53"/>
  <c r="F11" i="53"/>
  <c r="P10" i="53"/>
  <c r="O10" i="53"/>
  <c r="N10" i="53"/>
  <c r="M10" i="53"/>
  <c r="L10" i="53"/>
  <c r="H10" i="53"/>
  <c r="F10" i="53"/>
  <c r="G10" i="53" s="1"/>
  <c r="I10" i="53" s="1"/>
  <c r="K10" i="53" s="1"/>
  <c r="P9" i="53"/>
  <c r="O9" i="53"/>
  <c r="N9" i="53"/>
  <c r="M9" i="53"/>
  <c r="L9" i="53"/>
  <c r="H9" i="53"/>
  <c r="I9" i="53" s="1"/>
  <c r="K9" i="53" s="1"/>
  <c r="G9" i="53"/>
  <c r="F9" i="53"/>
  <c r="P8" i="53"/>
  <c r="O8" i="53"/>
  <c r="N8" i="53"/>
  <c r="M8" i="53"/>
  <c r="L8" i="53"/>
  <c r="H8" i="53"/>
  <c r="G8" i="53"/>
  <c r="I8" i="53" s="1"/>
  <c r="K8" i="53" s="1"/>
  <c r="F8" i="53"/>
  <c r="P7" i="53"/>
  <c r="O7" i="53"/>
  <c r="N7" i="53"/>
  <c r="M7" i="53"/>
  <c r="L7" i="53"/>
  <c r="H7" i="53"/>
  <c r="I7" i="53" s="1"/>
  <c r="K7" i="53" s="1"/>
  <c r="G7" i="53"/>
  <c r="F7" i="53"/>
  <c r="P6" i="53"/>
  <c r="O6" i="53"/>
  <c r="N6" i="53"/>
  <c r="M6" i="53"/>
  <c r="L6" i="53"/>
  <c r="H6" i="53"/>
  <c r="F6" i="53"/>
  <c r="G6" i="53" s="1"/>
  <c r="I6" i="53" s="1"/>
  <c r="K6" i="53" s="1"/>
  <c r="P5" i="53"/>
  <c r="O5" i="53"/>
  <c r="N5" i="53"/>
  <c r="M5" i="53"/>
  <c r="L5" i="53"/>
  <c r="H5" i="53"/>
  <c r="I5" i="53" s="1"/>
  <c r="K5" i="53" s="1"/>
  <c r="G5" i="53"/>
  <c r="I4" i="53"/>
  <c r="J4" i="53" s="1"/>
  <c r="H4" i="53"/>
  <c r="G4" i="53"/>
  <c r="H3" i="53"/>
  <c r="F3" i="53"/>
  <c r="G3" i="53" s="1"/>
  <c r="I3" i="53" s="1"/>
  <c r="H74" i="52"/>
  <c r="F74" i="52"/>
  <c r="E74" i="52"/>
  <c r="C74" i="52"/>
  <c r="F73" i="52"/>
  <c r="E73" i="52"/>
  <c r="C73" i="52"/>
  <c r="X2" i="52" s="1"/>
  <c r="H72" i="52"/>
  <c r="F72" i="52"/>
  <c r="E72" i="52"/>
  <c r="C72" i="52"/>
  <c r="H71" i="52"/>
  <c r="F71" i="52"/>
  <c r="E71" i="52"/>
  <c r="C71" i="52"/>
  <c r="V2" i="52" s="1"/>
  <c r="H70" i="52"/>
  <c r="F70" i="52"/>
  <c r="E70" i="52"/>
  <c r="G70" i="52" s="1"/>
  <c r="C70" i="52"/>
  <c r="H69" i="52"/>
  <c r="F69" i="52"/>
  <c r="E69" i="52"/>
  <c r="C69" i="52"/>
  <c r="H68" i="52"/>
  <c r="F68" i="52"/>
  <c r="G68" i="52" s="1"/>
  <c r="S3" i="52" s="1"/>
  <c r="S37" i="52" s="1"/>
  <c r="S49" i="52" s="1"/>
  <c r="E68" i="52"/>
  <c r="C68" i="52"/>
  <c r="H67" i="52"/>
  <c r="F67" i="52"/>
  <c r="G67" i="52" s="1"/>
  <c r="R3" i="52" s="1"/>
  <c r="R32" i="52" s="1"/>
  <c r="R49" i="52" s="1"/>
  <c r="E67" i="52"/>
  <c r="C67" i="52"/>
  <c r="H66" i="52"/>
  <c r="F66" i="52"/>
  <c r="E66" i="52"/>
  <c r="C66" i="52"/>
  <c r="H65" i="52"/>
  <c r="F65" i="52"/>
  <c r="G65" i="52" s="1"/>
  <c r="P3" i="52" s="1"/>
  <c r="E65" i="52"/>
  <c r="C65" i="52"/>
  <c r="H64" i="52"/>
  <c r="G64" i="52"/>
  <c r="F64" i="52"/>
  <c r="E64" i="52"/>
  <c r="C64" i="52"/>
  <c r="O2" i="52" s="1"/>
  <c r="H63" i="52"/>
  <c r="F63" i="52"/>
  <c r="G63" i="52" s="1"/>
  <c r="N3" i="52" s="1"/>
  <c r="N32" i="52" s="1"/>
  <c r="N49" i="52" s="1"/>
  <c r="E63" i="52"/>
  <c r="C63" i="52"/>
  <c r="H62" i="52"/>
  <c r="F62" i="52"/>
  <c r="E62" i="52"/>
  <c r="C62" i="52"/>
  <c r="H61" i="52"/>
  <c r="F61" i="52"/>
  <c r="G61" i="52" s="1"/>
  <c r="L3" i="52" s="1"/>
  <c r="E61" i="52"/>
  <c r="C61" i="52"/>
  <c r="H60" i="52"/>
  <c r="G60" i="52"/>
  <c r="K3" i="52" s="1"/>
  <c r="K32" i="52" s="1"/>
  <c r="K49" i="52" s="1"/>
  <c r="F60" i="52"/>
  <c r="E60" i="52"/>
  <c r="C60" i="52"/>
  <c r="K2" i="52" s="1"/>
  <c r="H59" i="52"/>
  <c r="F59" i="52"/>
  <c r="E59" i="52"/>
  <c r="G59" i="52" s="1"/>
  <c r="C59" i="52"/>
  <c r="J2" i="52" s="1"/>
  <c r="H58" i="52"/>
  <c r="F58" i="52"/>
  <c r="E58" i="52"/>
  <c r="C58" i="52"/>
  <c r="I2" i="52" s="1"/>
  <c r="H57" i="52"/>
  <c r="F57" i="52"/>
  <c r="E57" i="52"/>
  <c r="C57" i="52"/>
  <c r="H2" i="52" s="1"/>
  <c r="H56" i="52"/>
  <c r="F56" i="52"/>
  <c r="E56" i="52"/>
  <c r="C56" i="52"/>
  <c r="G2" i="52" s="1"/>
  <c r="H55" i="52"/>
  <c r="F55" i="52"/>
  <c r="E55" i="52"/>
  <c r="C55" i="52"/>
  <c r="H54" i="52"/>
  <c r="F54" i="52"/>
  <c r="E54" i="52"/>
  <c r="C54" i="52"/>
  <c r="H53" i="52"/>
  <c r="F53" i="52"/>
  <c r="E53" i="52"/>
  <c r="C53" i="52"/>
  <c r="H52" i="52"/>
  <c r="F52" i="52"/>
  <c r="G52" i="52" s="1"/>
  <c r="C3" i="52" s="1"/>
  <c r="C37" i="52" s="1"/>
  <c r="E52" i="52"/>
  <c r="C52" i="52"/>
  <c r="C2" i="52" s="1"/>
  <c r="AC48" i="52"/>
  <c r="Z42" i="52"/>
  <c r="X32" i="52"/>
  <c r="X27" i="52"/>
  <c r="X47" i="52" s="1"/>
  <c r="X22" i="52"/>
  <c r="X37" i="52" s="1"/>
  <c r="X17" i="52"/>
  <c r="AK16" i="52"/>
  <c r="AK15" i="52"/>
  <c r="AK14" i="52"/>
  <c r="AK13" i="52"/>
  <c r="AK12" i="52"/>
  <c r="AK11" i="52"/>
  <c r="AC11" i="52"/>
  <c r="AK10" i="52"/>
  <c r="AC10" i="52"/>
  <c r="AK9" i="52"/>
  <c r="AC9" i="52"/>
  <c r="AK8" i="52"/>
  <c r="AC8" i="52"/>
  <c r="B8" i="52"/>
  <c r="B9" i="52" s="1"/>
  <c r="B10" i="52" s="1"/>
  <c r="B11" i="52" s="1"/>
  <c r="B12" i="52" s="1"/>
  <c r="B13" i="52" s="1"/>
  <c r="B14" i="52" s="1"/>
  <c r="B15" i="52" s="1"/>
  <c r="B16" i="52" s="1"/>
  <c r="B17" i="52" s="1"/>
  <c r="B18" i="52" s="1"/>
  <c r="B19" i="52" s="1"/>
  <c r="B20" i="52" s="1"/>
  <c r="B21" i="52" s="1"/>
  <c r="B22" i="52" s="1"/>
  <c r="B23" i="52" s="1"/>
  <c r="B24" i="52" s="1"/>
  <c r="B25" i="52" s="1"/>
  <c r="B26" i="52" s="1"/>
  <c r="B27" i="52" s="1"/>
  <c r="B28" i="52" s="1"/>
  <c r="B29" i="52" s="1"/>
  <c r="B30" i="52" s="1"/>
  <c r="B31" i="52" s="1"/>
  <c r="B32" i="52" s="1"/>
  <c r="B33" i="52" s="1"/>
  <c r="B34" i="52" s="1"/>
  <c r="B35" i="52" s="1"/>
  <c r="B36" i="52" s="1"/>
  <c r="B37" i="52" s="1"/>
  <c r="B38" i="52" s="1"/>
  <c r="B39" i="52" s="1"/>
  <c r="B40" i="52" s="1"/>
  <c r="B41" i="52" s="1"/>
  <c r="B42" i="52" s="1"/>
  <c r="B43" i="52" s="1"/>
  <c r="B44" i="52" s="1"/>
  <c r="B45" i="52" s="1"/>
  <c r="B46" i="52" s="1"/>
  <c r="B47" i="52" s="1"/>
  <c r="AK7" i="52"/>
  <c r="AC7" i="52"/>
  <c r="AK6" i="52"/>
  <c r="Y5" i="52"/>
  <c r="W5" i="52"/>
  <c r="V5" i="52"/>
  <c r="U5" i="52"/>
  <c r="T5" i="52"/>
  <c r="S5" i="52"/>
  <c r="R5" i="52"/>
  <c r="Q5" i="52"/>
  <c r="P5" i="52"/>
  <c r="O5" i="52"/>
  <c r="N5" i="52"/>
  <c r="M5" i="52"/>
  <c r="L5" i="52"/>
  <c r="K5" i="52"/>
  <c r="J5" i="52"/>
  <c r="I5" i="52"/>
  <c r="H5" i="52"/>
  <c r="G5" i="52"/>
  <c r="F5" i="52"/>
  <c r="E5" i="52"/>
  <c r="D5" i="52"/>
  <c r="C5" i="52"/>
  <c r="U3" i="52"/>
  <c r="U37" i="52" s="1"/>
  <c r="O3" i="52"/>
  <c r="O37" i="52" s="1"/>
  <c r="J3" i="52"/>
  <c r="J32" i="52" s="1"/>
  <c r="J49" i="52" s="1"/>
  <c r="Y2" i="52"/>
  <c r="W2" i="52"/>
  <c r="U2" i="52"/>
  <c r="T2" i="52"/>
  <c r="S2" i="52"/>
  <c r="R2" i="52"/>
  <c r="Q2" i="52"/>
  <c r="P2" i="52"/>
  <c r="N2" i="52"/>
  <c r="M2" i="52"/>
  <c r="L2" i="52"/>
  <c r="F2" i="52"/>
  <c r="E2" i="52"/>
  <c r="D2" i="52"/>
  <c r="E18" i="51"/>
  <c r="B18" i="51"/>
  <c r="E17" i="51"/>
  <c r="G17" i="51" s="1"/>
  <c r="B17" i="51"/>
  <c r="E16" i="51"/>
  <c r="G16" i="51" s="1"/>
  <c r="B16" i="51"/>
  <c r="F15" i="51"/>
  <c r="E15" i="51"/>
  <c r="B15" i="51"/>
  <c r="F14" i="51"/>
  <c r="E14" i="51"/>
  <c r="B14" i="51"/>
  <c r="F13" i="51"/>
  <c r="E13" i="51"/>
  <c r="B13" i="51"/>
  <c r="G12" i="51"/>
  <c r="F12" i="51"/>
  <c r="E12" i="51"/>
  <c r="B12" i="51"/>
  <c r="F11" i="51"/>
  <c r="E11" i="51"/>
  <c r="B11" i="51"/>
  <c r="F10" i="51"/>
  <c r="G10" i="51" s="1"/>
  <c r="E10" i="51"/>
  <c r="B10" i="51"/>
  <c r="F9" i="51"/>
  <c r="E9" i="51"/>
  <c r="B9" i="51"/>
  <c r="F8" i="51"/>
  <c r="E8" i="51"/>
  <c r="G8" i="51" s="1"/>
  <c r="B8" i="51"/>
  <c r="F7" i="51"/>
  <c r="E7" i="51"/>
  <c r="B7" i="51"/>
  <c r="E6" i="51"/>
  <c r="G6" i="51" s="1"/>
  <c r="G5" i="51"/>
  <c r="F5" i="51"/>
  <c r="E5" i="51"/>
  <c r="C5" i="51"/>
  <c r="C6" i="51" s="1"/>
  <c r="C7" i="51" s="1"/>
  <c r="C8" i="51" s="1"/>
  <c r="C9" i="51" s="1"/>
  <c r="C10" i="51" s="1"/>
  <c r="C11" i="51" s="1"/>
  <c r="C12" i="51" s="1"/>
  <c r="C13" i="51" s="1"/>
  <c r="C14" i="51" s="1"/>
  <c r="C15" i="51" s="1"/>
  <c r="C16" i="51" s="1"/>
  <c r="F4" i="51"/>
  <c r="E4" i="51"/>
  <c r="E19" i="51" s="1"/>
  <c r="AT23" i="50"/>
  <c r="AS23" i="50"/>
  <c r="AR23" i="50"/>
  <c r="AQ23" i="50"/>
  <c r="AO23" i="50"/>
  <c r="AN23" i="50"/>
  <c r="AM23" i="50"/>
  <c r="AL23" i="50"/>
  <c r="AK23" i="50"/>
  <c r="AJ23" i="50"/>
  <c r="AI23" i="50"/>
  <c r="AH23" i="50"/>
  <c r="AG23" i="50"/>
  <c r="AF23" i="50"/>
  <c r="AC23" i="50"/>
  <c r="AB23" i="50"/>
  <c r="AA23" i="50"/>
  <c r="Y23" i="50"/>
  <c r="X23" i="50"/>
  <c r="W23" i="50"/>
  <c r="V23" i="50"/>
  <c r="U23" i="50"/>
  <c r="T23" i="50"/>
  <c r="S23" i="50"/>
  <c r="R23" i="50"/>
  <c r="Q23" i="50"/>
  <c r="O23" i="50"/>
  <c r="N23" i="50"/>
  <c r="M23" i="50"/>
  <c r="L23" i="50"/>
  <c r="K23" i="50"/>
  <c r="J23" i="50"/>
  <c r="I23" i="50"/>
  <c r="H23" i="50"/>
  <c r="G23" i="50"/>
  <c r="F23" i="50"/>
  <c r="F24" i="50" s="1"/>
  <c r="AU22" i="50"/>
  <c r="D22" i="50"/>
  <c r="D21" i="50"/>
  <c r="AU20" i="50"/>
  <c r="D20" i="50"/>
  <c r="AU19" i="50"/>
  <c r="D19" i="50"/>
  <c r="AU18" i="50"/>
  <c r="AU17" i="50"/>
  <c r="D17" i="50"/>
  <c r="AT11" i="50"/>
  <c r="AS11" i="50"/>
  <c r="AR11" i="50"/>
  <c r="AQ11" i="50"/>
  <c r="AP11" i="50"/>
  <c r="AO11" i="50"/>
  <c r="AN11" i="50"/>
  <c r="AM11" i="50"/>
  <c r="AL11" i="50"/>
  <c r="AK11" i="50"/>
  <c r="AJ11" i="50"/>
  <c r="AI11" i="50"/>
  <c r="AH11" i="50"/>
  <c r="AF11" i="50"/>
  <c r="AE11" i="50"/>
  <c r="AD11" i="50"/>
  <c r="AC11" i="50"/>
  <c r="Z11" i="50"/>
  <c r="X11" i="50"/>
  <c r="V11" i="50"/>
  <c r="U11" i="50"/>
  <c r="Q11" i="50"/>
  <c r="P11" i="50"/>
  <c r="M11" i="50"/>
  <c r="K11" i="50"/>
  <c r="J11" i="50"/>
  <c r="H11" i="50"/>
  <c r="G11" i="50"/>
  <c r="F11" i="50"/>
  <c r="F12" i="50" s="1"/>
  <c r="G12" i="50" s="1"/>
  <c r="AU10" i="50"/>
  <c r="D9" i="50"/>
  <c r="AU8" i="50"/>
  <c r="D8" i="50"/>
  <c r="AW5" i="50"/>
  <c r="AU5" i="50"/>
  <c r="AV5" i="50" s="1"/>
  <c r="D5" i="50"/>
  <c r="AU4" i="50"/>
  <c r="D4" i="50"/>
  <c r="L16" i="49"/>
  <c r="J16" i="49"/>
  <c r="L15" i="49"/>
  <c r="J15" i="49"/>
  <c r="L14" i="49"/>
  <c r="J14" i="49"/>
  <c r="L13" i="49"/>
  <c r="L12" i="49"/>
  <c r="K12" i="49"/>
  <c r="J12" i="49"/>
  <c r="L11" i="49"/>
  <c r="K11" i="49"/>
  <c r="J11" i="49"/>
  <c r="L10" i="49"/>
  <c r="K10" i="49"/>
  <c r="L9" i="49"/>
  <c r="K9" i="49"/>
  <c r="J9" i="49"/>
  <c r="L8" i="49"/>
  <c r="L20" i="49" s="1"/>
  <c r="K8" i="49"/>
  <c r="J8" i="49"/>
  <c r="K7" i="49"/>
  <c r="J7" i="49"/>
  <c r="K6" i="49"/>
  <c r="J6" i="49"/>
  <c r="K5" i="49"/>
  <c r="J5" i="49"/>
  <c r="K4" i="49"/>
  <c r="K3" i="49"/>
  <c r="K2" i="49"/>
  <c r="O71" i="48"/>
  <c r="N71" i="48"/>
  <c r="M71" i="48"/>
  <c r="L71" i="48"/>
  <c r="K71" i="48"/>
  <c r="J71" i="48"/>
  <c r="I71" i="48"/>
  <c r="H71" i="48"/>
  <c r="G71" i="48"/>
  <c r="F71" i="48"/>
  <c r="E71" i="48"/>
  <c r="D71" i="48"/>
  <c r="C71" i="48"/>
  <c r="O63" i="48"/>
  <c r="N63" i="48"/>
  <c r="M63" i="48"/>
  <c r="L63" i="48"/>
  <c r="K63" i="48"/>
  <c r="J63" i="48"/>
  <c r="I63" i="48"/>
  <c r="H63" i="48"/>
  <c r="G63" i="48"/>
  <c r="F63" i="48"/>
  <c r="E63" i="48"/>
  <c r="D63" i="48"/>
  <c r="O62" i="48"/>
  <c r="N62" i="48"/>
  <c r="M62" i="48"/>
  <c r="L62" i="48"/>
  <c r="K62" i="48"/>
  <c r="J62" i="48"/>
  <c r="I62" i="48"/>
  <c r="H62" i="48"/>
  <c r="G62" i="48"/>
  <c r="F62" i="48"/>
  <c r="E62" i="48"/>
  <c r="D62" i="48"/>
  <c r="D50" i="48"/>
  <c r="E50" i="48" s="1"/>
  <c r="O47" i="48"/>
  <c r="N47" i="48"/>
  <c r="M47" i="48"/>
  <c r="L47" i="48"/>
  <c r="K47" i="48"/>
  <c r="J47" i="48"/>
  <c r="I47" i="48"/>
  <c r="H47" i="48"/>
  <c r="G47" i="48"/>
  <c r="F47" i="48"/>
  <c r="E47" i="48"/>
  <c r="D47" i="48"/>
  <c r="C47" i="48"/>
  <c r="B47" i="48"/>
  <c r="D18" i="48"/>
  <c r="H17" i="48"/>
  <c r="D13" i="48"/>
  <c r="D12" i="48"/>
  <c r="D10" i="48"/>
  <c r="B6" i="48"/>
  <c r="D5" i="48"/>
  <c r="D4" i="48"/>
  <c r="D3" i="48"/>
  <c r="D2" i="48"/>
  <c r="D6" i="48" s="1"/>
  <c r="C2" i="48"/>
  <c r="F4" i="47"/>
  <c r="D4" i="47"/>
  <c r="AG48" i="46"/>
  <c r="AF48" i="46"/>
  <c r="AE48" i="46"/>
  <c r="AD48" i="46"/>
  <c r="AC48" i="46"/>
  <c r="AB48" i="46"/>
  <c r="AA48" i="46"/>
  <c r="Z48" i="46"/>
  <c r="Y48" i="46"/>
  <c r="X48" i="46"/>
  <c r="W48" i="46"/>
  <c r="V48" i="46"/>
  <c r="U48" i="46"/>
  <c r="T48" i="46"/>
  <c r="S48" i="46"/>
  <c r="R48" i="46"/>
  <c r="Q48" i="46"/>
  <c r="P48" i="46"/>
  <c r="O48" i="46"/>
  <c r="N48" i="46"/>
  <c r="M48" i="46"/>
  <c r="L48" i="46"/>
  <c r="K48" i="46"/>
  <c r="J48" i="46"/>
  <c r="I48" i="46"/>
  <c r="H48" i="46"/>
  <c r="G48" i="46"/>
  <c r="F48" i="46"/>
  <c r="E48" i="46"/>
  <c r="AM46" i="46"/>
  <c r="AS41" i="46"/>
  <c r="AR41" i="46"/>
  <c r="AQ41" i="46"/>
  <c r="AP41" i="46"/>
  <c r="AO41" i="46"/>
  <c r="AN41" i="46"/>
  <c r="AM41" i="46"/>
  <c r="AL41" i="46"/>
  <c r="AK41" i="46"/>
  <c r="AJ41" i="46"/>
  <c r="AI41" i="46"/>
  <c r="AH41" i="46"/>
  <c r="AG41" i="46"/>
  <c r="AF41" i="46"/>
  <c r="AE41" i="46"/>
  <c r="AD41" i="46"/>
  <c r="AC41" i="46"/>
  <c r="AB41" i="46"/>
  <c r="AA41" i="46"/>
  <c r="Z41" i="46"/>
  <c r="Y41" i="46"/>
  <c r="X41" i="46"/>
  <c r="W41" i="46"/>
  <c r="V41" i="46"/>
  <c r="U41" i="46"/>
  <c r="T41" i="46"/>
  <c r="S41" i="46"/>
  <c r="R41" i="46"/>
  <c r="Q41" i="46"/>
  <c r="P41" i="46"/>
  <c r="O41" i="46"/>
  <c r="N41" i="46"/>
  <c r="M41" i="46"/>
  <c r="L41" i="46"/>
  <c r="K41" i="46"/>
  <c r="J41" i="46"/>
  <c r="I41" i="46"/>
  <c r="H41" i="46"/>
  <c r="G41" i="46"/>
  <c r="F41" i="46"/>
  <c r="E41" i="46"/>
  <c r="AU41" i="46" s="1"/>
  <c r="AU39" i="46"/>
  <c r="AG35" i="46"/>
  <c r="AF35" i="46"/>
  <c r="AE35" i="46"/>
  <c r="AD35" i="46"/>
  <c r="AC35" i="46"/>
  <c r="AB35" i="46"/>
  <c r="AA35" i="46"/>
  <c r="Z35" i="46"/>
  <c r="Y35" i="46"/>
  <c r="X35" i="46"/>
  <c r="W35" i="46"/>
  <c r="V35" i="46"/>
  <c r="U35" i="46"/>
  <c r="T35" i="46"/>
  <c r="S35" i="46"/>
  <c r="R35" i="46"/>
  <c r="Q35" i="46"/>
  <c r="P35" i="46"/>
  <c r="O35" i="46"/>
  <c r="N35" i="46"/>
  <c r="M35" i="46"/>
  <c r="L35" i="46"/>
  <c r="K35" i="46"/>
  <c r="J35" i="46"/>
  <c r="I35" i="46"/>
  <c r="H35" i="46"/>
  <c r="G35" i="46"/>
  <c r="F35" i="46"/>
  <c r="E35" i="46"/>
  <c r="D33" i="46"/>
  <c r="C33" i="46"/>
  <c r="B33" i="46"/>
  <c r="AS46" i="46"/>
  <c r="AO46" i="46"/>
  <c r="AI46" i="46"/>
  <c r="AG32" i="46"/>
  <c r="AG46" i="46" s="1"/>
  <c r="AF32" i="46"/>
  <c r="AF46" i="46" s="1"/>
  <c r="AE32" i="46"/>
  <c r="AE46" i="46" s="1"/>
  <c r="AD32" i="46"/>
  <c r="AD46" i="46" s="1"/>
  <c r="AC32" i="46"/>
  <c r="AC46" i="46" s="1"/>
  <c r="AB32" i="46"/>
  <c r="AB46" i="46" s="1"/>
  <c r="AA32" i="46"/>
  <c r="AA46" i="46" s="1"/>
  <c r="Z32" i="46"/>
  <c r="Z46" i="46" s="1"/>
  <c r="Y32" i="46"/>
  <c r="Y46" i="46" s="1"/>
  <c r="X32" i="46"/>
  <c r="X46" i="46" s="1"/>
  <c r="W32" i="46"/>
  <c r="W46" i="46" s="1"/>
  <c r="V32" i="46"/>
  <c r="V46" i="46" s="1"/>
  <c r="U32" i="46"/>
  <c r="U46" i="46" s="1"/>
  <c r="T32" i="46"/>
  <c r="T46" i="46" s="1"/>
  <c r="S32" i="46"/>
  <c r="S46" i="46" s="1"/>
  <c r="R32" i="46"/>
  <c r="R46" i="46" s="1"/>
  <c r="Q32" i="46"/>
  <c r="Q46" i="46" s="1"/>
  <c r="P32" i="46"/>
  <c r="P46" i="46" s="1"/>
  <c r="O32" i="46"/>
  <c r="O46" i="46" s="1"/>
  <c r="N32" i="46"/>
  <c r="N46" i="46" s="1"/>
  <c r="M32" i="46"/>
  <c r="M46" i="46" s="1"/>
  <c r="L32" i="46"/>
  <c r="L46" i="46" s="1"/>
  <c r="K32" i="46"/>
  <c r="K46" i="46" s="1"/>
  <c r="J32" i="46"/>
  <c r="J46" i="46" s="1"/>
  <c r="I32" i="46"/>
  <c r="I46" i="46" s="1"/>
  <c r="H32" i="46"/>
  <c r="H46" i="46" s="1"/>
  <c r="G32" i="46"/>
  <c r="G46" i="46" s="1"/>
  <c r="F32" i="46"/>
  <c r="F46" i="46" s="1"/>
  <c r="AU30" i="46"/>
  <c r="E28" i="46"/>
  <c r="E27" i="46"/>
  <c r="D27" i="46"/>
  <c r="C27" i="46"/>
  <c r="B27" i="46"/>
  <c r="E25" i="46"/>
  <c r="E23" i="46"/>
  <c r="E24" i="46" s="1"/>
  <c r="E22" i="46"/>
  <c r="AA20" i="46"/>
  <c r="Y20" i="46"/>
  <c r="E15" i="46"/>
  <c r="F14" i="46"/>
  <c r="F38" i="46" s="1"/>
  <c r="C13" i="46"/>
  <c r="C36" i="46" s="1"/>
  <c r="C43" i="46" s="1"/>
  <c r="C45" i="46" s="1"/>
  <c r="C50" i="46" s="1"/>
  <c r="C12" i="46"/>
  <c r="B12" i="46"/>
  <c r="B13" i="46" s="1"/>
  <c r="B36" i="46" s="1"/>
  <c r="B43" i="46" s="1"/>
  <c r="B45" i="46" s="1"/>
  <c r="B50" i="46" s="1"/>
  <c r="D11" i="46"/>
  <c r="AU11" i="46" s="1"/>
  <c r="E10" i="46"/>
  <c r="E42" i="46" s="1"/>
  <c r="F9" i="46"/>
  <c r="E9" i="46"/>
  <c r="D8" i="46"/>
  <c r="C8" i="46"/>
  <c r="B8" i="46"/>
  <c r="AG7" i="46"/>
  <c r="AF7" i="46"/>
  <c r="AE7" i="46"/>
  <c r="AC7" i="46"/>
  <c r="AB7" i="46"/>
  <c r="AA7" i="46"/>
  <c r="Z7" i="46"/>
  <c r="Y7" i="46"/>
  <c r="X7" i="46"/>
  <c r="W7" i="46"/>
  <c r="V7" i="46"/>
  <c r="U7" i="46"/>
  <c r="T7" i="46"/>
  <c r="S7" i="46"/>
  <c r="R7" i="46"/>
  <c r="Q7" i="46"/>
  <c r="P7" i="46"/>
  <c r="O7" i="46"/>
  <c r="N7" i="46"/>
  <c r="M7" i="46"/>
  <c r="L7" i="46"/>
  <c r="K7" i="46"/>
  <c r="J7" i="46"/>
  <c r="I7" i="46"/>
  <c r="H7" i="46"/>
  <c r="G7" i="46"/>
  <c r="F7" i="46"/>
  <c r="E7" i="46"/>
  <c r="AG6" i="46"/>
  <c r="AF20" i="46" s="1"/>
  <c r="AF6" i="46"/>
  <c r="AE6" i="46"/>
  <c r="AD6" i="46"/>
  <c r="AC6" i="46"/>
  <c r="AB6" i="46"/>
  <c r="AA6" i="46"/>
  <c r="Z6" i="46"/>
  <c r="Y6" i="46"/>
  <c r="X6" i="46"/>
  <c r="W6" i="46"/>
  <c r="V6" i="46"/>
  <c r="U6" i="46"/>
  <c r="T6" i="46"/>
  <c r="S6" i="46"/>
  <c r="R6" i="46"/>
  <c r="Q6" i="46"/>
  <c r="P6" i="46"/>
  <c r="O6" i="46"/>
  <c r="N6" i="46"/>
  <c r="M6" i="46"/>
  <c r="L6" i="46"/>
  <c r="K6" i="46"/>
  <c r="J6" i="46"/>
  <c r="I6" i="46"/>
  <c r="H6" i="46"/>
  <c r="G6" i="46"/>
  <c r="F6" i="46"/>
  <c r="E6" i="46"/>
  <c r="AG5" i="46"/>
  <c r="AF5" i="46"/>
  <c r="AE5" i="46"/>
  <c r="AD5" i="46"/>
  <c r="AC5" i="46"/>
  <c r="AB5" i="46"/>
  <c r="AA5" i="46"/>
  <c r="Z5" i="46"/>
  <c r="Y5" i="46"/>
  <c r="X5" i="46"/>
  <c r="W5" i="46"/>
  <c r="V5" i="46"/>
  <c r="U5" i="46"/>
  <c r="T5" i="46"/>
  <c r="S5" i="46"/>
  <c r="R5" i="46"/>
  <c r="Q5" i="46"/>
  <c r="P5" i="46"/>
  <c r="O5" i="46"/>
  <c r="N5" i="46"/>
  <c r="M5" i="46"/>
  <c r="L5" i="46"/>
  <c r="K5" i="46"/>
  <c r="J5" i="46"/>
  <c r="I5" i="46"/>
  <c r="H5" i="46"/>
  <c r="G5" i="46"/>
  <c r="AG4" i="46"/>
  <c r="AF4" i="46"/>
  <c r="AE4" i="46"/>
  <c r="AD4" i="46"/>
  <c r="AC4" i="46"/>
  <c r="AB4" i="46"/>
  <c r="AA4" i="46"/>
  <c r="Z4" i="46"/>
  <c r="Y4" i="46"/>
  <c r="X4" i="46"/>
  <c r="W4" i="46"/>
  <c r="V4" i="46"/>
  <c r="U4" i="46"/>
  <c r="T4" i="46"/>
  <c r="S4" i="46"/>
  <c r="R4" i="46"/>
  <c r="Q4" i="46"/>
  <c r="P4" i="46"/>
  <c r="O4" i="46"/>
  <c r="N4" i="46"/>
  <c r="M4" i="46"/>
  <c r="AN47" i="46"/>
  <c r="G47" i="46"/>
  <c r="F1" i="46"/>
  <c r="G1" i="46" s="1"/>
  <c r="H1" i="46" s="1"/>
  <c r="I1" i="46" s="1"/>
  <c r="J1" i="46" s="1"/>
  <c r="K1" i="46" s="1"/>
  <c r="L1" i="46" s="1"/>
  <c r="M1" i="46" s="1"/>
  <c r="N1" i="46" s="1"/>
  <c r="O1" i="46" s="1"/>
  <c r="P1" i="46" s="1"/>
  <c r="Q1" i="46" s="1"/>
  <c r="R1" i="46" s="1"/>
  <c r="S1" i="46" s="1"/>
  <c r="T1" i="46" s="1"/>
  <c r="U1" i="46" s="1"/>
  <c r="V1" i="46" s="1"/>
  <c r="W1" i="46" s="1"/>
  <c r="X1" i="46" s="1"/>
  <c r="Y1" i="46" s="1"/>
  <c r="Z1" i="46" s="1"/>
  <c r="AA1" i="46" s="1"/>
  <c r="AB1" i="46" s="1"/>
  <c r="AC1" i="46" s="1"/>
  <c r="AD1" i="46" s="1"/>
  <c r="AE1" i="46" s="1"/>
  <c r="AF1" i="46" s="1"/>
  <c r="AG1" i="46" s="1"/>
  <c r="AH1" i="46" s="1"/>
  <c r="AI1" i="46" s="1"/>
  <c r="AJ1" i="46" s="1"/>
  <c r="AK1" i="46" s="1"/>
  <c r="AL1" i="46" s="1"/>
  <c r="AM1" i="46" s="1"/>
  <c r="AN1" i="46" s="1"/>
  <c r="AO1" i="46" s="1"/>
  <c r="AP1" i="46" s="1"/>
  <c r="AQ1" i="46" s="1"/>
  <c r="AR1" i="46" s="1"/>
  <c r="AS1" i="46" s="1"/>
  <c r="AU48" i="46" l="1"/>
  <c r="F19" i="51"/>
  <c r="H48" i="55"/>
  <c r="AH3" i="46"/>
  <c r="AH47" i="46" s="1"/>
  <c r="G4" i="51"/>
  <c r="G14" i="51"/>
  <c r="G53" i="52"/>
  <c r="D3" i="52" s="1"/>
  <c r="G55" i="52"/>
  <c r="F3" i="52" s="1"/>
  <c r="F37" i="52" s="1"/>
  <c r="G56" i="52"/>
  <c r="G3" i="52" s="1"/>
  <c r="G37" i="52" s="1"/>
  <c r="G49" i="52" s="1"/>
  <c r="H14" i="55"/>
  <c r="H19" i="55"/>
  <c r="H21" i="55"/>
  <c r="H26" i="55"/>
  <c r="H30" i="55"/>
  <c r="S3" i="46"/>
  <c r="S47" i="46" s="1"/>
  <c r="K20" i="49"/>
  <c r="AF3" i="46"/>
  <c r="AF47" i="46" s="1"/>
  <c r="X3" i="46"/>
  <c r="X47" i="46" s="1"/>
  <c r="AB3" i="46"/>
  <c r="AB47" i="46" s="1"/>
  <c r="P3" i="46"/>
  <c r="P47" i="46" s="1"/>
  <c r="T3" i="46"/>
  <c r="L3" i="46"/>
  <c r="L47" i="46" s="1"/>
  <c r="AC3" i="46"/>
  <c r="AC47" i="46" s="1"/>
  <c r="AG3" i="46"/>
  <c r="AG47" i="46" s="1"/>
  <c r="Y3" i="46"/>
  <c r="Y47" i="46" s="1"/>
  <c r="M3" i="46"/>
  <c r="Q3" i="46"/>
  <c r="Q47" i="46" s="1"/>
  <c r="U3" i="46"/>
  <c r="AI3" i="46"/>
  <c r="AI47" i="46" s="1"/>
  <c r="O3" i="46"/>
  <c r="O47" i="46" s="1"/>
  <c r="W3" i="46"/>
  <c r="W47" i="46" s="1"/>
  <c r="AD3" i="46"/>
  <c r="AD47" i="46" s="1"/>
  <c r="Z3" i="46"/>
  <c r="R3" i="46"/>
  <c r="R47" i="46" s="1"/>
  <c r="K3" i="46"/>
  <c r="K47" i="46" s="1"/>
  <c r="V3" i="46"/>
  <c r="V47" i="46" s="1"/>
  <c r="H4" i="51"/>
  <c r="G66" i="52"/>
  <c r="Q3" i="52" s="1"/>
  <c r="Q37" i="52" s="1"/>
  <c r="Q49" i="52" s="1"/>
  <c r="G74" i="52"/>
  <c r="Y3" i="52" s="1"/>
  <c r="Y37" i="52" s="1"/>
  <c r="Y49" i="52" s="1"/>
  <c r="AQ32" i="46"/>
  <c r="AQ46" i="46" s="1"/>
  <c r="N3" i="46"/>
  <c r="N47" i="46" s="1"/>
  <c r="G69" i="52"/>
  <c r="T3" i="52" s="1"/>
  <c r="G71" i="52"/>
  <c r="V3" i="52" s="1"/>
  <c r="G72" i="52"/>
  <c r="W3" i="52" s="1"/>
  <c r="H13" i="55"/>
  <c r="AJ32" i="46"/>
  <c r="AJ46" i="46" s="1"/>
  <c r="AJ5" i="46"/>
  <c r="H45" i="55"/>
  <c r="AN32" i="46"/>
  <c r="AN46" i="46" s="1"/>
  <c r="H5" i="51"/>
  <c r="H10" i="51"/>
  <c r="H11" i="51"/>
  <c r="G57" i="52"/>
  <c r="H3" i="52" s="1"/>
  <c r="G58" i="52"/>
  <c r="I3" i="52" s="1"/>
  <c r="I32" i="52" s="1"/>
  <c r="I49" i="52" s="1"/>
  <c r="G62" i="52"/>
  <c r="M3" i="52" s="1"/>
  <c r="M37" i="52" s="1"/>
  <c r="H32" i="55"/>
  <c r="H35" i="55"/>
  <c r="AH32" i="46"/>
  <c r="AH46" i="46" s="1"/>
  <c r="AH5" i="46"/>
  <c r="AK32" i="46"/>
  <c r="AK46" i="46" s="1"/>
  <c r="AK5" i="46"/>
  <c r="H42" i="55"/>
  <c r="H46" i="55"/>
  <c r="G73" i="52"/>
  <c r="X3" i="52" s="1"/>
  <c r="H9" i="55"/>
  <c r="H16" i="55"/>
  <c r="H18" i="55"/>
  <c r="H23" i="55"/>
  <c r="H33" i="55"/>
  <c r="H36" i="55"/>
  <c r="H39" i="55"/>
  <c r="AI5" i="46"/>
  <c r="AP3" i="46"/>
  <c r="AL3" i="46"/>
  <c r="AL47" i="46" s="1"/>
  <c r="AO5" i="46"/>
  <c r="AS5" i="46"/>
  <c r="H3" i="46"/>
  <c r="H47" i="46" s="1"/>
  <c r="F51" i="55"/>
  <c r="F52" i="55" s="1"/>
  <c r="AS3" i="46"/>
  <c r="AS47" i="46" s="1"/>
  <c r="AO3" i="46"/>
  <c r="AO47" i="46" s="1"/>
  <c r="AK3" i="46"/>
  <c r="AL5" i="46"/>
  <c r="AP5" i="46"/>
  <c r="F3" i="46"/>
  <c r="F47" i="46" s="1"/>
  <c r="I3" i="46"/>
  <c r="I47" i="46" s="1"/>
  <c r="AU4" i="46"/>
  <c r="Q48" i="60"/>
  <c r="S49" i="59"/>
  <c r="S50" i="59" s="1"/>
  <c r="E16" i="57"/>
  <c r="E17" i="57"/>
  <c r="L29" i="54"/>
  <c r="M6" i="54"/>
  <c r="M29" i="54" s="1"/>
  <c r="P31" i="53"/>
  <c r="L31" i="53"/>
  <c r="O31" i="53"/>
  <c r="N31" i="53"/>
  <c r="M31" i="53"/>
  <c r="N37" i="53"/>
  <c r="M37" i="53"/>
  <c r="O37" i="53"/>
  <c r="P37" i="53"/>
  <c r="L37" i="53"/>
  <c r="J3" i="53"/>
  <c r="M4" i="53"/>
  <c r="P4" i="53"/>
  <c r="L4" i="53"/>
  <c r="N4" i="53"/>
  <c r="O4" i="53"/>
  <c r="P39" i="53"/>
  <c r="L39" i="53"/>
  <c r="O39" i="53"/>
  <c r="N39" i="53"/>
  <c r="M39" i="53"/>
  <c r="M18" i="53"/>
  <c r="P18" i="53"/>
  <c r="L18" i="53"/>
  <c r="O18" i="53"/>
  <c r="N18" i="53"/>
  <c r="P27" i="53"/>
  <c r="L27" i="53"/>
  <c r="O27" i="53"/>
  <c r="M27" i="53"/>
  <c r="N27" i="53"/>
  <c r="M46" i="53"/>
  <c r="P46" i="53"/>
  <c r="L46" i="53"/>
  <c r="O46" i="53"/>
  <c r="N46" i="53"/>
  <c r="O12" i="53"/>
  <c r="N12" i="53"/>
  <c r="O16" i="53"/>
  <c r="N16" i="53"/>
  <c r="M38" i="53"/>
  <c r="P38" i="53"/>
  <c r="L38" i="53"/>
  <c r="P47" i="53"/>
  <c r="L47" i="53"/>
  <c r="O47" i="53"/>
  <c r="P51" i="53"/>
  <c r="L51" i="53"/>
  <c r="O51" i="53"/>
  <c r="N51" i="53"/>
  <c r="L16" i="53"/>
  <c r="I40" i="53"/>
  <c r="J40" i="53" s="1"/>
  <c r="M12" i="53"/>
  <c r="M16" i="53"/>
  <c r="I28" i="53"/>
  <c r="J28" i="53" s="1"/>
  <c r="I33" i="53"/>
  <c r="J33" i="53" s="1"/>
  <c r="I41" i="53"/>
  <c r="K41" i="53" s="1"/>
  <c r="P55" i="53"/>
  <c r="L55" i="53"/>
  <c r="O55" i="53"/>
  <c r="N55" i="53"/>
  <c r="O48" i="53"/>
  <c r="N48" i="53"/>
  <c r="M48" i="53"/>
  <c r="P63" i="53"/>
  <c r="L63" i="53"/>
  <c r="O63" i="53"/>
  <c r="N63" i="53"/>
  <c r="L12" i="53"/>
  <c r="I13" i="53"/>
  <c r="J13" i="53" s="1"/>
  <c r="I17" i="53"/>
  <c r="J17" i="53" s="1"/>
  <c r="I20" i="53"/>
  <c r="K20" i="53" s="1"/>
  <c r="K74" i="53" s="1"/>
  <c r="I24" i="53"/>
  <c r="K24" i="53" s="1"/>
  <c r="I32" i="53"/>
  <c r="J32" i="53" s="1"/>
  <c r="I36" i="53"/>
  <c r="K36" i="53" s="1"/>
  <c r="N38" i="53"/>
  <c r="M47" i="53"/>
  <c r="L48" i="53"/>
  <c r="M51" i="53"/>
  <c r="I56" i="53"/>
  <c r="K56" i="53" s="1"/>
  <c r="M63" i="53"/>
  <c r="O38" i="53"/>
  <c r="N47" i="53"/>
  <c r="P48" i="53"/>
  <c r="P12" i="53"/>
  <c r="P16" i="53"/>
  <c r="I29" i="53"/>
  <c r="K29" i="53" s="1"/>
  <c r="I52" i="53"/>
  <c r="K52" i="53" s="1"/>
  <c r="M54" i="53"/>
  <c r="P54" i="53"/>
  <c r="L54" i="53"/>
  <c r="O54" i="53"/>
  <c r="M55" i="53"/>
  <c r="I60" i="53"/>
  <c r="K60" i="53" s="1"/>
  <c r="I64" i="53"/>
  <c r="K64" i="53" s="1"/>
  <c r="L37" i="52"/>
  <c r="L22" i="52"/>
  <c r="D37" i="52"/>
  <c r="D22" i="52"/>
  <c r="P37" i="52"/>
  <c r="P22" i="52"/>
  <c r="H27" i="52"/>
  <c r="H47" i="52"/>
  <c r="F22" i="52"/>
  <c r="AD7" i="52"/>
  <c r="AD8" i="52" s="1"/>
  <c r="AD9" i="52" s="1"/>
  <c r="AD10" i="52" s="1"/>
  <c r="AD11" i="52" s="1"/>
  <c r="M22" i="52"/>
  <c r="M49" i="52" s="1"/>
  <c r="C49" i="52"/>
  <c r="G54" i="52"/>
  <c r="E3" i="52" s="1"/>
  <c r="E37" i="52" s="1"/>
  <c r="E49" i="52" s="1"/>
  <c r="T22" i="52"/>
  <c r="T37" i="52"/>
  <c r="X49" i="52"/>
  <c r="O22" i="52"/>
  <c r="O49" i="52" s="1"/>
  <c r="Z32" i="52"/>
  <c r="AI32" i="52" s="1"/>
  <c r="V37" i="52"/>
  <c r="U22" i="52"/>
  <c r="U49" i="52" s="1"/>
  <c r="H8" i="51"/>
  <c r="H9" i="51"/>
  <c r="H7" i="51"/>
  <c r="H14" i="51"/>
  <c r="H15" i="51"/>
  <c r="H18" i="51"/>
  <c r="C17" i="51"/>
  <c r="C18" i="51" s="1"/>
  <c r="H16" i="51"/>
  <c r="H6" i="51"/>
  <c r="H12" i="51"/>
  <c r="H19" i="51" s="1"/>
  <c r="K19" i="51" s="1"/>
  <c r="H13" i="51"/>
  <c r="H17" i="51"/>
  <c r="G18" i="51"/>
  <c r="G7" i="51"/>
  <c r="G9" i="51"/>
  <c r="G11" i="51"/>
  <c r="G13" i="51"/>
  <c r="G15" i="51"/>
  <c r="AW19" i="50"/>
  <c r="AV8" i="50"/>
  <c r="AW8" i="50" s="1"/>
  <c r="AW20" i="50"/>
  <c r="F25" i="50"/>
  <c r="G24" i="50"/>
  <c r="H12" i="50"/>
  <c r="AV19" i="50"/>
  <c r="AV20" i="50"/>
  <c r="AV22" i="50"/>
  <c r="AW22" i="50" s="1"/>
  <c r="AV4" i="50"/>
  <c r="D8" i="48"/>
  <c r="B12" i="48"/>
  <c r="C6" i="48"/>
  <c r="H8" i="46"/>
  <c r="X8" i="46"/>
  <c r="D12" i="46"/>
  <c r="D13" i="46" s="1"/>
  <c r="P8" i="46"/>
  <c r="AF8" i="46"/>
  <c r="E12" i="46"/>
  <c r="AU7" i="46"/>
  <c r="L8" i="46"/>
  <c r="AB8" i="46"/>
  <c r="I8" i="46"/>
  <c r="Q8" i="46"/>
  <c r="Y8" i="46"/>
  <c r="AC8" i="46"/>
  <c r="AG8" i="46"/>
  <c r="F22" i="46"/>
  <c r="F8" i="46"/>
  <c r="J8" i="46"/>
  <c r="N8" i="46"/>
  <c r="R8" i="46"/>
  <c r="V8" i="46"/>
  <c r="AD8" i="46"/>
  <c r="G14" i="46"/>
  <c r="G8" i="46"/>
  <c r="O8" i="46"/>
  <c r="S8" i="46"/>
  <c r="W8" i="46"/>
  <c r="AA8" i="46"/>
  <c r="AE8" i="46"/>
  <c r="F10" i="46"/>
  <c r="F42" i="46" s="1"/>
  <c r="F15" i="46"/>
  <c r="AU35" i="46"/>
  <c r="Z37" i="52" l="1"/>
  <c r="G19" i="51"/>
  <c r="T49" i="52"/>
  <c r="W47" i="52"/>
  <c r="W27" i="52"/>
  <c r="W49" i="52" s="1"/>
  <c r="V17" i="52"/>
  <c r="Z17" i="52" s="1"/>
  <c r="AF17" i="52" s="1"/>
  <c r="V47" i="52"/>
  <c r="Z47" i="52" s="1"/>
  <c r="E18" i="57"/>
  <c r="AK47" i="46"/>
  <c r="AP47" i="46"/>
  <c r="Z47" i="46"/>
  <c r="Z8" i="46"/>
  <c r="T47" i="46"/>
  <c r="T8" i="46"/>
  <c r="V27" i="52"/>
  <c r="V49" i="52" s="1"/>
  <c r="U47" i="46"/>
  <c r="U8" i="46"/>
  <c r="K8" i="46"/>
  <c r="M47" i="46"/>
  <c r="M8" i="46"/>
  <c r="O32" i="53"/>
  <c r="N32" i="53"/>
  <c r="M32" i="53"/>
  <c r="L32" i="53"/>
  <c r="P32" i="53"/>
  <c r="N33" i="53"/>
  <c r="M33" i="53"/>
  <c r="P33" i="53"/>
  <c r="L33" i="53"/>
  <c r="O33" i="53"/>
  <c r="O40" i="53"/>
  <c r="N40" i="53"/>
  <c r="M40" i="53"/>
  <c r="L40" i="53"/>
  <c r="P40" i="53"/>
  <c r="N13" i="53"/>
  <c r="M13" i="53"/>
  <c r="L13" i="53"/>
  <c r="P13" i="53"/>
  <c r="O13" i="53"/>
  <c r="I74" i="53"/>
  <c r="N17" i="53"/>
  <c r="M17" i="53"/>
  <c r="L17" i="53"/>
  <c r="P17" i="53"/>
  <c r="O17" i="53"/>
  <c r="O28" i="53"/>
  <c r="N28" i="53"/>
  <c r="L28" i="53"/>
  <c r="P28" i="53"/>
  <c r="M28" i="53"/>
  <c r="J74" i="53"/>
  <c r="J80" i="53" s="1"/>
  <c r="N3" i="53"/>
  <c r="M3" i="53"/>
  <c r="O3" i="53"/>
  <c r="P3" i="53"/>
  <c r="P74" i="53" s="1"/>
  <c r="P75" i="53" s="1"/>
  <c r="L3" i="53"/>
  <c r="H49" i="52"/>
  <c r="Z3" i="52"/>
  <c r="AI33" i="52"/>
  <c r="AI34" i="52" s="1"/>
  <c r="AI35" i="52" s="1"/>
  <c r="AI36" i="52" s="1"/>
  <c r="AI37" i="52" s="1"/>
  <c r="AI38" i="52" s="1"/>
  <c r="AI39" i="52" s="1"/>
  <c r="AI40" i="52" s="1"/>
  <c r="AI41" i="52" s="1"/>
  <c r="AI42" i="52" s="1"/>
  <c r="AI43" i="52" s="1"/>
  <c r="AI44" i="52" s="1"/>
  <c r="AI45" i="52" s="1"/>
  <c r="AI46" i="52" s="1"/>
  <c r="AI47" i="52" s="1"/>
  <c r="AF47" i="52"/>
  <c r="G76" i="52"/>
  <c r="F49" i="52"/>
  <c r="D49" i="52"/>
  <c r="Z22" i="52"/>
  <c r="AJ37" i="52" s="1"/>
  <c r="L49" i="52"/>
  <c r="P49" i="52"/>
  <c r="AW4" i="50"/>
  <c r="G25" i="50"/>
  <c r="H24" i="50"/>
  <c r="I6" i="48"/>
  <c r="K6" i="48" s="1"/>
  <c r="I4" i="48"/>
  <c r="K4" i="48" s="1"/>
  <c r="D19" i="48"/>
  <c r="I15" i="48"/>
  <c r="K15" i="48" s="1"/>
  <c r="I13" i="48"/>
  <c r="K13" i="48" s="1"/>
  <c r="I12" i="48"/>
  <c r="K12" i="48" s="1"/>
  <c r="I10" i="48"/>
  <c r="K10" i="48" s="1"/>
  <c r="I9" i="48"/>
  <c r="K9" i="48" s="1"/>
  <c r="I5" i="48"/>
  <c r="K5" i="48" s="1"/>
  <c r="I16" i="48"/>
  <c r="K16" i="48" s="1"/>
  <c r="I14" i="48"/>
  <c r="K14" i="48" s="1"/>
  <c r="B13" i="48"/>
  <c r="B10" i="48"/>
  <c r="I8" i="48"/>
  <c r="K8" i="48" s="1"/>
  <c r="I3" i="48"/>
  <c r="I7" i="48"/>
  <c r="K7" i="48" s="1"/>
  <c r="F25" i="46"/>
  <c r="F27" i="46"/>
  <c r="F28" i="46" s="1"/>
  <c r="F23" i="46"/>
  <c r="F24" i="46" s="1"/>
  <c r="G38" i="46"/>
  <c r="H14" i="46"/>
  <c r="G22" i="46"/>
  <c r="G15" i="46"/>
  <c r="G10" i="46"/>
  <c r="D36" i="46"/>
  <c r="D43" i="46" s="1"/>
  <c r="D45" i="46" s="1"/>
  <c r="D50" i="46" s="1"/>
  <c r="F12" i="46"/>
  <c r="F13" i="46" s="1"/>
  <c r="Z49" i="52" l="1"/>
  <c r="Z27" i="52"/>
  <c r="AH27" i="52" s="1"/>
  <c r="O74" i="53"/>
  <c r="O75" i="53" s="1"/>
  <c r="M74" i="53"/>
  <c r="M75" i="53" s="1"/>
  <c r="L74" i="53"/>
  <c r="N74" i="53"/>
  <c r="N75" i="53" s="1"/>
  <c r="AB41" i="52"/>
  <c r="AB39" i="52"/>
  <c r="AB37" i="52"/>
  <c r="AB34" i="52"/>
  <c r="AC34" i="52" s="1"/>
  <c r="AB25" i="52"/>
  <c r="AC25" i="52" s="1"/>
  <c r="AB46" i="52"/>
  <c r="AB44" i="52"/>
  <c r="AB42" i="52"/>
  <c r="AB33" i="52"/>
  <c r="AC33" i="52" s="1"/>
  <c r="AB31" i="52"/>
  <c r="AC31" i="52" s="1"/>
  <c r="AB30" i="52"/>
  <c r="AC30" i="52" s="1"/>
  <c r="AB29" i="52"/>
  <c r="AC29" i="52" s="1"/>
  <c r="AB28" i="52"/>
  <c r="AC28" i="52" s="1"/>
  <c r="AB27" i="52"/>
  <c r="AC27" i="52" s="1"/>
  <c r="AB26" i="52"/>
  <c r="AC26" i="52" s="1"/>
  <c r="AB22" i="52"/>
  <c r="AC22" i="52" s="1"/>
  <c r="AB21" i="52"/>
  <c r="AC21" i="52" s="1"/>
  <c r="AB47" i="52"/>
  <c r="AB40" i="52"/>
  <c r="AB38" i="52"/>
  <c r="AB36" i="52"/>
  <c r="AB32" i="52"/>
  <c r="AC32" i="52" s="1"/>
  <c r="AB23" i="52"/>
  <c r="AC23" i="52" s="1"/>
  <c r="AB45" i="52"/>
  <c r="AB24" i="52"/>
  <c r="AC24" i="52" s="1"/>
  <c r="AB15" i="52"/>
  <c r="AC15" i="52" s="1"/>
  <c r="AB19" i="52"/>
  <c r="AC19" i="52" s="1"/>
  <c r="AB16" i="52"/>
  <c r="AC16" i="52" s="1"/>
  <c r="AB43" i="52"/>
  <c r="AB18" i="52"/>
  <c r="AC18" i="52" s="1"/>
  <c r="AB14" i="52"/>
  <c r="AC14" i="52" s="1"/>
  <c r="AB35" i="52"/>
  <c r="AC35" i="52" s="1"/>
  <c r="AB20" i="52"/>
  <c r="AC20" i="52" s="1"/>
  <c r="AB13" i="52"/>
  <c r="AB17" i="52"/>
  <c r="AC17" i="52" s="1"/>
  <c r="AJ49" i="52"/>
  <c r="AJ38" i="52"/>
  <c r="AJ39" i="52" s="1"/>
  <c r="AJ40" i="52" s="1"/>
  <c r="AJ41" i="52" s="1"/>
  <c r="AJ42" i="52" s="1"/>
  <c r="AJ43" i="52" s="1"/>
  <c r="AJ44" i="52" s="1"/>
  <c r="AJ45" i="52" s="1"/>
  <c r="AJ46" i="52" s="1"/>
  <c r="AJ47" i="52" s="1"/>
  <c r="AH28" i="52"/>
  <c r="AH29" i="52" s="1"/>
  <c r="AH30" i="52" s="1"/>
  <c r="AH31" i="52" s="1"/>
  <c r="AH32" i="52" s="1"/>
  <c r="AH33" i="52" s="1"/>
  <c r="AH34" i="52" s="1"/>
  <c r="AH35" i="52" s="1"/>
  <c r="AH36" i="52" s="1"/>
  <c r="AH37" i="52" s="1"/>
  <c r="AH38" i="52" s="1"/>
  <c r="AH39" i="52" s="1"/>
  <c r="AH40" i="52" s="1"/>
  <c r="AH41" i="52" s="1"/>
  <c r="AH42" i="52" s="1"/>
  <c r="AH43" i="52" s="1"/>
  <c r="AH44" i="52" s="1"/>
  <c r="AH45" i="52" s="1"/>
  <c r="AH46" i="52" s="1"/>
  <c r="AH47" i="52"/>
  <c r="AH49" i="52"/>
  <c r="AK17" i="52"/>
  <c r="AF18" i="52"/>
  <c r="AG37" i="52"/>
  <c r="AG38" i="52" s="1"/>
  <c r="AG39" i="52" s="1"/>
  <c r="AG40" i="52" s="1"/>
  <c r="AG41" i="52" s="1"/>
  <c r="AG42" i="52" s="1"/>
  <c r="AG43" i="52" s="1"/>
  <c r="AG44" i="52" s="1"/>
  <c r="AG45" i="52" s="1"/>
  <c r="AG46" i="52" s="1"/>
  <c r="AG47" i="52" s="1"/>
  <c r="AK47" i="52" s="1"/>
  <c r="AG22" i="52"/>
  <c r="AI49" i="52"/>
  <c r="I24" i="50"/>
  <c r="H25" i="50"/>
  <c r="I17" i="48"/>
  <c r="K3" i="48"/>
  <c r="K17" i="48" s="1"/>
  <c r="F19" i="46"/>
  <c r="F18" i="46"/>
  <c r="F16" i="46"/>
  <c r="F17" i="46" s="1"/>
  <c r="G27" i="46"/>
  <c r="G28" i="46" s="1"/>
  <c r="G25" i="46"/>
  <c r="G23" i="46"/>
  <c r="G24" i="46" s="1"/>
  <c r="H22" i="46"/>
  <c r="H15" i="46"/>
  <c r="H10" i="46"/>
  <c r="H42" i="46" s="1"/>
  <c r="H38" i="46"/>
  <c r="H9" i="46" s="1"/>
  <c r="I14" i="46"/>
  <c r="G42" i="46"/>
  <c r="G9" i="46"/>
  <c r="AC45" i="52" l="1"/>
  <c r="AQ6" i="46"/>
  <c r="AQ8" i="46" s="1"/>
  <c r="AC38" i="52"/>
  <c r="AJ6" i="46"/>
  <c r="AJ8" i="46" s="1"/>
  <c r="AC42" i="52"/>
  <c r="AN6" i="46"/>
  <c r="AN8" i="46" s="1"/>
  <c r="AC40" i="52"/>
  <c r="AL6" i="46"/>
  <c r="AL8" i="46" s="1"/>
  <c r="AC44" i="52"/>
  <c r="AP6" i="46"/>
  <c r="AP8" i="46" s="1"/>
  <c r="AC37" i="52"/>
  <c r="AI6" i="46"/>
  <c r="AI8" i="46" s="1"/>
  <c r="AC47" i="52"/>
  <c r="AS6" i="46"/>
  <c r="AS8" i="46" s="1"/>
  <c r="AC46" i="52"/>
  <c r="AR6" i="46"/>
  <c r="AR8" i="46" s="1"/>
  <c r="AC39" i="52"/>
  <c r="AK6" i="46"/>
  <c r="AK8" i="46" s="1"/>
  <c r="AC43" i="52"/>
  <c r="AO6" i="46"/>
  <c r="AO8" i="46" s="1"/>
  <c r="AC36" i="52"/>
  <c r="AH6" i="46"/>
  <c r="AC41" i="52"/>
  <c r="AM6" i="46"/>
  <c r="AM8" i="46" s="1"/>
  <c r="Q75" i="53"/>
  <c r="AF19" i="52"/>
  <c r="AK18" i="52"/>
  <c r="AB12" i="52"/>
  <c r="AC13" i="52"/>
  <c r="AG23" i="52"/>
  <c r="AG24" i="52" s="1"/>
  <c r="AG25" i="52" s="1"/>
  <c r="AG26" i="52" s="1"/>
  <c r="AG27" i="52" s="1"/>
  <c r="AG28" i="52" s="1"/>
  <c r="AG29" i="52" s="1"/>
  <c r="AG30" i="52" s="1"/>
  <c r="AG31" i="52" s="1"/>
  <c r="AG32" i="52" s="1"/>
  <c r="AG33" i="52" s="1"/>
  <c r="AG34" i="52" s="1"/>
  <c r="AG35" i="52" s="1"/>
  <c r="AG36" i="52" s="1"/>
  <c r="AG49" i="52"/>
  <c r="J24" i="50"/>
  <c r="I38" i="46"/>
  <c r="I22" i="46"/>
  <c r="I15" i="46"/>
  <c r="I10" i="46"/>
  <c r="I42" i="46" s="1"/>
  <c r="J14" i="46"/>
  <c r="H27" i="46"/>
  <c r="H28" i="46" s="1"/>
  <c r="H25" i="46"/>
  <c r="H23" i="46"/>
  <c r="H24" i="46" s="1"/>
  <c r="G12" i="46"/>
  <c r="H12" i="46"/>
  <c r="H13" i="46" s="1"/>
  <c r="AU6" i="46" l="1"/>
  <c r="AH8" i="46"/>
  <c r="AB49" i="52"/>
  <c r="AC12" i="52"/>
  <c r="AK19" i="52"/>
  <c r="AF20" i="52"/>
  <c r="K24" i="50"/>
  <c r="H19" i="46"/>
  <c r="H16" i="46"/>
  <c r="H17" i="46" s="1"/>
  <c r="H18" i="46"/>
  <c r="I27" i="46"/>
  <c r="I28" i="46" s="1"/>
  <c r="I23" i="46"/>
  <c r="I24" i="46" s="1"/>
  <c r="I25" i="46"/>
  <c r="G13" i="46"/>
  <c r="J38" i="46"/>
  <c r="J9" i="46" s="1"/>
  <c r="J12" i="46" s="1"/>
  <c r="J13" i="46" s="1"/>
  <c r="J15" i="46"/>
  <c r="J10" i="46"/>
  <c r="J42" i="46" s="1"/>
  <c r="K14" i="46"/>
  <c r="J22" i="46"/>
  <c r="I9" i="46"/>
  <c r="AF21" i="52" l="1"/>
  <c r="AK20" i="52"/>
  <c r="AC49" i="52"/>
  <c r="AD12" i="52"/>
  <c r="AD13" i="52" s="1"/>
  <c r="AD14" i="52" s="1"/>
  <c r="AD15" i="52" s="1"/>
  <c r="AD16" i="52" s="1"/>
  <c r="AD17" i="52" s="1"/>
  <c r="AD18" i="52" s="1"/>
  <c r="AD19" i="52" s="1"/>
  <c r="AD20" i="52" s="1"/>
  <c r="AD21" i="52" s="1"/>
  <c r="AD22" i="52" s="1"/>
  <c r="AD23" i="52" s="1"/>
  <c r="AD24" i="52" s="1"/>
  <c r="AD25" i="52" s="1"/>
  <c r="AD26" i="52" s="1"/>
  <c r="AD27" i="52" s="1"/>
  <c r="AD28" i="52" s="1"/>
  <c r="AD29" i="52" s="1"/>
  <c r="AD30" i="52" s="1"/>
  <c r="AD31" i="52" s="1"/>
  <c r="AD32" i="52" s="1"/>
  <c r="AD33" i="52" s="1"/>
  <c r="AD34" i="52" s="1"/>
  <c r="AD35" i="52" s="1"/>
  <c r="AD36" i="52" s="1"/>
  <c r="AD37" i="52" s="1"/>
  <c r="AD38" i="52" s="1"/>
  <c r="AD39" i="52" s="1"/>
  <c r="AD40" i="52" s="1"/>
  <c r="AD41" i="52" s="1"/>
  <c r="AD42" i="52" s="1"/>
  <c r="AD43" i="52" s="1"/>
  <c r="AD44" i="52" s="1"/>
  <c r="AD45" i="52" s="1"/>
  <c r="AD46" i="52" s="1"/>
  <c r="AD47" i="52" s="1"/>
  <c r="L24" i="50"/>
  <c r="L14" i="46"/>
  <c r="K38" i="46"/>
  <c r="K9" i="46" s="1"/>
  <c r="K12" i="46" s="1"/>
  <c r="K13" i="46" s="1"/>
  <c r="K22" i="46"/>
  <c r="K15" i="46"/>
  <c r="K10" i="46"/>
  <c r="G18" i="46"/>
  <c r="G19" i="46"/>
  <c r="G16" i="46"/>
  <c r="G17" i="46" s="1"/>
  <c r="I12" i="46"/>
  <c r="J27" i="46"/>
  <c r="J28" i="46" s="1"/>
  <c r="J25" i="46"/>
  <c r="J23" i="46"/>
  <c r="J24" i="46" s="1"/>
  <c r="J19" i="46"/>
  <c r="J18" i="46"/>
  <c r="J16" i="46"/>
  <c r="J17" i="46" s="1"/>
  <c r="AD48" i="52" l="1"/>
  <c r="AD49" i="52"/>
  <c r="AK21" i="52"/>
  <c r="AF22" i="52"/>
  <c r="M24" i="50"/>
  <c r="I13" i="46"/>
  <c r="A2" i="46"/>
  <c r="K27" i="46"/>
  <c r="K28" i="46" s="1"/>
  <c r="K25" i="46"/>
  <c r="K23" i="46"/>
  <c r="K24" i="46" s="1"/>
  <c r="K18" i="46"/>
  <c r="K16" i="46"/>
  <c r="K17" i="46" s="1"/>
  <c r="K19" i="46"/>
  <c r="K42" i="46"/>
  <c r="L38" i="46"/>
  <c r="L9" i="46" s="1"/>
  <c r="L22" i="46"/>
  <c r="L15" i="46"/>
  <c r="L10" i="46"/>
  <c r="L42" i="46" s="1"/>
  <c r="M14" i="46"/>
  <c r="AK22" i="52" l="1"/>
  <c r="AF23" i="52"/>
  <c r="N24" i="50"/>
  <c r="M38" i="46"/>
  <c r="M9" i="46" s="1"/>
  <c r="M22" i="46"/>
  <c r="M15" i="46"/>
  <c r="M10" i="46"/>
  <c r="M42" i="46" s="1"/>
  <c r="N14" i="46"/>
  <c r="L12" i="46"/>
  <c r="L27" i="46"/>
  <c r="L28" i="46" s="1"/>
  <c r="L25" i="46"/>
  <c r="L23" i="46"/>
  <c r="L24" i="46" s="1"/>
  <c r="I18" i="46"/>
  <c r="I16" i="46"/>
  <c r="I17" i="46" s="1"/>
  <c r="I19" i="46"/>
  <c r="AF24" i="52" l="1"/>
  <c r="AK23" i="52"/>
  <c r="O24" i="50"/>
  <c r="L13" i="46"/>
  <c r="M27" i="46"/>
  <c r="M28" i="46" s="1"/>
  <c r="M25" i="46"/>
  <c r="M23" i="46"/>
  <c r="M24" i="46" s="1"/>
  <c r="N38" i="46"/>
  <c r="N9" i="46" s="1"/>
  <c r="N22" i="46"/>
  <c r="N15" i="46"/>
  <c r="N10" i="46"/>
  <c r="N42" i="46" s="1"/>
  <c r="O14" i="46"/>
  <c r="M12" i="46"/>
  <c r="M13" i="46" s="1"/>
  <c r="AF25" i="52" l="1"/>
  <c r="AK24" i="52"/>
  <c r="M19" i="46"/>
  <c r="M18" i="46"/>
  <c r="M16" i="46"/>
  <c r="M17" i="46" s="1"/>
  <c r="N25" i="46"/>
  <c r="N23" i="46"/>
  <c r="N24" i="46" s="1"/>
  <c r="N27" i="46"/>
  <c r="N28" i="46" s="1"/>
  <c r="L18" i="46"/>
  <c r="L16" i="46"/>
  <c r="L17" i="46" s="1"/>
  <c r="L19" i="46"/>
  <c r="O38" i="46"/>
  <c r="O9" i="46" s="1"/>
  <c r="P14" i="46"/>
  <c r="O15" i="46"/>
  <c r="O10" i="46"/>
  <c r="O42" i="46" s="1"/>
  <c r="O22" i="46"/>
  <c r="N12" i="46"/>
  <c r="N13" i="46" s="1"/>
  <c r="AF26" i="52" l="1"/>
  <c r="AK25" i="52"/>
  <c r="P38" i="46"/>
  <c r="P9" i="46" s="1"/>
  <c r="P22" i="46"/>
  <c r="P15" i="46"/>
  <c r="P10" i="46"/>
  <c r="P42" i="46" s="1"/>
  <c r="Q14" i="46"/>
  <c r="O27" i="46"/>
  <c r="O28" i="46" s="1"/>
  <c r="O25" i="46"/>
  <c r="O23" i="46"/>
  <c r="O24" i="46" s="1"/>
  <c r="O12" i="46"/>
  <c r="O13" i="46" s="1"/>
  <c r="N19" i="46"/>
  <c r="N18" i="46"/>
  <c r="N16" i="46"/>
  <c r="N17" i="46" s="1"/>
  <c r="AK26" i="52" l="1"/>
  <c r="AF27" i="52"/>
  <c r="P27" i="46"/>
  <c r="P28" i="46" s="1"/>
  <c r="P25" i="46"/>
  <c r="P23" i="46"/>
  <c r="P24" i="46" s="1"/>
  <c r="O18" i="46"/>
  <c r="O16" i="46"/>
  <c r="O17" i="46" s="1"/>
  <c r="O19" i="46"/>
  <c r="Q38" i="46"/>
  <c r="Q9" i="46" s="1"/>
  <c r="Q12" i="46" s="1"/>
  <c r="Q13" i="46" s="1"/>
  <c r="Q22" i="46"/>
  <c r="Q15" i="46"/>
  <c r="Q10" i="46"/>
  <c r="Q42" i="46" s="1"/>
  <c r="R14" i="46"/>
  <c r="P12" i="46"/>
  <c r="P13" i="46" s="1"/>
  <c r="AF28" i="52" l="1"/>
  <c r="AK27" i="52"/>
  <c r="Q25" i="46"/>
  <c r="Q27" i="46"/>
  <c r="Q28" i="46" s="1"/>
  <c r="Q23" i="46"/>
  <c r="Q24" i="46" s="1"/>
  <c r="R15" i="46"/>
  <c r="R10" i="46"/>
  <c r="R42" i="46" s="1"/>
  <c r="R38" i="46"/>
  <c r="R9" i="46" s="1"/>
  <c r="R12" i="46" s="1"/>
  <c r="R13" i="46" s="1"/>
  <c r="R22" i="46"/>
  <c r="S14" i="46"/>
  <c r="P16" i="46"/>
  <c r="P17" i="46" s="1"/>
  <c r="P18" i="46"/>
  <c r="P19" i="46"/>
  <c r="Q18" i="46"/>
  <c r="Q19" i="46"/>
  <c r="Q16" i="46"/>
  <c r="Q17" i="46" s="1"/>
  <c r="AF29" i="52" l="1"/>
  <c r="AK28" i="52"/>
  <c r="S38" i="46"/>
  <c r="S9" i="46" s="1"/>
  <c r="S22" i="46"/>
  <c r="T14" i="46"/>
  <c r="S15" i="46"/>
  <c r="S10" i="46"/>
  <c r="S42" i="46" s="1"/>
  <c r="R27" i="46"/>
  <c r="R28" i="46" s="1"/>
  <c r="R25" i="46"/>
  <c r="R23" i="46"/>
  <c r="R24" i="46" s="1"/>
  <c r="R19" i="46"/>
  <c r="R16" i="46"/>
  <c r="R17" i="46" s="1"/>
  <c r="R18" i="46"/>
  <c r="AF30" i="52" l="1"/>
  <c r="AK29" i="52"/>
  <c r="T38" i="46"/>
  <c r="T9" i="46" s="1"/>
  <c r="T12" i="46" s="1"/>
  <c r="T13" i="46" s="1"/>
  <c r="T15" i="46"/>
  <c r="T10" i="46"/>
  <c r="T42" i="46" s="1"/>
  <c r="T22" i="46"/>
  <c r="U14" i="46"/>
  <c r="S27" i="46"/>
  <c r="S28" i="46" s="1"/>
  <c r="S25" i="46"/>
  <c r="S23" i="46"/>
  <c r="S24" i="46" s="1"/>
  <c r="S12" i="46"/>
  <c r="S13" i="46" s="1"/>
  <c r="AF31" i="52" l="1"/>
  <c r="AK30" i="52"/>
  <c r="T27" i="46"/>
  <c r="T28" i="46" s="1"/>
  <c r="T25" i="46"/>
  <c r="T23" i="46"/>
  <c r="T24" i="46" s="1"/>
  <c r="S18" i="46"/>
  <c r="S19" i="46"/>
  <c r="S16" i="46"/>
  <c r="S17" i="46" s="1"/>
  <c r="U38" i="46"/>
  <c r="U9" i="46" s="1"/>
  <c r="U12" i="46" s="1"/>
  <c r="U13" i="46" s="1"/>
  <c r="U22" i="46"/>
  <c r="U15" i="46"/>
  <c r="U10" i="46"/>
  <c r="U42" i="46" s="1"/>
  <c r="V14" i="46"/>
  <c r="T16" i="46"/>
  <c r="T17" i="46" s="1"/>
  <c r="T18" i="46"/>
  <c r="T19" i="46"/>
  <c r="AF32" i="52" l="1"/>
  <c r="AK31" i="52"/>
  <c r="V38" i="46"/>
  <c r="V9" i="46" s="1"/>
  <c r="V15" i="46"/>
  <c r="V10" i="46"/>
  <c r="V42" i="46" s="1"/>
  <c r="W14" i="46"/>
  <c r="V22" i="46"/>
  <c r="U18" i="46"/>
  <c r="U19" i="46"/>
  <c r="U16" i="46"/>
  <c r="U17" i="46" s="1"/>
  <c r="U27" i="46"/>
  <c r="U28" i="46" s="1"/>
  <c r="U25" i="46"/>
  <c r="U23" i="46"/>
  <c r="U24" i="46" s="1"/>
  <c r="AF33" i="52" l="1"/>
  <c r="AK32" i="52"/>
  <c r="W38" i="46"/>
  <c r="W9" i="46" s="1"/>
  <c r="X14" i="46"/>
  <c r="W22" i="46"/>
  <c r="W15" i="46"/>
  <c r="W10" i="46"/>
  <c r="W42" i="46" s="1"/>
  <c r="V27" i="46"/>
  <c r="V28" i="46" s="1"/>
  <c r="V25" i="46"/>
  <c r="V23" i="46"/>
  <c r="V24" i="46" s="1"/>
  <c r="V12" i="46"/>
  <c r="V13" i="46" s="1"/>
  <c r="AF34" i="52" l="1"/>
  <c r="AK33" i="52"/>
  <c r="W27" i="46"/>
  <c r="W28" i="46" s="1"/>
  <c r="W25" i="46"/>
  <c r="W23" i="46"/>
  <c r="W24" i="46" s="1"/>
  <c r="X38" i="46"/>
  <c r="X9" i="46" s="1"/>
  <c r="X12" i="46" s="1"/>
  <c r="X13" i="46" s="1"/>
  <c r="X22" i="46"/>
  <c r="X15" i="46"/>
  <c r="X10" i="46"/>
  <c r="X42" i="46" s="1"/>
  <c r="Y14" i="46"/>
  <c r="V19" i="46"/>
  <c r="V18" i="46"/>
  <c r="V16" i="46"/>
  <c r="V17" i="46" s="1"/>
  <c r="W12" i="46"/>
  <c r="W13" i="46" s="1"/>
  <c r="AF35" i="52" l="1"/>
  <c r="AK34" i="52"/>
  <c r="Y38" i="46"/>
  <c r="Y9" i="46" s="1"/>
  <c r="Y22" i="46"/>
  <c r="Y15" i="46"/>
  <c r="Y10" i="46"/>
  <c r="Y42" i="46" s="1"/>
  <c r="Z14" i="46"/>
  <c r="X19" i="46"/>
  <c r="X16" i="46"/>
  <c r="X17" i="46" s="1"/>
  <c r="X18" i="46"/>
  <c r="W18" i="46"/>
  <c r="W19" i="46"/>
  <c r="W16" i="46"/>
  <c r="W17" i="46" s="1"/>
  <c r="X27" i="46"/>
  <c r="X28" i="46" s="1"/>
  <c r="X25" i="46"/>
  <c r="X23" i="46"/>
  <c r="X24" i="46" s="1"/>
  <c r="AK35" i="52" l="1"/>
  <c r="AF36" i="52"/>
  <c r="Y27" i="46"/>
  <c r="Y28" i="46" s="1"/>
  <c r="Y23" i="46"/>
  <c r="Y24" i="46" s="1"/>
  <c r="Y25" i="46"/>
  <c r="Z38" i="46"/>
  <c r="Z9" i="46" s="1"/>
  <c r="Z12" i="46" s="1"/>
  <c r="Z13" i="46" s="1"/>
  <c r="Z15" i="46"/>
  <c r="Z10" i="46"/>
  <c r="Z42" i="46" s="1"/>
  <c r="AA14" i="46"/>
  <c r="Z20" i="46"/>
  <c r="Z22" i="46"/>
  <c r="Y12" i="46"/>
  <c r="Y13" i="46" s="1"/>
  <c r="AF37" i="52" l="1"/>
  <c r="AK36" i="52"/>
  <c r="AA38" i="46"/>
  <c r="AA9" i="46" s="1"/>
  <c r="AB14" i="46"/>
  <c r="AA22" i="46"/>
  <c r="AA15" i="46"/>
  <c r="AA10" i="46"/>
  <c r="AA42" i="46" s="1"/>
  <c r="Y18" i="46"/>
  <c r="Y19" i="46"/>
  <c r="Y16" i="46"/>
  <c r="Y17" i="46" s="1"/>
  <c r="Z19" i="46"/>
  <c r="Z18" i="46"/>
  <c r="Z16" i="46"/>
  <c r="Z17" i="46" s="1"/>
  <c r="Z27" i="46"/>
  <c r="Z28" i="46" s="1"/>
  <c r="Z25" i="46"/>
  <c r="Z23" i="46"/>
  <c r="Z24" i="46" s="1"/>
  <c r="AK37" i="52" l="1"/>
  <c r="AF38" i="52"/>
  <c r="AA27" i="46"/>
  <c r="AA28" i="46" s="1"/>
  <c r="AA25" i="46"/>
  <c r="AA23" i="46"/>
  <c r="AA24" i="46" s="1"/>
  <c r="AB38" i="46"/>
  <c r="AB9" i="46" s="1"/>
  <c r="AB12" i="46" s="1"/>
  <c r="AB13" i="46" s="1"/>
  <c r="AB22" i="46"/>
  <c r="AB15" i="46"/>
  <c r="AB10" i="46"/>
  <c r="AB42" i="46" s="1"/>
  <c r="AC14" i="46"/>
  <c r="AA12" i="46"/>
  <c r="AA13" i="46" s="1"/>
  <c r="AF39" i="52" l="1"/>
  <c r="AK38" i="52"/>
  <c r="AB18" i="46"/>
  <c r="AB16" i="46"/>
  <c r="AB17" i="46" s="1"/>
  <c r="AB19" i="46"/>
  <c r="AC38" i="46"/>
  <c r="AC9" i="46" s="1"/>
  <c r="AC22" i="46"/>
  <c r="AC15" i="46"/>
  <c r="AC10" i="46"/>
  <c r="AC42" i="46" s="1"/>
  <c r="AD14" i="46"/>
  <c r="AA18" i="46"/>
  <c r="AA16" i="46"/>
  <c r="AA17" i="46" s="1"/>
  <c r="AA19" i="46"/>
  <c r="AB27" i="46"/>
  <c r="AB28" i="46" s="1"/>
  <c r="AB25" i="46"/>
  <c r="AB23" i="46"/>
  <c r="AB24" i="46" s="1"/>
  <c r="AK39" i="52" l="1"/>
  <c r="AF40" i="52"/>
  <c r="AC27" i="46"/>
  <c r="AC28" i="46" s="1"/>
  <c r="AC25" i="46"/>
  <c r="AC23" i="46"/>
  <c r="AC24" i="46" s="1"/>
  <c r="AD38" i="46"/>
  <c r="AD9" i="46" s="1"/>
  <c r="AD12" i="46" s="1"/>
  <c r="AD13" i="46" s="1"/>
  <c r="AD22" i="46"/>
  <c r="AD15" i="46"/>
  <c r="AD10" i="46"/>
  <c r="AD42" i="46" s="1"/>
  <c r="AE14" i="46"/>
  <c r="AC12" i="46"/>
  <c r="AC13" i="46" s="1"/>
  <c r="AF41" i="52" l="1"/>
  <c r="AK40" i="52"/>
  <c r="AE38" i="46"/>
  <c r="AE9" i="46" s="1"/>
  <c r="AF14" i="46"/>
  <c r="AE22" i="46"/>
  <c r="AE15" i="46"/>
  <c r="AE10" i="46"/>
  <c r="AE42" i="46" s="1"/>
  <c r="AD19" i="46"/>
  <c r="AD18" i="46"/>
  <c r="AD16" i="46"/>
  <c r="AD17" i="46" s="1"/>
  <c r="AC19" i="46"/>
  <c r="AC18" i="46"/>
  <c r="AC16" i="46"/>
  <c r="AC17" i="46" s="1"/>
  <c r="AD25" i="46"/>
  <c r="AD23" i="46"/>
  <c r="AD24" i="46" s="1"/>
  <c r="AD27" i="46"/>
  <c r="AD28" i="46" s="1"/>
  <c r="AK41" i="52" l="1"/>
  <c r="AF42" i="52"/>
  <c r="AE27" i="46"/>
  <c r="AE28" i="46" s="1"/>
  <c r="AE25" i="46"/>
  <c r="AE23" i="46"/>
  <c r="AE24" i="46" s="1"/>
  <c r="AF38" i="46"/>
  <c r="AF9" i="46" s="1"/>
  <c r="AF12" i="46" s="1"/>
  <c r="AF13" i="46" s="1"/>
  <c r="AF22" i="46"/>
  <c r="AF15" i="46"/>
  <c r="AF10" i="46"/>
  <c r="AF42" i="46" s="1"/>
  <c r="AG14" i="46"/>
  <c r="AE12" i="46"/>
  <c r="AE13" i="46" s="1"/>
  <c r="AF43" i="52" l="1"/>
  <c r="AK42" i="52"/>
  <c r="AF16" i="46"/>
  <c r="AF17" i="46" s="1"/>
  <c r="AF18" i="46"/>
  <c r="AF19" i="46"/>
  <c r="AG38" i="46"/>
  <c r="AG9" i="46" s="1"/>
  <c r="AG22" i="46"/>
  <c r="AG15" i="46"/>
  <c r="AG10" i="46"/>
  <c r="AG42" i="46" s="1"/>
  <c r="AH14" i="46"/>
  <c r="AE18" i="46"/>
  <c r="AE16" i="46"/>
  <c r="AE17" i="46" s="1"/>
  <c r="AE19" i="46"/>
  <c r="AF27" i="46"/>
  <c r="AF28" i="46" s="1"/>
  <c r="AF25" i="46"/>
  <c r="AF23" i="46"/>
  <c r="AF24" i="46" s="1"/>
  <c r="AF44" i="52" l="1"/>
  <c r="AK43" i="52"/>
  <c r="AG25" i="46"/>
  <c r="AG27" i="46"/>
  <c r="AG28" i="46" s="1"/>
  <c r="AG23" i="46"/>
  <c r="AG24" i="46" s="1"/>
  <c r="AH38" i="46"/>
  <c r="AH9" i="46" s="1"/>
  <c r="AH12" i="46" s="1"/>
  <c r="AH13" i="46" s="1"/>
  <c r="AH15" i="46"/>
  <c r="AH10" i="46"/>
  <c r="AH42" i="46" s="1"/>
  <c r="AH22" i="46"/>
  <c r="AI14" i="46"/>
  <c r="AG12" i="46"/>
  <c r="AG13" i="46" s="1"/>
  <c r="AF45" i="52" l="1"/>
  <c r="AK44" i="52"/>
  <c r="AH19" i="46"/>
  <c r="AH16" i="46"/>
  <c r="AH17" i="46" s="1"/>
  <c r="AH18" i="46"/>
  <c r="AI38" i="46"/>
  <c r="AI9" i="46" s="1"/>
  <c r="AI12" i="46" s="1"/>
  <c r="AI13" i="46" s="1"/>
  <c r="AI22" i="46"/>
  <c r="AJ14" i="46"/>
  <c r="AI10" i="46"/>
  <c r="AI42" i="46" s="1"/>
  <c r="AI15" i="46"/>
  <c r="AH27" i="46"/>
  <c r="AH28" i="46" s="1"/>
  <c r="AH25" i="46"/>
  <c r="AH23" i="46"/>
  <c r="AH24" i="46" s="1"/>
  <c r="AG18" i="46"/>
  <c r="AG19" i="46"/>
  <c r="AG16" i="46"/>
  <c r="AG17" i="46" s="1"/>
  <c r="AF46" i="52" l="1"/>
  <c r="AK45" i="52"/>
  <c r="AJ38" i="46"/>
  <c r="AJ37" i="46"/>
  <c r="AJ15" i="46"/>
  <c r="AJ42" i="46"/>
  <c r="AJ22" i="46"/>
  <c r="AK14" i="46"/>
  <c r="AI27" i="46"/>
  <c r="AI28" i="46" s="1"/>
  <c r="AI25" i="46"/>
  <c r="AI23" i="46"/>
  <c r="AI24" i="46" s="1"/>
  <c r="AI18" i="46"/>
  <c r="AI19" i="46"/>
  <c r="AI16" i="46"/>
  <c r="AI17" i="46" s="1"/>
  <c r="AK46" i="52" l="1"/>
  <c r="AK49" i="52" s="1"/>
  <c r="AF49" i="52"/>
  <c r="AK38" i="46"/>
  <c r="AK37" i="46"/>
  <c r="AK22" i="46"/>
  <c r="AK15" i="46"/>
  <c r="AK10" i="46"/>
  <c r="AK42" i="46" s="1"/>
  <c r="AL14" i="46"/>
  <c r="AJ12" i="46"/>
  <c r="AJ13" i="46" s="1"/>
  <c r="AJ27" i="46"/>
  <c r="AJ28" i="46" s="1"/>
  <c r="AJ25" i="46"/>
  <c r="AJ23" i="46"/>
  <c r="AJ24" i="46" s="1"/>
  <c r="AK27" i="46" l="1"/>
  <c r="AK28" i="46" s="1"/>
  <c r="AK25" i="46"/>
  <c r="AK23" i="46"/>
  <c r="AK24" i="46" s="1"/>
  <c r="AJ16" i="46"/>
  <c r="AJ17" i="46" s="1"/>
  <c r="AJ18" i="46"/>
  <c r="AJ19" i="46"/>
  <c r="AL38" i="46"/>
  <c r="AL37" i="46"/>
  <c r="AL15" i="46"/>
  <c r="AL10" i="46"/>
  <c r="AL42" i="46" s="1"/>
  <c r="AM14" i="46"/>
  <c r="AL22" i="46"/>
  <c r="AK9" i="46"/>
  <c r="AK12" i="46" s="1"/>
  <c r="AK13" i="46" s="1"/>
  <c r="AM38" i="46" l="1"/>
  <c r="AM37" i="46"/>
  <c r="AM9" i="46" s="1"/>
  <c r="AN14" i="46"/>
  <c r="AM22" i="46"/>
  <c r="AM15" i="46"/>
  <c r="AM10" i="46"/>
  <c r="AM42" i="46" s="1"/>
  <c r="AK18" i="46"/>
  <c r="AK19" i="46"/>
  <c r="AK16" i="46"/>
  <c r="AK17" i="46" s="1"/>
  <c r="AL25" i="46"/>
  <c r="AL27" i="46"/>
  <c r="AL28" i="46" s="1"/>
  <c r="AL23" i="46"/>
  <c r="AL24" i="46" s="1"/>
  <c r="AL9" i="46"/>
  <c r="AL12" i="46" s="1"/>
  <c r="AL13" i="46" s="1"/>
  <c r="AM27" i="46" l="1"/>
  <c r="AM28" i="46" s="1"/>
  <c r="AM25" i="46"/>
  <c r="AM23" i="46"/>
  <c r="AM24" i="46" s="1"/>
  <c r="AN38" i="46"/>
  <c r="AN37" i="46"/>
  <c r="AN22" i="46"/>
  <c r="AN15" i="46"/>
  <c r="AN10" i="46"/>
  <c r="AN42" i="46" s="1"/>
  <c r="AO14" i="46"/>
  <c r="AL19" i="46"/>
  <c r="AL18" i="46"/>
  <c r="AL16" i="46"/>
  <c r="AL17" i="46" s="1"/>
  <c r="AM12" i="46"/>
  <c r="AM13" i="46" s="1"/>
  <c r="AM18" i="46" l="1"/>
  <c r="AM19" i="46"/>
  <c r="AM16" i="46"/>
  <c r="AM17" i="46" s="1"/>
  <c r="AN27" i="46"/>
  <c r="AN28" i="46" s="1"/>
  <c r="AN25" i="46"/>
  <c r="AN23" i="46"/>
  <c r="AN24" i="46" s="1"/>
  <c r="AO38" i="46"/>
  <c r="AO22" i="46"/>
  <c r="AO37" i="46"/>
  <c r="AO9" i="46" s="1"/>
  <c r="AO12" i="46" s="1"/>
  <c r="AO13" i="46" s="1"/>
  <c r="AO15" i="46"/>
  <c r="AO10" i="46"/>
  <c r="AO42" i="46" s="1"/>
  <c r="AP14" i="46"/>
  <c r="AN9" i="46"/>
  <c r="AN12" i="46" s="1"/>
  <c r="AN13" i="46" s="1"/>
  <c r="AN19" i="46" l="1"/>
  <c r="AN16" i="46"/>
  <c r="AN17" i="46" s="1"/>
  <c r="AN18" i="46"/>
  <c r="AO18" i="46"/>
  <c r="AO19" i="46"/>
  <c r="AO16" i="46"/>
  <c r="AO17" i="46" s="1"/>
  <c r="AP38" i="46"/>
  <c r="AP37" i="46"/>
  <c r="AP15" i="46"/>
  <c r="AP10" i="46"/>
  <c r="AP42" i="46" s="1"/>
  <c r="AQ14" i="46"/>
  <c r="AP22" i="46"/>
  <c r="AO27" i="46"/>
  <c r="AO28" i="46" s="1"/>
  <c r="AO23" i="46"/>
  <c r="AO24" i="46" s="1"/>
  <c r="AO25" i="46"/>
  <c r="AP27" i="46" l="1"/>
  <c r="AP28" i="46" s="1"/>
  <c r="AP25" i="46"/>
  <c r="AP23" i="46"/>
  <c r="AP24" i="46" s="1"/>
  <c r="AP9" i="46"/>
  <c r="AP12" i="46" s="1"/>
  <c r="AP13" i="46" s="1"/>
  <c r="AQ38" i="46"/>
  <c r="AQ37" i="46"/>
  <c r="AQ9" i="46" s="1"/>
  <c r="AR14" i="46"/>
  <c r="AQ22" i="46"/>
  <c r="AQ15" i="46"/>
  <c r="AQ10" i="46"/>
  <c r="AQ42" i="46" s="1"/>
  <c r="AP19" i="46" l="1"/>
  <c r="AP18" i="46"/>
  <c r="AP16" i="46"/>
  <c r="AP17" i="46" s="1"/>
  <c r="AQ12" i="46"/>
  <c r="AQ13" i="46" s="1"/>
  <c r="AR38" i="46"/>
  <c r="AR37" i="46"/>
  <c r="AR22" i="46"/>
  <c r="AR15" i="46"/>
  <c r="AR10" i="46"/>
  <c r="AR42" i="46" s="1"/>
  <c r="AS14" i="46"/>
  <c r="AQ27" i="46"/>
  <c r="AQ28" i="46" s="1"/>
  <c r="AQ25" i="46"/>
  <c r="AQ23" i="46"/>
  <c r="AQ24" i="46" s="1"/>
  <c r="AR27" i="46" l="1"/>
  <c r="AR28" i="46" s="1"/>
  <c r="AR25" i="46"/>
  <c r="AR23" i="46"/>
  <c r="AR24" i="46" s="1"/>
  <c r="AS38" i="46"/>
  <c r="AU38" i="46" s="1"/>
  <c r="AS37" i="46"/>
  <c r="AS22" i="46"/>
  <c r="AS15" i="46"/>
  <c r="AV15" i="46" s="1"/>
  <c r="AS10" i="46"/>
  <c r="AR9" i="46"/>
  <c r="AR12" i="46" s="1"/>
  <c r="AR13" i="46" s="1"/>
  <c r="AQ18" i="46"/>
  <c r="AQ16" i="46"/>
  <c r="AQ17" i="46" s="1"/>
  <c r="AQ19" i="46"/>
  <c r="AS42" i="46" l="1"/>
  <c r="AU42" i="46" s="1"/>
  <c r="AU10" i="46"/>
  <c r="AS27" i="46"/>
  <c r="AS28" i="46" s="1"/>
  <c r="AS25" i="46"/>
  <c r="AS23" i="46"/>
  <c r="AS24" i="46" s="1"/>
  <c r="AR18" i="46"/>
  <c r="AR16" i="46"/>
  <c r="AR17" i="46" s="1"/>
  <c r="AR19" i="46"/>
  <c r="AS9" i="46"/>
  <c r="AU37" i="46"/>
  <c r="AS12" i="46" l="1"/>
  <c r="AU9" i="46"/>
  <c r="AS13" i="46" l="1"/>
  <c r="AU12" i="46"/>
  <c r="AS19" i="46" l="1"/>
  <c r="AS18" i="46"/>
  <c r="AS16" i="46"/>
  <c r="AS17" i="46" s="1"/>
  <c r="H3" i="47" l="1"/>
  <c r="H4" i="47"/>
  <c r="O6" i="50"/>
  <c r="W6" i="50"/>
  <c r="W11" i="50" s="1"/>
  <c r="N6" i="50"/>
  <c r="T6" i="50"/>
  <c r="AA6" i="50"/>
  <c r="O7" i="50"/>
  <c r="I7" i="50"/>
  <c r="R7" i="50"/>
  <c r="N7" i="50"/>
  <c r="Y7" i="50"/>
  <c r="S6" i="50"/>
  <c r="R6" i="50"/>
  <c r="AP21" i="50"/>
  <c r="AP23" i="50" s="1"/>
  <c r="Z16" i="50" l="1"/>
  <c r="AE16" i="50"/>
  <c r="AE23" i="50" s="1"/>
  <c r="AB7" i="50"/>
  <c r="T7" i="50"/>
  <c r="L6" i="50"/>
  <c r="L11" i="50" s="1"/>
  <c r="AD21" i="50"/>
  <c r="P16" i="50"/>
  <c r="Y6" i="50"/>
  <c r="Y11" i="50" s="1"/>
  <c r="S7" i="50"/>
  <c r="S11" i="50" s="1"/>
  <c r="I6" i="50"/>
  <c r="C10" i="50"/>
  <c r="C16" i="50"/>
  <c r="M16" i="49"/>
  <c r="AA7" i="50"/>
  <c r="AB6" i="50"/>
  <c r="K21" i="49"/>
  <c r="C17" i="50"/>
  <c r="B15" i="49"/>
  <c r="C6" i="50"/>
  <c r="C5" i="56"/>
  <c r="H10" i="47"/>
  <c r="R11" i="50"/>
  <c r="D7" i="50"/>
  <c r="AA11" i="50"/>
  <c r="T11" i="50"/>
  <c r="N11" i="50"/>
  <c r="O11" i="50"/>
  <c r="G2" i="56"/>
  <c r="C9" i="50"/>
  <c r="H9" i="47"/>
  <c r="C21" i="50"/>
  <c r="P16" i="49"/>
  <c r="F16" i="49"/>
  <c r="C7" i="50"/>
  <c r="Z23" i="50" l="1"/>
  <c r="AU16" i="50"/>
  <c r="Q9" i="49"/>
  <c r="Q3" i="49"/>
  <c r="Q7" i="49"/>
  <c r="AD23" i="50"/>
  <c r="AU21" i="50"/>
  <c r="AB11" i="50"/>
  <c r="G12" i="49"/>
  <c r="G7" i="49"/>
  <c r="G4" i="49"/>
  <c r="G10" i="49"/>
  <c r="G6" i="49"/>
  <c r="G5" i="49"/>
  <c r="G11" i="49"/>
  <c r="G2" i="49"/>
  <c r="G8" i="49"/>
  <c r="C7" i="49"/>
  <c r="C11" i="49"/>
  <c r="C10" i="49"/>
  <c r="C8" i="49"/>
  <c r="C3" i="49"/>
  <c r="C4" i="49"/>
  <c r="C2" i="49"/>
  <c r="C12" i="49"/>
  <c r="C9" i="49"/>
  <c r="C5" i="49"/>
  <c r="C6" i="49"/>
  <c r="AU7" i="50"/>
  <c r="AG9" i="50"/>
  <c r="H20" i="47"/>
  <c r="E17" i="50"/>
  <c r="AW17" i="50"/>
  <c r="AV17" i="50"/>
  <c r="N7" i="49"/>
  <c r="N9" i="49"/>
  <c r="N3" i="49"/>
  <c r="C8" i="55"/>
  <c r="AV7" i="50"/>
  <c r="AW7" i="50" s="1"/>
  <c r="E6" i="50"/>
  <c r="C11" i="50"/>
  <c r="D6" i="50"/>
  <c r="D11" i="50" s="1"/>
  <c r="D12" i="50" s="1"/>
  <c r="D13" i="50" s="1"/>
  <c r="D18" i="50"/>
  <c r="E21" i="50"/>
  <c r="I10" i="50"/>
  <c r="D10" i="50" s="1"/>
  <c r="AV10" i="50"/>
  <c r="AW10" i="50" s="1"/>
  <c r="AW25" i="50" s="1"/>
  <c r="G163" i="56"/>
  <c r="C11" i="56"/>
  <c r="J2" i="56"/>
  <c r="J163" i="56" s="1"/>
  <c r="I2" i="56"/>
  <c r="R2" i="56"/>
  <c r="R163" i="56" s="1"/>
  <c r="R164" i="56" s="1"/>
  <c r="AU6" i="50"/>
  <c r="H164" i="56"/>
  <c r="L2" i="56"/>
  <c r="C23" i="50"/>
  <c r="C25" i="50" s="1"/>
  <c r="AV16" i="50"/>
  <c r="O29" i="54"/>
  <c r="D16" i="50"/>
  <c r="D23" i="50" s="1"/>
  <c r="D24" i="50" s="1"/>
  <c r="P23" i="50"/>
  <c r="P24" i="50" s="1"/>
  <c r="Q24" i="50" l="1"/>
  <c r="D11" i="47"/>
  <c r="D18" i="47"/>
  <c r="D13" i="47"/>
  <c r="D8" i="47"/>
  <c r="AW21" i="50"/>
  <c r="AU23" i="50"/>
  <c r="E8" i="55"/>
  <c r="E51" i="55" s="1"/>
  <c r="E52" i="55" s="1"/>
  <c r="D25" i="50"/>
  <c r="D15" i="47"/>
  <c r="D14" i="47"/>
  <c r="D6" i="47"/>
  <c r="D5" i="47"/>
  <c r="AW16" i="50"/>
  <c r="AV6" i="50"/>
  <c r="I163" i="56"/>
  <c r="T2" i="56"/>
  <c r="T163" i="56" s="1"/>
  <c r="AV21" i="50"/>
  <c r="H22" i="47"/>
  <c r="I20" i="47" s="1"/>
  <c r="Q16" i="49"/>
  <c r="AV18" i="50"/>
  <c r="AW18" i="50" s="1"/>
  <c r="AW6" i="50"/>
  <c r="H8" i="55"/>
  <c r="H51" i="55" s="1"/>
  <c r="E3" i="46"/>
  <c r="C51" i="55"/>
  <c r="C52" i="55" s="1"/>
  <c r="AU9" i="50"/>
  <c r="AU11" i="50" s="1"/>
  <c r="AG11" i="50"/>
  <c r="G16" i="49"/>
  <c r="D10" i="47"/>
  <c r="D19" i="47" s="1"/>
  <c r="D16" i="47"/>
  <c r="D12" i="47"/>
  <c r="D17" i="47"/>
  <c r="D7" i="47"/>
  <c r="AV23" i="50"/>
  <c r="I11" i="50"/>
  <c r="I12" i="50" s="1"/>
  <c r="F13" i="50"/>
  <c r="G13" i="50"/>
  <c r="H13" i="50"/>
  <c r="N16" i="49"/>
  <c r="C15" i="49"/>
  <c r="M3" i="60" l="1"/>
  <c r="C3" i="60"/>
  <c r="D9" i="47"/>
  <c r="D20" i="47" s="1"/>
  <c r="D22" i="47" s="1"/>
  <c r="K22" i="47" s="1"/>
  <c r="J3" i="59"/>
  <c r="O3" i="59"/>
  <c r="I13" i="50"/>
  <c r="J12" i="50"/>
  <c r="I25" i="50"/>
  <c r="E3" i="60"/>
  <c r="E32" i="46"/>
  <c r="E5" i="46"/>
  <c r="AU5" i="46" s="1"/>
  <c r="E47" i="46"/>
  <c r="AU47" i="46" s="1"/>
  <c r="AU3" i="46"/>
  <c r="E8" i="46"/>
  <c r="H3" i="60"/>
  <c r="AW23" i="50"/>
  <c r="L3" i="59"/>
  <c r="B3" i="60"/>
  <c r="D3" i="59"/>
  <c r="N3" i="59"/>
  <c r="I22" i="47"/>
  <c r="I12" i="47"/>
  <c r="I11" i="47"/>
  <c r="I3" i="47"/>
  <c r="I4" i="47"/>
  <c r="F21" i="47"/>
  <c r="I9" i="47"/>
  <c r="F8" i="47"/>
  <c r="F5" i="47"/>
  <c r="F9" i="47" s="1"/>
  <c r="F7" i="47"/>
  <c r="F12" i="47"/>
  <c r="F15" i="47"/>
  <c r="F6" i="47"/>
  <c r="F18" i="47"/>
  <c r="F16" i="47"/>
  <c r="F10" i="47"/>
  <c r="F17" i="47"/>
  <c r="F14" i="47"/>
  <c r="F13" i="47"/>
  <c r="F11" i="47"/>
  <c r="I10" i="47"/>
  <c r="K3" i="59"/>
  <c r="E3" i="59"/>
  <c r="H3" i="59"/>
  <c r="R24" i="50"/>
  <c r="I3" i="59"/>
  <c r="L3" i="60"/>
  <c r="G3" i="60"/>
  <c r="M3" i="59"/>
  <c r="G3" i="59"/>
  <c r="AV9" i="50"/>
  <c r="AV11" i="50" s="1"/>
  <c r="T165" i="56"/>
  <c r="T164" i="56"/>
  <c r="B3" i="59"/>
  <c r="C3" i="59"/>
  <c r="J17" i="59" l="1"/>
  <c r="J14" i="59"/>
  <c r="J10" i="59"/>
  <c r="J9" i="59"/>
  <c r="J16" i="59"/>
  <c r="J7" i="59"/>
  <c r="J11" i="59"/>
  <c r="J8" i="59"/>
  <c r="J15" i="59"/>
  <c r="J12" i="59"/>
  <c r="J13" i="59"/>
  <c r="J3" i="60"/>
  <c r="H26" i="60"/>
  <c r="H22" i="60"/>
  <c r="H18" i="60"/>
  <c r="H9" i="60"/>
  <c r="H12" i="60"/>
  <c r="H27" i="60"/>
  <c r="H21" i="60"/>
  <c r="H10" i="60"/>
  <c r="H17" i="60"/>
  <c r="H24" i="60"/>
  <c r="H19" i="60"/>
  <c r="H13" i="60"/>
  <c r="H25" i="60"/>
  <c r="H20" i="60"/>
  <c r="H15" i="60"/>
  <c r="H16" i="60"/>
  <c r="H11" i="60"/>
  <c r="H8" i="60"/>
  <c r="H23" i="60"/>
  <c r="H14" i="60"/>
  <c r="H7" i="60"/>
  <c r="B43" i="59"/>
  <c r="B26" i="59"/>
  <c r="B10" i="59"/>
  <c r="B47" i="59"/>
  <c r="B18" i="59"/>
  <c r="B14" i="59"/>
  <c r="B28" i="59"/>
  <c r="B46" i="59"/>
  <c r="B45" i="59"/>
  <c r="B34" i="59"/>
  <c r="B23" i="59"/>
  <c r="F3" i="59"/>
  <c r="B12" i="59"/>
  <c r="B24" i="59"/>
  <c r="B37" i="59"/>
  <c r="B40" i="59"/>
  <c r="B25" i="59"/>
  <c r="B7" i="59"/>
  <c r="B21" i="59"/>
  <c r="B39" i="59"/>
  <c r="B29" i="59"/>
  <c r="B35" i="59"/>
  <c r="B16" i="59"/>
  <c r="B41" i="59"/>
  <c r="B11" i="59"/>
  <c r="B32" i="59"/>
  <c r="B20" i="59"/>
  <c r="B33" i="59"/>
  <c r="B38" i="59"/>
  <c r="B44" i="59"/>
  <c r="B13" i="59"/>
  <c r="B17" i="59"/>
  <c r="B36" i="59"/>
  <c r="B30" i="59"/>
  <c r="B8" i="59"/>
  <c r="B19" i="59"/>
  <c r="B31" i="59"/>
  <c r="B42" i="59"/>
  <c r="B15" i="59"/>
  <c r="B9" i="59"/>
  <c r="B27" i="59"/>
  <c r="B22" i="59"/>
  <c r="G17" i="59"/>
  <c r="G15" i="59"/>
  <c r="G11" i="59"/>
  <c r="G39" i="59"/>
  <c r="P39" i="59" s="1"/>
  <c r="G7" i="59"/>
  <c r="G13" i="59"/>
  <c r="G34" i="59"/>
  <c r="P34" i="59" s="1"/>
  <c r="G23" i="59"/>
  <c r="G40" i="59"/>
  <c r="P40" i="59" s="1"/>
  <c r="G36" i="59"/>
  <c r="P36" i="59" s="1"/>
  <c r="G24" i="59"/>
  <c r="G8" i="59"/>
  <c r="G41" i="59"/>
  <c r="P41" i="59" s="1"/>
  <c r="G25" i="59"/>
  <c r="G38" i="59"/>
  <c r="P38" i="59" s="1"/>
  <c r="G28" i="59"/>
  <c r="P28" i="59" s="1"/>
  <c r="G10" i="59"/>
  <c r="G9" i="59"/>
  <c r="G19" i="59"/>
  <c r="G22" i="59"/>
  <c r="G16" i="59"/>
  <c r="G14" i="59"/>
  <c r="G29" i="59"/>
  <c r="P29" i="59" s="1"/>
  <c r="G21" i="59"/>
  <c r="G35" i="59"/>
  <c r="P35" i="59" s="1"/>
  <c r="G26" i="59"/>
  <c r="G12" i="59"/>
  <c r="G30" i="59"/>
  <c r="P30" i="59" s="1"/>
  <c r="G31" i="59"/>
  <c r="P31" i="59" s="1"/>
  <c r="G37" i="59"/>
  <c r="P37" i="59" s="1"/>
  <c r="G32" i="59"/>
  <c r="P32" i="59" s="1"/>
  <c r="G33" i="59"/>
  <c r="P33" i="59" s="1"/>
  <c r="G18" i="59"/>
  <c r="G27" i="59"/>
  <c r="P3" i="59"/>
  <c r="Q3" i="59" s="1"/>
  <c r="G20" i="59"/>
  <c r="G42" i="59"/>
  <c r="P42" i="59" s="1"/>
  <c r="G14" i="60"/>
  <c r="G25" i="60"/>
  <c r="G22" i="60"/>
  <c r="G20" i="60"/>
  <c r="G18" i="60"/>
  <c r="G13" i="60"/>
  <c r="G35" i="60"/>
  <c r="P35" i="60" s="1"/>
  <c r="G27" i="60"/>
  <c r="G17" i="60"/>
  <c r="G12" i="60"/>
  <c r="G8" i="60"/>
  <c r="G34" i="60"/>
  <c r="P34" i="60" s="1"/>
  <c r="G40" i="60"/>
  <c r="P40" i="60" s="1"/>
  <c r="G33" i="60"/>
  <c r="P33" i="60" s="1"/>
  <c r="G26" i="60"/>
  <c r="G10" i="60"/>
  <c r="G23" i="60"/>
  <c r="G41" i="60"/>
  <c r="P41" i="60" s="1"/>
  <c r="G29" i="60"/>
  <c r="P29" i="60" s="1"/>
  <c r="G15" i="60"/>
  <c r="G30" i="60"/>
  <c r="P30" i="60" s="1"/>
  <c r="G28" i="60"/>
  <c r="P28" i="60" s="1"/>
  <c r="G32" i="60"/>
  <c r="P32" i="60" s="1"/>
  <c r="G39" i="60"/>
  <c r="P39" i="60" s="1"/>
  <c r="G36" i="60"/>
  <c r="P36" i="60" s="1"/>
  <c r="G11" i="60"/>
  <c r="G19" i="60"/>
  <c r="G31" i="60"/>
  <c r="P31" i="60" s="1"/>
  <c r="G9" i="60"/>
  <c r="G38" i="60"/>
  <c r="P38" i="60" s="1"/>
  <c r="G24" i="60"/>
  <c r="G7" i="60"/>
  <c r="G37" i="60"/>
  <c r="P37" i="60" s="1"/>
  <c r="G16" i="60"/>
  <c r="G42" i="60"/>
  <c r="P42" i="60" s="1"/>
  <c r="G21" i="60"/>
  <c r="I15" i="59"/>
  <c r="I14" i="59"/>
  <c r="I13" i="59"/>
  <c r="I7" i="59"/>
  <c r="I9" i="59"/>
  <c r="I17" i="59"/>
  <c r="I11" i="59"/>
  <c r="I10" i="59"/>
  <c r="I22" i="59"/>
  <c r="I21" i="59"/>
  <c r="I16" i="59"/>
  <c r="I19" i="59"/>
  <c r="I8" i="59"/>
  <c r="I49" i="59" s="1"/>
  <c r="I50" i="59" s="1"/>
  <c r="I12" i="59"/>
  <c r="I18" i="59"/>
  <c r="I20" i="59"/>
  <c r="H8" i="59"/>
  <c r="H26" i="59"/>
  <c r="H13" i="59"/>
  <c r="H21" i="59"/>
  <c r="H10" i="59"/>
  <c r="H15" i="59"/>
  <c r="H22" i="59"/>
  <c r="H27" i="59"/>
  <c r="H20" i="59"/>
  <c r="H7" i="59"/>
  <c r="H9" i="59"/>
  <c r="H25" i="59"/>
  <c r="H12" i="59"/>
  <c r="H17" i="59"/>
  <c r="H19" i="59"/>
  <c r="H16" i="59"/>
  <c r="H18" i="59"/>
  <c r="H14" i="59"/>
  <c r="H24" i="59"/>
  <c r="H11" i="59"/>
  <c r="H23" i="59"/>
  <c r="F19" i="47"/>
  <c r="F20" i="47" s="1"/>
  <c r="F22" i="47" s="1"/>
  <c r="O3" i="60"/>
  <c r="N17" i="59"/>
  <c r="N14" i="59"/>
  <c r="N10" i="59"/>
  <c r="N19" i="59"/>
  <c r="N15" i="59"/>
  <c r="N9" i="59"/>
  <c r="N13" i="59"/>
  <c r="N22" i="59"/>
  <c r="N18" i="59"/>
  <c r="N20" i="59"/>
  <c r="N8" i="59"/>
  <c r="N7" i="59"/>
  <c r="N21" i="59"/>
  <c r="N12" i="59"/>
  <c r="N11" i="59"/>
  <c r="N16" i="59"/>
  <c r="L12" i="59"/>
  <c r="L8" i="59"/>
  <c r="L24" i="59"/>
  <c r="L25" i="59"/>
  <c r="L17" i="59"/>
  <c r="L10" i="59"/>
  <c r="L11" i="59"/>
  <c r="L27" i="59"/>
  <c r="L13" i="59"/>
  <c r="L18" i="59"/>
  <c r="L22" i="59"/>
  <c r="L7" i="59"/>
  <c r="L26" i="59"/>
  <c r="L23" i="59"/>
  <c r="L9" i="59"/>
  <c r="L15" i="59"/>
  <c r="L21" i="59"/>
  <c r="L14" i="59"/>
  <c r="L16" i="59"/>
  <c r="L20" i="59"/>
  <c r="L19" i="59"/>
  <c r="E13" i="46"/>
  <c r="AU8" i="46"/>
  <c r="AV8" i="46" s="1"/>
  <c r="E46" i="46"/>
  <c r="AU46" i="46" s="1"/>
  <c r="AU32" i="46"/>
  <c r="C46" i="60"/>
  <c r="C17" i="60"/>
  <c r="C16" i="60"/>
  <c r="C12" i="60"/>
  <c r="C10" i="60"/>
  <c r="C28" i="60"/>
  <c r="C24" i="60"/>
  <c r="C31" i="60"/>
  <c r="C47" i="60"/>
  <c r="C40" i="60"/>
  <c r="C30" i="60"/>
  <c r="C29" i="60"/>
  <c r="C23" i="60"/>
  <c r="C19" i="60"/>
  <c r="C36" i="60"/>
  <c r="C8" i="60"/>
  <c r="C43" i="60"/>
  <c r="C38" i="60"/>
  <c r="C33" i="60"/>
  <c r="C22" i="60"/>
  <c r="C15" i="60"/>
  <c r="C13" i="60"/>
  <c r="C41" i="60"/>
  <c r="C27" i="60"/>
  <c r="C7" i="60"/>
  <c r="C42" i="60"/>
  <c r="C34" i="60"/>
  <c r="C32" i="60"/>
  <c r="C21" i="60"/>
  <c r="C11" i="60"/>
  <c r="C45" i="60"/>
  <c r="C44" i="60"/>
  <c r="C20" i="60"/>
  <c r="C9" i="60"/>
  <c r="C26" i="60"/>
  <c r="C25" i="60"/>
  <c r="C14" i="60"/>
  <c r="C35" i="60"/>
  <c r="C39" i="60"/>
  <c r="C18" i="60"/>
  <c r="C37" i="60"/>
  <c r="M11" i="59"/>
  <c r="M10" i="59"/>
  <c r="M7" i="59"/>
  <c r="M17" i="59"/>
  <c r="M13" i="59"/>
  <c r="M15" i="59"/>
  <c r="M19" i="59"/>
  <c r="M14" i="59"/>
  <c r="M9" i="59"/>
  <c r="M21" i="59"/>
  <c r="M27" i="59"/>
  <c r="M12" i="59"/>
  <c r="M26" i="59"/>
  <c r="M22" i="59"/>
  <c r="M24" i="59"/>
  <c r="M20" i="59"/>
  <c r="M25" i="59"/>
  <c r="M16" i="59"/>
  <c r="M8" i="59"/>
  <c r="M18" i="59"/>
  <c r="M23" i="59"/>
  <c r="I3" i="60"/>
  <c r="P3" i="60" s="1"/>
  <c r="Q3" i="60" s="1"/>
  <c r="D3" i="60"/>
  <c r="K3" i="60"/>
  <c r="C33" i="59"/>
  <c r="C46" i="59"/>
  <c r="C29" i="59"/>
  <c r="C15" i="59"/>
  <c r="C11" i="59"/>
  <c r="C7" i="59"/>
  <c r="C37" i="59"/>
  <c r="C14" i="59"/>
  <c r="C18" i="59"/>
  <c r="C9" i="59"/>
  <c r="C42" i="59"/>
  <c r="C30" i="59"/>
  <c r="C21" i="59"/>
  <c r="C31" i="59"/>
  <c r="C39" i="59"/>
  <c r="C26" i="59"/>
  <c r="C17" i="59"/>
  <c r="C40" i="59"/>
  <c r="C25" i="59"/>
  <c r="C35" i="59"/>
  <c r="C36" i="59"/>
  <c r="C22" i="59"/>
  <c r="C12" i="59"/>
  <c r="C19" i="59"/>
  <c r="C28" i="59"/>
  <c r="C10" i="59"/>
  <c r="C38" i="59"/>
  <c r="C23" i="59"/>
  <c r="C47" i="59"/>
  <c r="C32" i="59"/>
  <c r="C20" i="59"/>
  <c r="C16" i="59"/>
  <c r="C34" i="59"/>
  <c r="C43" i="59"/>
  <c r="C41" i="59"/>
  <c r="C13" i="59"/>
  <c r="C44" i="59"/>
  <c r="C8" i="59"/>
  <c r="C49" i="59" s="1"/>
  <c r="C50" i="59" s="1"/>
  <c r="C45" i="59"/>
  <c r="C24" i="59"/>
  <c r="C27" i="59"/>
  <c r="AW9" i="50"/>
  <c r="AW11" i="50" s="1"/>
  <c r="L24" i="60"/>
  <c r="L20" i="60"/>
  <c r="L10" i="60"/>
  <c r="L15" i="60"/>
  <c r="L12" i="60"/>
  <c r="L27" i="60"/>
  <c r="L22" i="60"/>
  <c r="L14" i="60"/>
  <c r="L9" i="60"/>
  <c r="L25" i="60"/>
  <c r="L16" i="60"/>
  <c r="L26" i="60"/>
  <c r="L21" i="60"/>
  <c r="L17" i="60"/>
  <c r="L13" i="60"/>
  <c r="L19" i="60"/>
  <c r="L8" i="60"/>
  <c r="L11" i="60"/>
  <c r="L7" i="60"/>
  <c r="L23" i="60"/>
  <c r="L18" i="60"/>
  <c r="K22" i="59"/>
  <c r="K15" i="59"/>
  <c r="K11" i="59"/>
  <c r="K7" i="59"/>
  <c r="K18" i="59"/>
  <c r="K10" i="59"/>
  <c r="K20" i="59"/>
  <c r="K12" i="59"/>
  <c r="K19" i="59"/>
  <c r="K13" i="59"/>
  <c r="K8" i="59"/>
  <c r="K14" i="59"/>
  <c r="K17" i="59"/>
  <c r="K21" i="59"/>
  <c r="K16" i="59"/>
  <c r="K9" i="59"/>
  <c r="O22" i="59"/>
  <c r="O18" i="59"/>
  <c r="O7" i="59"/>
  <c r="O11" i="59"/>
  <c r="O15" i="59"/>
  <c r="O17" i="59"/>
  <c r="O16" i="59"/>
  <c r="O19" i="59"/>
  <c r="O9" i="59"/>
  <c r="O21" i="59"/>
  <c r="O12" i="59"/>
  <c r="O13" i="59"/>
  <c r="O8" i="59"/>
  <c r="O10" i="59"/>
  <c r="O14" i="59"/>
  <c r="O20" i="59"/>
  <c r="S24" i="50"/>
  <c r="E11" i="59"/>
  <c r="E9" i="59"/>
  <c r="E7" i="59"/>
  <c r="E31" i="59"/>
  <c r="E17" i="59"/>
  <c r="E14" i="59"/>
  <c r="E19" i="59"/>
  <c r="E15" i="59"/>
  <c r="E10" i="59"/>
  <c r="E13" i="59"/>
  <c r="E36" i="59"/>
  <c r="E24" i="59"/>
  <c r="E33" i="59"/>
  <c r="E27" i="59"/>
  <c r="E8" i="59"/>
  <c r="E16" i="59"/>
  <c r="E28" i="59"/>
  <c r="E37" i="59"/>
  <c r="E25" i="59"/>
  <c r="E12" i="59"/>
  <c r="E18" i="59"/>
  <c r="E34" i="59"/>
  <c r="E26" i="59"/>
  <c r="E29" i="59"/>
  <c r="E23" i="59"/>
  <c r="E35" i="59"/>
  <c r="E22" i="59"/>
  <c r="E21" i="59"/>
  <c r="E20" i="59"/>
  <c r="E32" i="59"/>
  <c r="E30" i="59"/>
  <c r="N3" i="60"/>
  <c r="D12" i="59"/>
  <c r="D44" i="59"/>
  <c r="D43" i="59"/>
  <c r="D32" i="59"/>
  <c r="D22" i="59"/>
  <c r="D29" i="59"/>
  <c r="D17" i="59"/>
  <c r="D30" i="59"/>
  <c r="D34" i="59"/>
  <c r="D10" i="59"/>
  <c r="D15" i="59"/>
  <c r="D8" i="59"/>
  <c r="D41" i="59"/>
  <c r="D26" i="59"/>
  <c r="D33" i="59"/>
  <c r="D13" i="59"/>
  <c r="D16" i="59"/>
  <c r="D14" i="59"/>
  <c r="D11" i="59"/>
  <c r="D36" i="59"/>
  <c r="D23" i="59"/>
  <c r="D20" i="59"/>
  <c r="D35" i="59"/>
  <c r="D39" i="59"/>
  <c r="D24" i="59"/>
  <c r="D40" i="59"/>
  <c r="D9" i="59"/>
  <c r="D42" i="59"/>
  <c r="D21" i="59"/>
  <c r="D7" i="59"/>
  <c r="D31" i="59"/>
  <c r="D46" i="59"/>
  <c r="D38" i="59"/>
  <c r="D45" i="59"/>
  <c r="D37" i="59"/>
  <c r="D27" i="59"/>
  <c r="D47" i="59"/>
  <c r="D18" i="59"/>
  <c r="D19" i="59"/>
  <c r="D25" i="59"/>
  <c r="D28" i="59"/>
  <c r="B32" i="60"/>
  <c r="B23" i="60"/>
  <c r="B21" i="60"/>
  <c r="B19" i="60"/>
  <c r="B44" i="60"/>
  <c r="B17" i="60"/>
  <c r="B10" i="60"/>
  <c r="B24" i="60"/>
  <c r="B11" i="60"/>
  <c r="B13" i="60"/>
  <c r="B31" i="60"/>
  <c r="B41" i="60"/>
  <c r="B34" i="60"/>
  <c r="B12" i="60"/>
  <c r="B9" i="60"/>
  <c r="B14" i="60"/>
  <c r="B18" i="60"/>
  <c r="B29" i="60"/>
  <c r="B46" i="60"/>
  <c r="B42" i="60"/>
  <c r="B30" i="60"/>
  <c r="F3" i="60"/>
  <c r="B22" i="60"/>
  <c r="B28" i="60"/>
  <c r="B47" i="60"/>
  <c r="B7" i="60"/>
  <c r="B25" i="60"/>
  <c r="B20" i="60"/>
  <c r="B35" i="60"/>
  <c r="B40" i="60"/>
  <c r="B33" i="60"/>
  <c r="B36" i="60"/>
  <c r="B15" i="60"/>
  <c r="B39" i="60"/>
  <c r="B16" i="60"/>
  <c r="B37" i="60"/>
  <c r="B38" i="60"/>
  <c r="B26" i="60"/>
  <c r="B43" i="60"/>
  <c r="B27" i="60"/>
  <c r="B8" i="60"/>
  <c r="B45" i="60"/>
  <c r="E8" i="60"/>
  <c r="E29" i="60"/>
  <c r="E14" i="60"/>
  <c r="E32" i="60"/>
  <c r="E25" i="60"/>
  <c r="E21" i="60"/>
  <c r="E35" i="60"/>
  <c r="E13" i="60"/>
  <c r="E15" i="60"/>
  <c r="E33" i="60"/>
  <c r="E26" i="60"/>
  <c r="E20" i="60"/>
  <c r="E30" i="60"/>
  <c r="E11" i="60"/>
  <c r="E12" i="60"/>
  <c r="E37" i="60"/>
  <c r="E28" i="60"/>
  <c r="E23" i="60"/>
  <c r="E9" i="60"/>
  <c r="E36" i="60"/>
  <c r="E24" i="60"/>
  <c r="E19" i="60"/>
  <c r="E17" i="60"/>
  <c r="E10" i="60"/>
  <c r="E16" i="60"/>
  <c r="E18" i="60"/>
  <c r="E31" i="60"/>
  <c r="E7" i="60"/>
  <c r="E27" i="60"/>
  <c r="E22" i="60"/>
  <c r="E34" i="60"/>
  <c r="J13" i="50"/>
  <c r="K12" i="50"/>
  <c r="J25" i="50"/>
  <c r="M24" i="60"/>
  <c r="M11" i="60"/>
  <c r="M23" i="60"/>
  <c r="M16" i="60"/>
  <c r="M20" i="60"/>
  <c r="M13" i="60"/>
  <c r="M7" i="60"/>
  <c r="M18" i="60"/>
  <c r="M14" i="60"/>
  <c r="M27" i="60"/>
  <c r="M21" i="60"/>
  <c r="M22" i="60"/>
  <c r="M17" i="60"/>
  <c r="M25" i="60"/>
  <c r="M8" i="60"/>
  <c r="M9" i="60"/>
  <c r="M26" i="60"/>
  <c r="M15" i="60"/>
  <c r="M12" i="60"/>
  <c r="M19" i="60"/>
  <c r="M10" i="60"/>
  <c r="E49" i="60" l="1"/>
  <c r="E50" i="60" s="1"/>
  <c r="M49" i="60"/>
  <c r="M50" i="60" s="1"/>
  <c r="K13" i="50"/>
  <c r="K25" i="50"/>
  <c r="L12" i="50"/>
  <c r="B49" i="60"/>
  <c r="B50" i="60" s="1"/>
  <c r="N15" i="60"/>
  <c r="N11" i="60"/>
  <c r="N10" i="60"/>
  <c r="N9" i="60"/>
  <c r="N17" i="60"/>
  <c r="N21" i="60"/>
  <c r="N16" i="60"/>
  <c r="N14" i="60"/>
  <c r="N22" i="60"/>
  <c r="N12" i="60"/>
  <c r="N20" i="60"/>
  <c r="N8" i="60"/>
  <c r="N19" i="60"/>
  <c r="N7" i="60"/>
  <c r="N13" i="60"/>
  <c r="N18" i="60"/>
  <c r="T24" i="50"/>
  <c r="P27" i="60"/>
  <c r="F26" i="59"/>
  <c r="F14" i="59"/>
  <c r="M49" i="59"/>
  <c r="M50" i="59" s="1"/>
  <c r="E16" i="46"/>
  <c r="E17" i="46" s="1"/>
  <c r="E19" i="46"/>
  <c r="E18" i="46"/>
  <c r="AU13" i="46"/>
  <c r="P23" i="60"/>
  <c r="P25" i="60"/>
  <c r="P12" i="59"/>
  <c r="P19" i="59"/>
  <c r="P24" i="59"/>
  <c r="F27" i="59"/>
  <c r="F31" i="59"/>
  <c r="Q31" i="59" s="1"/>
  <c r="T31" i="59" s="1"/>
  <c r="F36" i="59"/>
  <c r="Q36" i="59" s="1"/>
  <c r="F38" i="59"/>
  <c r="Q38" i="59" s="1"/>
  <c r="F11" i="59"/>
  <c r="F29" i="59"/>
  <c r="Q29" i="59" s="1"/>
  <c r="T29" i="59" s="1"/>
  <c r="F25" i="59"/>
  <c r="F12" i="59"/>
  <c r="F45" i="59"/>
  <c r="Q45" i="59" s="1"/>
  <c r="J9" i="60"/>
  <c r="J14" i="60"/>
  <c r="J15" i="60"/>
  <c r="J10" i="60"/>
  <c r="J16" i="60"/>
  <c r="J7" i="60"/>
  <c r="J11" i="60"/>
  <c r="J13" i="60"/>
  <c r="J12" i="60"/>
  <c r="J17" i="60"/>
  <c r="J8" i="60"/>
  <c r="J49" i="59"/>
  <c r="J50" i="59" s="1"/>
  <c r="D49" i="59"/>
  <c r="D50" i="59" s="1"/>
  <c r="E49" i="59"/>
  <c r="E50" i="59" s="1"/>
  <c r="P17" i="59"/>
  <c r="H49" i="59"/>
  <c r="H50" i="59" s="1"/>
  <c r="G49" i="60"/>
  <c r="G50" i="60" s="1"/>
  <c r="P27" i="59"/>
  <c r="Q27" i="59" s="1"/>
  <c r="T27" i="59" s="1"/>
  <c r="P26" i="59"/>
  <c r="Q26" i="59" s="1"/>
  <c r="T26" i="59" s="1"/>
  <c r="P14" i="59"/>
  <c r="Q14" i="59" s="1"/>
  <c r="T14" i="59" s="1"/>
  <c r="P9" i="59"/>
  <c r="P25" i="59"/>
  <c r="Q25" i="59" s="1"/>
  <c r="T25" i="59" s="1"/>
  <c r="P13" i="59"/>
  <c r="F9" i="59"/>
  <c r="F19" i="59"/>
  <c r="F17" i="59"/>
  <c r="F33" i="59"/>
  <c r="F41" i="59"/>
  <c r="Q41" i="59" s="1"/>
  <c r="F39" i="59"/>
  <c r="Q39" i="59" s="1"/>
  <c r="F40" i="59"/>
  <c r="F46" i="59"/>
  <c r="Q46" i="59" s="1"/>
  <c r="P15" i="59"/>
  <c r="K49" i="59"/>
  <c r="K50" i="59" s="1"/>
  <c r="F43" i="59"/>
  <c r="Q43" i="59" s="1"/>
  <c r="F10" i="59"/>
  <c r="D29" i="60"/>
  <c r="F29" i="60" s="1"/>
  <c r="Q29" i="60" s="1"/>
  <c r="D28" i="60"/>
  <c r="F28" i="60" s="1"/>
  <c r="Q28" i="60" s="1"/>
  <c r="D24" i="60"/>
  <c r="F24" i="60" s="1"/>
  <c r="D20" i="60"/>
  <c r="F20" i="60" s="1"/>
  <c r="D14" i="60"/>
  <c r="F14" i="60" s="1"/>
  <c r="D41" i="60"/>
  <c r="F41" i="60" s="1"/>
  <c r="Q41" i="60" s="1"/>
  <c r="AM31" i="46" s="1"/>
  <c r="D42" i="60"/>
  <c r="F42" i="60" s="1"/>
  <c r="Q42" i="60" s="1"/>
  <c r="AN31" i="46" s="1"/>
  <c r="D43" i="60"/>
  <c r="D40" i="60"/>
  <c r="F40" i="60" s="1"/>
  <c r="Q40" i="60" s="1"/>
  <c r="AL31" i="46" s="1"/>
  <c r="D9" i="60"/>
  <c r="D44" i="60"/>
  <c r="F44" i="60" s="1"/>
  <c r="Q44" i="60" s="1"/>
  <c r="AP31" i="46" s="1"/>
  <c r="D45" i="60"/>
  <c r="F45" i="60" s="1"/>
  <c r="Q45" i="60" s="1"/>
  <c r="AQ31" i="46" s="1"/>
  <c r="D27" i="60"/>
  <c r="F27" i="60" s="1"/>
  <c r="D23" i="60"/>
  <c r="D19" i="60"/>
  <c r="D10" i="60"/>
  <c r="F10" i="60" s="1"/>
  <c r="D30" i="60"/>
  <c r="F30" i="60" s="1"/>
  <c r="Q30" i="60" s="1"/>
  <c r="D33" i="60"/>
  <c r="D25" i="60"/>
  <c r="D31" i="60"/>
  <c r="D8" i="60"/>
  <c r="F8" i="60" s="1"/>
  <c r="D39" i="60"/>
  <c r="F39" i="60" s="1"/>
  <c r="Q39" i="60" s="1"/>
  <c r="AK31" i="46" s="1"/>
  <c r="D34" i="60"/>
  <c r="F34" i="60" s="1"/>
  <c r="Q34" i="60" s="1"/>
  <c r="D32" i="60"/>
  <c r="F32" i="60" s="1"/>
  <c r="Q32" i="60" s="1"/>
  <c r="D21" i="60"/>
  <c r="D46" i="60"/>
  <c r="D17" i="60"/>
  <c r="F17" i="60" s="1"/>
  <c r="D11" i="60"/>
  <c r="D36" i="60"/>
  <c r="F36" i="60" s="1"/>
  <c r="Q36" i="60" s="1"/>
  <c r="AH31" i="46" s="1"/>
  <c r="D22" i="60"/>
  <c r="D47" i="60"/>
  <c r="F47" i="60" s="1"/>
  <c r="Q47" i="60" s="1"/>
  <c r="AS31" i="46" s="1"/>
  <c r="D38" i="60"/>
  <c r="F38" i="60" s="1"/>
  <c r="Q38" i="60" s="1"/>
  <c r="AJ31" i="46" s="1"/>
  <c r="D16" i="60"/>
  <c r="D15" i="60"/>
  <c r="F15" i="60" s="1"/>
  <c r="D7" i="60"/>
  <c r="F7" i="60" s="1"/>
  <c r="D26" i="60"/>
  <c r="F26" i="60" s="1"/>
  <c r="D35" i="60"/>
  <c r="F35" i="60" s="1"/>
  <c r="Q35" i="60" s="1"/>
  <c r="D37" i="60"/>
  <c r="F37" i="60" s="1"/>
  <c r="Q37" i="60" s="1"/>
  <c r="AI31" i="46" s="1"/>
  <c r="D18" i="60"/>
  <c r="F18" i="60" s="1"/>
  <c r="D13" i="60"/>
  <c r="D12" i="60"/>
  <c r="F12" i="60" s="1"/>
  <c r="Q12" i="60" s="1"/>
  <c r="F11" i="60"/>
  <c r="F13" i="60"/>
  <c r="F19" i="60"/>
  <c r="L49" i="59"/>
  <c r="L50" i="59" s="1"/>
  <c r="N49" i="59"/>
  <c r="N50" i="59" s="1"/>
  <c r="P24" i="60"/>
  <c r="Q24" i="60" s="1"/>
  <c r="P26" i="60"/>
  <c r="P18" i="59"/>
  <c r="P16" i="59"/>
  <c r="P10" i="59"/>
  <c r="Q10" i="59" s="1"/>
  <c r="T10" i="59" s="1"/>
  <c r="Q40" i="59"/>
  <c r="P7" i="59"/>
  <c r="G49" i="59"/>
  <c r="G50" i="59" s="1"/>
  <c r="F15" i="59"/>
  <c r="F8" i="59"/>
  <c r="F13" i="59"/>
  <c r="F20" i="59"/>
  <c r="F16" i="59"/>
  <c r="F21" i="59"/>
  <c r="F37" i="59"/>
  <c r="Q37" i="59" s="1"/>
  <c r="F23" i="59"/>
  <c r="F28" i="59"/>
  <c r="F43" i="60"/>
  <c r="Q43" i="60" s="1"/>
  <c r="AO31" i="46" s="1"/>
  <c r="F16" i="60"/>
  <c r="F33" i="60"/>
  <c r="F25" i="60"/>
  <c r="F22" i="60"/>
  <c r="F46" i="60"/>
  <c r="Q46" i="60" s="1"/>
  <c r="AR31" i="46" s="1"/>
  <c r="F9" i="60"/>
  <c r="F31" i="60"/>
  <c r="Q31" i="60" s="1"/>
  <c r="F21" i="60"/>
  <c r="O49" i="59"/>
  <c r="O50" i="59" s="1"/>
  <c r="L49" i="60"/>
  <c r="L50" i="60" s="1"/>
  <c r="F47" i="59"/>
  <c r="Q47" i="59" s="1"/>
  <c r="F18" i="59"/>
  <c r="K13" i="60"/>
  <c r="K9" i="60"/>
  <c r="K14" i="60"/>
  <c r="K19" i="60"/>
  <c r="K8" i="60"/>
  <c r="K21" i="60"/>
  <c r="K17" i="60"/>
  <c r="K15" i="60"/>
  <c r="K7" i="60"/>
  <c r="K20" i="60"/>
  <c r="K22" i="60"/>
  <c r="K12" i="60"/>
  <c r="K16" i="60"/>
  <c r="K11" i="60"/>
  <c r="K18" i="60"/>
  <c r="K10" i="60"/>
  <c r="I10" i="60"/>
  <c r="P10" i="60" s="1"/>
  <c r="Q10" i="60" s="1"/>
  <c r="I15" i="60"/>
  <c r="P15" i="60" s="1"/>
  <c r="Q15" i="60" s="1"/>
  <c r="I20" i="60"/>
  <c r="P20" i="60" s="1"/>
  <c r="Q20" i="60" s="1"/>
  <c r="I13" i="60"/>
  <c r="P13" i="60" s="1"/>
  <c r="Q13" i="60" s="1"/>
  <c r="I21" i="60"/>
  <c r="P21" i="60" s="1"/>
  <c r="Q21" i="60" s="1"/>
  <c r="I9" i="60"/>
  <c r="P9" i="60" s="1"/>
  <c r="Q9" i="60" s="1"/>
  <c r="I7" i="60"/>
  <c r="I16" i="60"/>
  <c r="I8" i="60"/>
  <c r="I14" i="60"/>
  <c r="P14" i="60" s="1"/>
  <c r="Q14" i="60" s="1"/>
  <c r="I11" i="60"/>
  <c r="I19" i="60"/>
  <c r="P19" i="60" s="1"/>
  <c r="Q19" i="60" s="1"/>
  <c r="I12" i="60"/>
  <c r="I18" i="60"/>
  <c r="P18" i="60" s="1"/>
  <c r="Q18" i="60" s="1"/>
  <c r="I17" i="60"/>
  <c r="I22" i="60"/>
  <c r="P22" i="60" s="1"/>
  <c r="Q22" i="60" s="1"/>
  <c r="C49" i="60"/>
  <c r="C50" i="60" s="1"/>
  <c r="F23" i="60"/>
  <c r="O12" i="60"/>
  <c r="O14" i="60"/>
  <c r="O10" i="60"/>
  <c r="O19" i="60"/>
  <c r="O16" i="60"/>
  <c r="O9" i="60"/>
  <c r="O21" i="60"/>
  <c r="O11" i="60"/>
  <c r="O20" i="60"/>
  <c r="O15" i="60"/>
  <c r="O18" i="60"/>
  <c r="O13" i="60"/>
  <c r="O7" i="60"/>
  <c r="O8" i="60"/>
  <c r="O22" i="60"/>
  <c r="O17" i="60"/>
  <c r="P17" i="60" s="1"/>
  <c r="P16" i="60"/>
  <c r="Q16" i="60" s="1"/>
  <c r="P11" i="60"/>
  <c r="Q11" i="60" s="1"/>
  <c r="Q33" i="60"/>
  <c r="P8" i="60"/>
  <c r="P20" i="59"/>
  <c r="Q20" i="59" s="1"/>
  <c r="T20" i="59" s="1"/>
  <c r="Q33" i="59"/>
  <c r="T33" i="59" s="1"/>
  <c r="P21" i="59"/>
  <c r="Q21" i="59" s="1"/>
  <c r="T21" i="59" s="1"/>
  <c r="P22" i="59"/>
  <c r="Q28" i="59"/>
  <c r="T28" i="59" s="1"/>
  <c r="P8" i="59"/>
  <c r="Q8" i="59" s="1"/>
  <c r="T8" i="59" s="1"/>
  <c r="P23" i="59"/>
  <c r="F22" i="59"/>
  <c r="Q22" i="59" s="1"/>
  <c r="T22" i="59" s="1"/>
  <c r="F42" i="59"/>
  <c r="Q42" i="59" s="1"/>
  <c r="F30" i="59"/>
  <c r="Q30" i="59" s="1"/>
  <c r="T30" i="59" s="1"/>
  <c r="F44" i="59"/>
  <c r="Q44" i="59" s="1"/>
  <c r="F32" i="59"/>
  <c r="Q32" i="59" s="1"/>
  <c r="T32" i="59" s="1"/>
  <c r="F35" i="59"/>
  <c r="Q35" i="59" s="1"/>
  <c r="T35" i="59" s="1"/>
  <c r="F7" i="59"/>
  <c r="B49" i="59"/>
  <c r="B50" i="59" s="1"/>
  <c r="F24" i="59"/>
  <c r="F34" i="59"/>
  <c r="Q34" i="59" s="1"/>
  <c r="T34" i="59" s="1"/>
  <c r="H49" i="60"/>
  <c r="H50" i="60" s="1"/>
  <c r="P12" i="60"/>
  <c r="P11" i="59"/>
  <c r="G31" i="46" l="1"/>
  <c r="AD31" i="46"/>
  <c r="T37" i="59"/>
  <c r="AI34" i="46"/>
  <c r="AI33" i="46" s="1"/>
  <c r="Q31" i="46"/>
  <c r="K31" i="46"/>
  <c r="F49" i="60"/>
  <c r="F50" i="60" s="1"/>
  <c r="H31" i="46"/>
  <c r="AC34" i="46"/>
  <c r="AC33" i="46" s="1"/>
  <c r="R31" i="46"/>
  <c r="I31" i="46"/>
  <c r="AE34" i="46"/>
  <c r="AE33" i="46" s="1"/>
  <c r="AI36" i="46"/>
  <c r="AI43" i="46" s="1"/>
  <c r="AI45" i="46" s="1"/>
  <c r="AI50" i="46" s="1"/>
  <c r="AI52" i="46" s="1"/>
  <c r="AB31" i="46"/>
  <c r="AG31" i="46"/>
  <c r="O31" i="46"/>
  <c r="M31" i="46"/>
  <c r="F31" i="46"/>
  <c r="T31" i="46"/>
  <c r="N31" i="46"/>
  <c r="AF31" i="46"/>
  <c r="L31" i="46"/>
  <c r="T42" i="59"/>
  <c r="AN34" i="46"/>
  <c r="AN33" i="46" s="1"/>
  <c r="AN36" i="46" s="1"/>
  <c r="AN43" i="46" s="1"/>
  <c r="AN45" i="46" s="1"/>
  <c r="AN50" i="46" s="1"/>
  <c r="AN52" i="46" s="1"/>
  <c r="S31" i="46"/>
  <c r="P31" i="46"/>
  <c r="J31" i="46"/>
  <c r="AA31" i="46"/>
  <c r="AE31" i="46"/>
  <c r="AE36" i="46" s="1"/>
  <c r="AE43" i="46" s="1"/>
  <c r="AE45" i="46" s="1"/>
  <c r="AE50" i="46" s="1"/>
  <c r="AE52" i="46" s="1"/>
  <c r="AB34" i="46"/>
  <c r="AB33" i="46" s="1"/>
  <c r="Q8" i="60"/>
  <c r="O49" i="60"/>
  <c r="O50" i="60" s="1"/>
  <c r="K49" i="60"/>
  <c r="K50" i="60" s="1"/>
  <c r="K34" i="46"/>
  <c r="K33" i="46" s="1"/>
  <c r="Z31" i="46"/>
  <c r="V34" i="46"/>
  <c r="V33" i="46" s="1"/>
  <c r="S34" i="46"/>
  <c r="S33" i="46" s="1"/>
  <c r="H34" i="46"/>
  <c r="H33" i="46" s="1"/>
  <c r="T41" i="59"/>
  <c r="AM34" i="46"/>
  <c r="AM33" i="46" s="1"/>
  <c r="AM36" i="46" s="1"/>
  <c r="AM43" i="46" s="1"/>
  <c r="AM45" i="46" s="1"/>
  <c r="AM50" i="46" s="1"/>
  <c r="AM52" i="46" s="1"/>
  <c r="Q17" i="59"/>
  <c r="T17" i="59" s="1"/>
  <c r="J49" i="60"/>
  <c r="J50" i="60" s="1"/>
  <c r="T36" i="59"/>
  <c r="AH34" i="46"/>
  <c r="AH33" i="46" s="1"/>
  <c r="AH36" i="46" s="1"/>
  <c r="AH43" i="46" s="1"/>
  <c r="AH45" i="46" s="1"/>
  <c r="AH50" i="46" s="1"/>
  <c r="AH52" i="46" s="1"/>
  <c r="Q19" i="59"/>
  <c r="T19" i="59" s="1"/>
  <c r="AV16" i="46"/>
  <c r="AV17" i="46" s="1"/>
  <c r="AV13" i="46"/>
  <c r="AV14" i="46" s="1"/>
  <c r="F49" i="59"/>
  <c r="F50" i="59" s="1"/>
  <c r="AD34" i="46"/>
  <c r="AD33" i="46" s="1"/>
  <c r="Q17" i="60"/>
  <c r="I49" i="60"/>
  <c r="I50" i="60" s="1"/>
  <c r="X34" i="46"/>
  <c r="X33" i="46" s="1"/>
  <c r="Q23" i="59"/>
  <c r="T23" i="59" s="1"/>
  <c r="Q16" i="59"/>
  <c r="T16" i="59" s="1"/>
  <c r="Q15" i="59"/>
  <c r="T15" i="59" s="1"/>
  <c r="N34" i="46"/>
  <c r="N33" i="46" s="1"/>
  <c r="AF34" i="46"/>
  <c r="AF33" i="46" s="1"/>
  <c r="T46" i="59"/>
  <c r="AR34" i="46"/>
  <c r="AR33" i="46" s="1"/>
  <c r="Q13" i="59"/>
  <c r="T13" i="59" s="1"/>
  <c r="P7" i="60"/>
  <c r="Q25" i="60"/>
  <c r="M12" i="50"/>
  <c r="L13" i="50"/>
  <c r="L25" i="50"/>
  <c r="T47" i="59"/>
  <c r="AS34" i="46"/>
  <c r="AS33" i="46" s="1"/>
  <c r="AS36" i="46" s="1"/>
  <c r="AS43" i="46" s="1"/>
  <c r="AS45" i="46" s="1"/>
  <c r="AS50" i="46" s="1"/>
  <c r="AS52" i="46" s="1"/>
  <c r="AR36" i="46"/>
  <c r="AR43" i="46" s="1"/>
  <c r="AR45" i="46" s="1"/>
  <c r="AR50" i="46" s="1"/>
  <c r="AR52" i="46" s="1"/>
  <c r="AA34" i="46"/>
  <c r="AA33" i="46" s="1"/>
  <c r="O34" i="46"/>
  <c r="O33" i="46" s="1"/>
  <c r="Q7" i="59"/>
  <c r="P49" i="59"/>
  <c r="P50" i="59" s="1"/>
  <c r="Q26" i="60"/>
  <c r="T45" i="59"/>
  <c r="AQ34" i="46"/>
  <c r="AQ33" i="46" s="1"/>
  <c r="AQ36" i="46" s="1"/>
  <c r="AQ43" i="46" s="1"/>
  <c r="AQ45" i="46" s="1"/>
  <c r="AQ50" i="46" s="1"/>
  <c r="AQ52" i="46" s="1"/>
  <c r="Q11" i="59"/>
  <c r="T11" i="59" s="1"/>
  <c r="Q12" i="59"/>
  <c r="T12" i="59" s="1"/>
  <c r="Z34" i="46"/>
  <c r="Z33" i="46" s="1"/>
  <c r="L34" i="46"/>
  <c r="L33" i="46" s="1"/>
  <c r="G34" i="46"/>
  <c r="G33" i="46" s="1"/>
  <c r="T44" i="59"/>
  <c r="AP34" i="46"/>
  <c r="AP33" i="46" s="1"/>
  <c r="AP36" i="46" s="1"/>
  <c r="AP43" i="46" s="1"/>
  <c r="AP45" i="46" s="1"/>
  <c r="AP50" i="46" s="1"/>
  <c r="AP52" i="46" s="1"/>
  <c r="J34" i="46"/>
  <c r="J33" i="46" s="1"/>
  <c r="U34" i="46"/>
  <c r="U33" i="46" s="1"/>
  <c r="T40" i="59"/>
  <c r="AL34" i="46"/>
  <c r="AL33" i="46" s="1"/>
  <c r="AL36" i="46" s="1"/>
  <c r="AL43" i="46" s="1"/>
  <c r="AL45" i="46" s="1"/>
  <c r="AL50" i="46" s="1"/>
  <c r="AL52" i="46" s="1"/>
  <c r="Q18" i="59"/>
  <c r="T18" i="59" s="1"/>
  <c r="AC31" i="46"/>
  <c r="AC36" i="46" s="1"/>
  <c r="AC43" i="46" s="1"/>
  <c r="AC45" i="46" s="1"/>
  <c r="AC50" i="46" s="1"/>
  <c r="AC52" i="46" s="1"/>
  <c r="D49" i="60"/>
  <c r="D50" i="60" s="1"/>
  <c r="T43" i="59"/>
  <c r="AO34" i="46"/>
  <c r="AO33" i="46" s="1"/>
  <c r="AO36" i="46" s="1"/>
  <c r="AO43" i="46" s="1"/>
  <c r="AO45" i="46" s="1"/>
  <c r="AO50" i="46" s="1"/>
  <c r="AO52" i="46" s="1"/>
  <c r="T39" i="59"/>
  <c r="AK34" i="46"/>
  <c r="AK33" i="46" s="1"/>
  <c r="AK36" i="46" s="1"/>
  <c r="AK43" i="46" s="1"/>
  <c r="AK45" i="46" s="1"/>
  <c r="AK50" i="46" s="1"/>
  <c r="AK52" i="46" s="1"/>
  <c r="Q9" i="59"/>
  <c r="T9" i="59" s="1"/>
  <c r="AG34" i="46"/>
  <c r="AG33" i="46" s="1"/>
  <c r="T38" i="59"/>
  <c r="AJ34" i="46"/>
  <c r="AJ33" i="46" s="1"/>
  <c r="AJ36" i="46" s="1"/>
  <c r="AJ43" i="46" s="1"/>
  <c r="AJ45" i="46" s="1"/>
  <c r="AJ50" i="46" s="1"/>
  <c r="AJ52" i="46" s="1"/>
  <c r="Q24" i="59"/>
  <c r="T24" i="59" s="1"/>
  <c r="Q23" i="60"/>
  <c r="Q27" i="60"/>
  <c r="U24" i="50"/>
  <c r="N49" i="60"/>
  <c r="N50" i="60" s="1"/>
  <c r="W31" i="46" l="1"/>
  <c r="M13" i="50"/>
  <c r="M25" i="50"/>
  <c r="N12" i="50"/>
  <c r="X31" i="46"/>
  <c r="X36" i="46" s="1"/>
  <c r="X43" i="46" s="1"/>
  <c r="X45" i="46" s="1"/>
  <c r="X50" i="46" s="1"/>
  <c r="X52" i="46" s="1"/>
  <c r="V31" i="46"/>
  <c r="V36" i="46" s="1"/>
  <c r="V43" i="46" s="1"/>
  <c r="V45" i="46" s="1"/>
  <c r="V50" i="46" s="1"/>
  <c r="V52" i="46" s="1"/>
  <c r="AG36" i="46"/>
  <c r="AG43" i="46" s="1"/>
  <c r="AG45" i="46" s="1"/>
  <c r="AG50" i="46" s="1"/>
  <c r="AG52" i="46" s="1"/>
  <c r="H36" i="46"/>
  <c r="H43" i="46" s="1"/>
  <c r="H45" i="46" s="1"/>
  <c r="H50" i="46" s="1"/>
  <c r="H52" i="46" s="1"/>
  <c r="M34" i="46"/>
  <c r="M33" i="46" s="1"/>
  <c r="Q34" i="46"/>
  <c r="Q33" i="46" s="1"/>
  <c r="R34" i="46"/>
  <c r="R33" i="46" s="1"/>
  <c r="Y34" i="46"/>
  <c r="Y33" i="46" s="1"/>
  <c r="U31" i="46"/>
  <c r="U36" i="46" s="1"/>
  <c r="U43" i="46" s="1"/>
  <c r="U45" i="46" s="1"/>
  <c r="U50" i="46" s="1"/>
  <c r="U52" i="46" s="1"/>
  <c r="E34" i="46"/>
  <c r="L36" i="46"/>
  <c r="L43" i="46" s="1"/>
  <c r="L45" i="46" s="1"/>
  <c r="L50" i="46" s="1"/>
  <c r="L52" i="46" s="1"/>
  <c r="AF36" i="46"/>
  <c r="AF43" i="46" s="1"/>
  <c r="AF45" i="46" s="1"/>
  <c r="AF50" i="46" s="1"/>
  <c r="AF52" i="46" s="1"/>
  <c r="N36" i="46"/>
  <c r="N43" i="46" s="1"/>
  <c r="N45" i="46" s="1"/>
  <c r="N50" i="46" s="1"/>
  <c r="N52" i="46" s="1"/>
  <c r="O36" i="46"/>
  <c r="O43" i="46" s="1"/>
  <c r="O45" i="46" s="1"/>
  <c r="O50" i="46" s="1"/>
  <c r="O52" i="46" s="1"/>
  <c r="K36" i="46"/>
  <c r="K43" i="46" s="1"/>
  <c r="K45" i="46" s="1"/>
  <c r="K50" i="46" s="1"/>
  <c r="K52" i="46" s="1"/>
  <c r="E31" i="46"/>
  <c r="AD36" i="46"/>
  <c r="AD43" i="46" s="1"/>
  <c r="AD45" i="46" s="1"/>
  <c r="AD50" i="46" s="1"/>
  <c r="AD52" i="46" s="1"/>
  <c r="V24" i="50"/>
  <c r="P49" i="60"/>
  <c r="P50" i="60" s="1"/>
  <c r="Q7" i="60"/>
  <c r="Q49" i="60" s="1"/>
  <c r="Q50" i="60" s="1"/>
  <c r="I34" i="46"/>
  <c r="I33" i="46" s="1"/>
  <c r="I36" i="46" s="1"/>
  <c r="I43" i="46" s="1"/>
  <c r="I45" i="46" s="1"/>
  <c r="I50" i="46" s="1"/>
  <c r="I52" i="46" s="1"/>
  <c r="AA36" i="46"/>
  <c r="AA43" i="46" s="1"/>
  <c r="AA45" i="46" s="1"/>
  <c r="AA50" i="46" s="1"/>
  <c r="AA52" i="46" s="1"/>
  <c r="J36" i="46"/>
  <c r="J43" i="46" s="1"/>
  <c r="J45" i="46" s="1"/>
  <c r="J50" i="46" s="1"/>
  <c r="J52" i="46" s="1"/>
  <c r="S36" i="46"/>
  <c r="S43" i="46" s="1"/>
  <c r="S45" i="46" s="1"/>
  <c r="S50" i="46" s="1"/>
  <c r="S52" i="46" s="1"/>
  <c r="AB36" i="46"/>
  <c r="AB43" i="46" s="1"/>
  <c r="AB45" i="46" s="1"/>
  <c r="AB50" i="46" s="1"/>
  <c r="AB52" i="46" s="1"/>
  <c r="R36" i="46"/>
  <c r="R43" i="46" s="1"/>
  <c r="R45" i="46" s="1"/>
  <c r="R50" i="46" s="1"/>
  <c r="R52" i="46" s="1"/>
  <c r="F34" i="46"/>
  <c r="F33" i="46" s="1"/>
  <c r="F36" i="46" s="1"/>
  <c r="F43" i="46" s="1"/>
  <c r="F45" i="46" s="1"/>
  <c r="F50" i="46" s="1"/>
  <c r="F52" i="46" s="1"/>
  <c r="P34" i="46"/>
  <c r="P33" i="46" s="1"/>
  <c r="P36" i="46" s="1"/>
  <c r="P43" i="46" s="1"/>
  <c r="P45" i="46" s="1"/>
  <c r="P50" i="46" s="1"/>
  <c r="P52" i="46" s="1"/>
  <c r="Y31" i="46"/>
  <c r="Y36" i="46" s="1"/>
  <c r="Y43" i="46" s="1"/>
  <c r="Y45" i="46" s="1"/>
  <c r="Y50" i="46" s="1"/>
  <c r="Y52" i="46" s="1"/>
  <c r="Q49" i="59"/>
  <c r="T7" i="59"/>
  <c r="W34" i="46"/>
  <c r="W33" i="46" s="1"/>
  <c r="Z36" i="46"/>
  <c r="Z43" i="46" s="1"/>
  <c r="Z45" i="46" s="1"/>
  <c r="Z50" i="46" s="1"/>
  <c r="Z52" i="46" s="1"/>
  <c r="T34" i="46"/>
  <c r="T33" i="46" s="1"/>
  <c r="T36" i="46"/>
  <c r="T43" i="46" s="1"/>
  <c r="T45" i="46" s="1"/>
  <c r="T50" i="46" s="1"/>
  <c r="T52" i="46" s="1"/>
  <c r="M36" i="46"/>
  <c r="M43" i="46" s="1"/>
  <c r="M45" i="46" s="1"/>
  <c r="M50" i="46" s="1"/>
  <c r="M52" i="46" s="1"/>
  <c r="Q36" i="46"/>
  <c r="Q43" i="46" s="1"/>
  <c r="Q45" i="46" s="1"/>
  <c r="Q50" i="46" s="1"/>
  <c r="Q52" i="46" s="1"/>
  <c r="G36" i="46"/>
  <c r="G43" i="46" s="1"/>
  <c r="G45" i="46" s="1"/>
  <c r="G50" i="46" s="1"/>
  <c r="G52" i="46" s="1"/>
  <c r="W24" i="50" l="1"/>
  <c r="E36" i="46"/>
  <c r="E43" i="46" s="1"/>
  <c r="E33" i="46"/>
  <c r="AU33" i="46" s="1"/>
  <c r="AU34" i="46"/>
  <c r="T49" i="59"/>
  <c r="Q50" i="59"/>
  <c r="AU31" i="46"/>
  <c r="N13" i="50"/>
  <c r="N25" i="50"/>
  <c r="O12" i="50"/>
  <c r="W36" i="46"/>
  <c r="W43" i="46" s="1"/>
  <c r="W45" i="46" s="1"/>
  <c r="W50" i="46" s="1"/>
  <c r="W52" i="46" s="1"/>
  <c r="E45" i="46" l="1"/>
  <c r="E50" i="46" s="1"/>
  <c r="AU43" i="46"/>
  <c r="AV44" i="46" s="1"/>
  <c r="O13" i="50"/>
  <c r="P12" i="50"/>
  <c r="O25" i="50"/>
  <c r="X24" i="50"/>
  <c r="P13" i="50" l="1"/>
  <c r="Q12" i="50"/>
  <c r="P25" i="50"/>
  <c r="Y24" i="50"/>
  <c r="E52" i="46"/>
  <c r="AU52" i="46" s="1"/>
  <c r="AU50" i="46"/>
  <c r="AV51" i="46" s="1"/>
  <c r="Q13" i="50" l="1"/>
  <c r="R12" i="50"/>
  <c r="Q25" i="50"/>
  <c r="Z24" i="50"/>
  <c r="R13" i="50" l="1"/>
  <c r="S12" i="50"/>
  <c r="R25" i="50"/>
  <c r="AA24" i="50"/>
  <c r="S13" i="50" l="1"/>
  <c r="T12" i="50"/>
  <c r="S25" i="50"/>
  <c r="AB24" i="50"/>
  <c r="T13" i="50" l="1"/>
  <c r="U12" i="50"/>
  <c r="T25" i="50"/>
  <c r="AC24" i="50"/>
  <c r="U13" i="50" l="1"/>
  <c r="V12" i="50"/>
  <c r="U25" i="50"/>
  <c r="AD24" i="50"/>
  <c r="V13" i="50" l="1"/>
  <c r="W12" i="50"/>
  <c r="V25" i="50"/>
  <c r="AE24" i="50"/>
  <c r="AF24" i="50" l="1"/>
  <c r="W13" i="50"/>
  <c r="X12" i="50"/>
  <c r="W25" i="50"/>
  <c r="AG24" i="50" l="1"/>
  <c r="X13" i="50"/>
  <c r="Y12" i="50"/>
  <c r="X25" i="50"/>
  <c r="Y13" i="50" l="1"/>
  <c r="Z12" i="50"/>
  <c r="Y25" i="50"/>
  <c r="AH24" i="50"/>
  <c r="Z13" i="50" l="1"/>
  <c r="AA12" i="50"/>
  <c r="Z25" i="50"/>
  <c r="AI24" i="50"/>
  <c r="AA13" i="50" l="1"/>
  <c r="AB12" i="50"/>
  <c r="AA25" i="50"/>
  <c r="AJ24" i="50"/>
  <c r="AC12" i="50" l="1"/>
  <c r="AB13" i="50"/>
  <c r="AB25" i="50"/>
  <c r="AK24" i="50"/>
  <c r="AC13" i="50" l="1"/>
  <c r="AD12" i="50"/>
  <c r="AC25" i="50"/>
  <c r="AL24" i="50"/>
  <c r="AD13" i="50" l="1"/>
  <c r="AE12" i="50"/>
  <c r="AD25" i="50"/>
  <c r="AM24" i="50"/>
  <c r="AE13" i="50" l="1"/>
  <c r="AF12" i="50"/>
  <c r="AE25" i="50"/>
  <c r="AN24" i="50"/>
  <c r="AO24" i="50" l="1"/>
  <c r="AF13" i="50"/>
  <c r="AG12" i="50"/>
  <c r="AF25" i="50"/>
  <c r="AP24" i="50" l="1"/>
  <c r="AG13" i="50"/>
  <c r="AH12" i="50"/>
  <c r="AG25" i="50"/>
  <c r="AI12" i="50" l="1"/>
  <c r="AH13" i="50"/>
  <c r="AH25" i="50"/>
  <c r="AQ24" i="50"/>
  <c r="AI13" i="50" l="1"/>
  <c r="AJ12" i="50"/>
  <c r="AI25" i="50"/>
  <c r="AR24" i="50"/>
  <c r="AS24" i="50" l="1"/>
  <c r="AJ13" i="50"/>
  <c r="AK12" i="50"/>
  <c r="AJ25" i="50"/>
  <c r="AK13" i="50" l="1"/>
  <c r="AL12" i="50"/>
  <c r="AK25" i="50"/>
  <c r="AT24" i="50"/>
  <c r="AM12" i="50" l="1"/>
  <c r="AL13" i="50"/>
  <c r="AL25" i="50"/>
  <c r="AM13" i="50" l="1"/>
  <c r="AN12" i="50"/>
  <c r="AM25" i="50"/>
  <c r="AN13" i="50" l="1"/>
  <c r="AO12" i="50"/>
  <c r="AN25" i="50"/>
  <c r="AO13" i="50" l="1"/>
  <c r="AP12" i="50"/>
  <c r="AO25" i="50"/>
  <c r="AQ12" i="50" l="1"/>
  <c r="AP13" i="50"/>
  <c r="AP25" i="50"/>
  <c r="AQ13" i="50" l="1"/>
  <c r="AR12" i="50"/>
  <c r="AQ25" i="50"/>
  <c r="AR13" i="50" l="1"/>
  <c r="AS12" i="50"/>
  <c r="AR25" i="50"/>
  <c r="AT12" i="50" l="1"/>
  <c r="AS13" i="50"/>
  <c r="AS25" i="50"/>
  <c r="AT13" i="50" l="1"/>
  <c r="AT25" i="50"/>
</calcChain>
</file>

<file path=xl/comments1.xml><?xml version="1.0" encoding="utf-8"?>
<comments xmlns="http://schemas.openxmlformats.org/spreadsheetml/2006/main">
  <authors>
    <author>Auteur</author>
  </authors>
  <commentList>
    <comment ref="C8" authorId="0" shapeId="0">
      <text>
        <r>
          <rPr>
            <sz val="9"/>
            <color indexed="81"/>
            <rFont val="Tahoma"/>
            <family val="2"/>
          </rPr>
          <t xml:space="preserve">A ne compléter que si le prêt est avec préfinancement
</t>
        </r>
      </text>
    </comment>
    <comment ref="C9" authorId="0" shapeId="0">
      <text>
        <r>
          <rPr>
            <sz val="9"/>
            <color indexed="81"/>
            <rFont val="Tahoma"/>
            <family val="2"/>
          </rPr>
          <t>Ne pas compléter - remplissage automatique</t>
        </r>
      </text>
    </comment>
    <comment ref="C10" authorId="0" shapeId="0">
      <text>
        <r>
          <rPr>
            <sz val="9"/>
            <color indexed="81"/>
            <rFont val="Tahoma"/>
            <family val="2"/>
          </rPr>
          <t>Ne pas compléter - remplissage automatique</t>
        </r>
      </text>
    </comment>
    <comment ref="C12" authorId="0" shapeId="0">
      <text>
        <r>
          <rPr>
            <sz val="9"/>
            <color indexed="81"/>
            <rFont val="Tahoma"/>
            <family val="2"/>
          </rPr>
          <t xml:space="preserve">A compléter uniquement en cas de prêt avec préfinancement.
Si la durée de préfinancement est inférieure à 12 mois, le paiement des intérêts de préfinancement est obligatoire (art. 1154 du code civil).
Si la durée de préfinancement est supérieure ou égale à 12 mois, les intérêts de préfinancement peuvent être payés ou refinancés.
</t>
        </r>
      </text>
    </comment>
    <comment ref="C18" authorId="0" shapeId="0">
      <text>
        <r>
          <rPr>
            <sz val="9"/>
            <color indexed="81"/>
            <rFont val="Tahoma"/>
            <family val="2"/>
          </rPr>
          <t xml:space="preserve">A compléter uniquement si le prêt est indexé sur Livret A ou Inflation
</t>
        </r>
      </text>
    </comment>
    <comment ref="C19" authorId="0" shapeId="0">
      <text>
        <r>
          <rPr>
            <sz val="9"/>
            <color indexed="81"/>
            <rFont val="Tahoma"/>
            <family val="2"/>
          </rPr>
          <t xml:space="preserve">A compléter uniquement  si le prêt est à taux fixe.
</t>
        </r>
      </text>
    </comment>
    <comment ref="C20" authorId="0" shapeId="0">
      <text>
        <r>
          <rPr>
            <sz val="9"/>
            <color indexed="81"/>
            <rFont val="Tahoma"/>
            <family val="2"/>
          </rPr>
          <t xml:space="preserve">A compléter uniquement en cas de profil d'amortissement à durée ajustable
</t>
        </r>
      </text>
    </comment>
  </commentList>
</comments>
</file>

<file path=xl/sharedStrings.xml><?xml version="1.0" encoding="utf-8"?>
<sst xmlns="http://schemas.openxmlformats.org/spreadsheetml/2006/main" count="869" uniqueCount="422">
  <si>
    <t>VRD-Aménagements</t>
  </si>
  <si>
    <t>B</t>
  </si>
  <si>
    <t>GO-Maçonnerie</t>
  </si>
  <si>
    <t>Fluides</t>
  </si>
  <si>
    <t>C</t>
  </si>
  <si>
    <t>E</t>
  </si>
  <si>
    <t>F</t>
  </si>
  <si>
    <t>Prix de Revient</t>
  </si>
  <si>
    <t>Terrain</t>
  </si>
  <si>
    <t>VRD/Aménag.</t>
  </si>
  <si>
    <t>Total</t>
  </si>
  <si>
    <t>Autres</t>
  </si>
  <si>
    <t>G</t>
  </si>
  <si>
    <t>D</t>
  </si>
  <si>
    <t>H</t>
  </si>
  <si>
    <t>A</t>
  </si>
  <si>
    <t>Menuiseries extérieures - Ferronnerie extérieure</t>
  </si>
  <si>
    <t>Couverture - étanchéité en toiture</t>
  </si>
  <si>
    <t>Equipements techniques de confort et sécurité</t>
  </si>
  <si>
    <t>Equipements et aménagements extérieurs</t>
  </si>
  <si>
    <t>Equipements et agencements intérieurs</t>
  </si>
  <si>
    <t>Financement</t>
  </si>
  <si>
    <t>Date</t>
  </si>
  <si>
    <t>Surface</t>
  </si>
  <si>
    <t>Total Financement</t>
  </si>
  <si>
    <t>date</t>
  </si>
  <si>
    <t>Menuiseries intérieures</t>
  </si>
  <si>
    <t>Fonds Propres</t>
  </si>
  <si>
    <t>%</t>
  </si>
  <si>
    <t>Montant</t>
  </si>
  <si>
    <t>Coût</t>
  </si>
  <si>
    <t>Frais financiers</t>
  </si>
  <si>
    <t>PLS</t>
  </si>
  <si>
    <t>Prix de revient TTC</t>
  </si>
  <si>
    <t>I</t>
  </si>
  <si>
    <t>Année</t>
  </si>
  <si>
    <t>TOTAL</t>
  </si>
  <si>
    <t>Acquisition foncière</t>
  </si>
  <si>
    <t>Equipements</t>
  </si>
  <si>
    <t>Assurances</t>
  </si>
  <si>
    <t>X</t>
  </si>
  <si>
    <t>Taux d'intérêt</t>
  </si>
  <si>
    <t>Intérêts</t>
  </si>
  <si>
    <t>CAF</t>
  </si>
  <si>
    <t>Ascenseur</t>
  </si>
  <si>
    <t>Coût VEFA</t>
  </si>
  <si>
    <t>Crédit d'impôt</t>
  </si>
  <si>
    <t>VRD</t>
  </si>
  <si>
    <t>Etanchéité</t>
  </si>
  <si>
    <t>TVA Résiduelle</t>
  </si>
  <si>
    <t>Années</t>
  </si>
  <si>
    <t>Redevance - Loyer Financier (L1)</t>
  </si>
  <si>
    <t>OK</t>
  </si>
  <si>
    <t xml:space="preserve">  - Amortissement du capital</t>
  </si>
  <si>
    <t xml:space="preserve">  - Intérêts financiers</t>
  </si>
  <si>
    <t>Redevance - Loyer GER (L2)</t>
  </si>
  <si>
    <t>Redevance - Loyer de gestion (L3)</t>
  </si>
  <si>
    <t>Redevance (article 5.1)</t>
  </si>
  <si>
    <t>Impôts &amp; taxes (TEOM/TFPB)</t>
  </si>
  <si>
    <t>AOT</t>
  </si>
  <si>
    <t>Eléments hors redevance (article 5.4)</t>
  </si>
  <si>
    <t>Redevance annuelle</t>
  </si>
  <si>
    <t>Surface finançable totale</t>
  </si>
  <si>
    <t>Surface moyenne d'un logement</t>
  </si>
  <si>
    <t>Prix au m²/an</t>
  </si>
  <si>
    <t>prix au m²/mois</t>
  </si>
  <si>
    <t>Prix par logement/mois (sur 12 mois)</t>
  </si>
  <si>
    <t>Prix par logement/mois (sur 10 mois)</t>
  </si>
  <si>
    <t>Loyers plafonds = 19,91 €</t>
  </si>
  <si>
    <t>Prix au m²/mois</t>
  </si>
  <si>
    <t>Prix par logement/mois</t>
  </si>
  <si>
    <t>Taux d'occupation prévisionnel</t>
  </si>
  <si>
    <t>Loyers perçus par le Crous</t>
  </si>
  <si>
    <t>Loyers perçus par logement/mois (sur 10 mois)</t>
  </si>
  <si>
    <t>Coût des impayés (taux d'impayés retenu 0 %)</t>
  </si>
  <si>
    <t>Qp virée au résultat</t>
  </si>
  <si>
    <t>Intérêts sur emprunts</t>
  </si>
  <si>
    <t>Amortissements</t>
  </si>
  <si>
    <t xml:space="preserve">  - Immeuble</t>
  </si>
  <si>
    <t xml:space="preserve">  - Remplacement des composants</t>
  </si>
  <si>
    <t>Marge brute locative avant maintenance et TFPB</t>
  </si>
  <si>
    <t>TFPB (exo pendant 25 + 5 ans)</t>
  </si>
  <si>
    <t>TEOM</t>
  </si>
  <si>
    <t>Entretien courant (à la Charge du CROUS)</t>
  </si>
  <si>
    <t>Travaux de gros entretiens</t>
  </si>
  <si>
    <t>Location du foncier (AOT de 40 ans)</t>
  </si>
  <si>
    <t>Marge brute locative avant coûts de structure</t>
  </si>
  <si>
    <t>résultat moyen/an</t>
  </si>
  <si>
    <t>moyenne en équivalent logements (87 lgts)</t>
  </si>
  <si>
    <t>Reprise des intérêts sur emprunts</t>
  </si>
  <si>
    <t>Échéance des emprunts</t>
  </si>
  <si>
    <t>Remplacement des composants</t>
  </si>
  <si>
    <t>Autofinancement courant</t>
  </si>
  <si>
    <t>Autofi moyen/an</t>
  </si>
  <si>
    <t>Evolution annuelle du taux de rendement net</t>
  </si>
  <si>
    <t>taux moyen autofi/an</t>
  </si>
  <si>
    <t>Durée</t>
  </si>
  <si>
    <t>Affectat° subvent° défisca</t>
  </si>
  <si>
    <t>Subventions CPER</t>
  </si>
  <si>
    <t>Structure</t>
  </si>
  <si>
    <t xml:space="preserve">Charpente </t>
  </si>
  <si>
    <t>Aides publiques</t>
  </si>
  <si>
    <t>Prêt PLS (durée 40 ans)</t>
  </si>
  <si>
    <t>Peintures extérieures d'étanchéité</t>
  </si>
  <si>
    <t>Equipements et mobiliers</t>
  </si>
  <si>
    <t>Equipements techniques de confort et de sécurité</t>
  </si>
  <si>
    <t>Revêtements-finitions</t>
  </si>
  <si>
    <t>J</t>
  </si>
  <si>
    <t>Autres composants</t>
  </si>
  <si>
    <t>Coût technique du bâtiment</t>
  </si>
  <si>
    <t>Prêts</t>
  </si>
  <si>
    <t>PRIX DE REVIENT</t>
  </si>
  <si>
    <t>Surfaces finançables</t>
  </si>
  <si>
    <t>Prix m²</t>
  </si>
  <si>
    <t>Composants</t>
  </si>
  <si>
    <t>Investissement</t>
  </si>
  <si>
    <t>Amortissement</t>
  </si>
  <si>
    <t>Prix de VEFA (TTC)</t>
  </si>
  <si>
    <t>Réuménration de maîtrise d'ouvrage</t>
  </si>
  <si>
    <t>Charpente</t>
  </si>
  <si>
    <t>Frais de notaires</t>
  </si>
  <si>
    <t>VRD/Aménagements</t>
  </si>
  <si>
    <t>Coût de revient TTC</t>
  </si>
  <si>
    <t>Base foncière</t>
  </si>
  <si>
    <t>Coût de l'opération hors foncier</t>
  </si>
  <si>
    <t>Subvention CPER</t>
  </si>
  <si>
    <t>dont 448 799 € alloués à l'ameublement</t>
  </si>
  <si>
    <t>Prêts bancaires "PLS"</t>
  </si>
  <si>
    <t>Détail des frais financiers</t>
  </si>
  <si>
    <t xml:space="preserve"> Intérêts de préfinancement payés</t>
  </si>
  <si>
    <t>Immeuble</t>
  </si>
  <si>
    <t>phase</t>
  </si>
  <si>
    <t>Acompte VEFA</t>
  </si>
  <si>
    <t>Acompte Rémunération</t>
  </si>
  <si>
    <t>Prêts PLS</t>
  </si>
  <si>
    <t>Etat</t>
  </si>
  <si>
    <t>Signature VEFA</t>
  </si>
  <si>
    <t>Achévement des terrassements</t>
  </si>
  <si>
    <t>Achèvement des fondations</t>
  </si>
  <si>
    <t>Dalle basse RDC coulée</t>
  </si>
  <si>
    <t>Dalle basse R+2 coulée</t>
  </si>
  <si>
    <t>Mise hors d'eau</t>
  </si>
  <si>
    <t>Mise hors d'air</t>
  </si>
  <si>
    <t>Achèvement des peinture intérieures</t>
  </si>
  <si>
    <t>Achèvement TCE</t>
  </si>
  <si>
    <t>Livraison et remise des clés</t>
  </si>
  <si>
    <t>Levée réserves</t>
  </si>
  <si>
    <t>CI</t>
  </si>
  <si>
    <t>CROUS ST-PIERRE</t>
  </si>
  <si>
    <t>PRD (Hors frais d'emprunt à capitaliser)</t>
  </si>
  <si>
    <t>Achèvement des terrassement</t>
  </si>
  <si>
    <t>Fondation</t>
  </si>
  <si>
    <t>Dalle RDC</t>
  </si>
  <si>
    <t>Dalle RDC+2</t>
  </si>
  <si>
    <t>Hors d'eau</t>
  </si>
  <si>
    <t>Hors d'air</t>
  </si>
  <si>
    <t>Cloison</t>
  </si>
  <si>
    <t>fin TCE</t>
  </si>
  <si>
    <t>Livraison</t>
  </si>
  <si>
    <t>FIN GPA</t>
  </si>
  <si>
    <t>Poste</t>
  </si>
  <si>
    <t>Libellé</t>
  </si>
  <si>
    <t>Budget dépenses</t>
  </si>
  <si>
    <t>PREVISIONS A 12 MOIS</t>
  </si>
  <si>
    <t>Plus de 12 mois</t>
  </si>
  <si>
    <t>Reste à réaliser</t>
  </si>
  <si>
    <t>Contrôle Budget</t>
  </si>
  <si>
    <t>190</t>
  </si>
  <si>
    <t>290</t>
  </si>
  <si>
    <t>390</t>
  </si>
  <si>
    <t>490</t>
  </si>
  <si>
    <t>Frais Généraux</t>
  </si>
  <si>
    <t>Frais financiers emprunts</t>
  </si>
  <si>
    <t>Frais de notaires Defisc</t>
  </si>
  <si>
    <t/>
  </si>
  <si>
    <t>Réalisé TTC</t>
  </si>
  <si>
    <t>CUMUL</t>
  </si>
  <si>
    <t>EVOLUTION %tage</t>
  </si>
  <si>
    <t>Budgets recettes</t>
  </si>
  <si>
    <t>Etat - LBU</t>
  </si>
  <si>
    <t>cdc - principal</t>
  </si>
  <si>
    <t>cdc - portage CI</t>
  </si>
  <si>
    <t>Ligne de trésorerie</t>
  </si>
  <si>
    <t>Prêt relais</t>
  </si>
  <si>
    <t>TRESORERIE NETTE</t>
  </si>
  <si>
    <t>PREFINANCEMENT</t>
  </si>
  <si>
    <t>Date d'effet</t>
  </si>
  <si>
    <t>Date de début de préfinancement</t>
  </si>
  <si>
    <t>Date de fin de préfinancement</t>
  </si>
  <si>
    <t>versements</t>
  </si>
  <si>
    <t>Taux livret</t>
  </si>
  <si>
    <t>Marge s/index</t>
  </si>
  <si>
    <t>Prêts CI</t>
  </si>
  <si>
    <t xml:space="preserve"> intérêts</t>
  </si>
  <si>
    <t>delta avec budget excel</t>
  </si>
  <si>
    <t>Mise en service : 30/06/2019</t>
  </si>
  <si>
    <t>Coûts du programme de gros entretien et renouvellement de composant</t>
  </si>
  <si>
    <t>Loyer pour Gros entretien et renouvellement des composants</t>
  </si>
  <si>
    <t>Solde GER</t>
  </si>
  <si>
    <t>Cumul</t>
  </si>
  <si>
    <t>Dépenses non révisées</t>
  </si>
  <si>
    <t>Coefficient de pondération</t>
  </si>
  <si>
    <t>Cout</t>
  </si>
  <si>
    <t>Périodicité</t>
  </si>
  <si>
    <t>Charpente et toiture</t>
  </si>
  <si>
    <t>Refection des joints d'étanchéité</t>
  </si>
  <si>
    <t>Grosses réparation de voirie</t>
  </si>
  <si>
    <t>Ravalement</t>
  </si>
  <si>
    <t>Revetement de sol</t>
  </si>
  <si>
    <t>Menuiserie extérieure</t>
  </si>
  <si>
    <t>Metallerie</t>
  </si>
  <si>
    <t>Plomberie ECS</t>
  </si>
  <si>
    <t>Electricité</t>
  </si>
  <si>
    <t>Menuiserie Interieure</t>
  </si>
  <si>
    <t>Clôtures</t>
  </si>
  <si>
    <t>Locaux</t>
  </si>
  <si>
    <t>Q</t>
  </si>
  <si>
    <t>Durée de vie</t>
  </si>
  <si>
    <t>PU</t>
  </si>
  <si>
    <t>Valeur</t>
  </si>
  <si>
    <t>Renouvellement</t>
  </si>
  <si>
    <t>Valeur renouvellement</t>
  </si>
  <si>
    <t>Charge SODEGIS en HT                  (GER)</t>
  </si>
  <si>
    <t>Charge CROUS</t>
  </si>
  <si>
    <t>Hall d'accueil</t>
  </si>
  <si>
    <t>Boite aux lettre</t>
  </si>
  <si>
    <t>Lecteur de badge</t>
  </si>
  <si>
    <t>Badges</t>
  </si>
  <si>
    <t>Panneau d'affichage</t>
  </si>
  <si>
    <t>Bancs</t>
  </si>
  <si>
    <t>Laverie</t>
  </si>
  <si>
    <t>lave linge</t>
  </si>
  <si>
    <t>Seche linge</t>
  </si>
  <si>
    <t>table</t>
  </si>
  <si>
    <t>Sièges d'attente</t>
  </si>
  <si>
    <t>Studio</t>
  </si>
  <si>
    <t>Evier</t>
  </si>
  <si>
    <t>Paillasse cuisinette</t>
  </si>
  <si>
    <t>Plaque de cuisson double</t>
  </si>
  <si>
    <t xml:space="preserve">Rangement </t>
  </si>
  <si>
    <t>Lavabo et mitijeur</t>
  </si>
  <si>
    <t>Douche avec robinetterie</t>
  </si>
  <si>
    <t xml:space="preserve">WC </t>
  </si>
  <si>
    <t>Abattant</t>
  </si>
  <si>
    <t>miroir</t>
  </si>
  <si>
    <t>patere</t>
  </si>
  <si>
    <t>lit (integré)</t>
  </si>
  <si>
    <t>penderie</t>
  </si>
  <si>
    <t>etagere</t>
  </si>
  <si>
    <t>table de chevet</t>
  </si>
  <si>
    <t>Bureau table avec tiroir</t>
  </si>
  <si>
    <t>logt de fonction</t>
  </si>
  <si>
    <t>Paillasse / Cuisinette</t>
  </si>
  <si>
    <t>Plaque de cuisson quadruple</t>
  </si>
  <si>
    <t>Rangement</t>
  </si>
  <si>
    <t>salle polyvalente</t>
  </si>
  <si>
    <t>Point d'eau</t>
  </si>
  <si>
    <t>Paillasse</t>
  </si>
  <si>
    <t>Sanitaire public</t>
  </si>
  <si>
    <t>Cuvette WC</t>
  </si>
  <si>
    <t>Lavabo commande à pied</t>
  </si>
  <si>
    <t>Miroir</t>
  </si>
  <si>
    <t>Distrib de savon</t>
  </si>
  <si>
    <t>dévidoir</t>
  </si>
  <si>
    <t>Salle de remise en forme</t>
  </si>
  <si>
    <t>Autre</t>
  </si>
  <si>
    <t>Vestiaire douche agent d'entretien</t>
  </si>
  <si>
    <t>WC PRM</t>
  </si>
  <si>
    <t>Banc / Patère</t>
  </si>
  <si>
    <t>Armoire à double compartiment</t>
  </si>
  <si>
    <t>Miroirs</t>
  </si>
  <si>
    <t>Sanitaire agent d'entretien</t>
  </si>
  <si>
    <t>Réserve mobilier</t>
  </si>
  <si>
    <t>rangements</t>
  </si>
  <si>
    <t>Locaux d'entretien</t>
  </si>
  <si>
    <t>Etagères de rangement</t>
  </si>
  <si>
    <t>Local ECS</t>
  </si>
  <si>
    <t>Ballon solaire et Pompe</t>
  </si>
  <si>
    <t>Citerne</t>
  </si>
  <si>
    <t>Atelier CROUS</t>
  </si>
  <si>
    <t>rangement</t>
  </si>
  <si>
    <t>etablis</t>
  </si>
  <si>
    <t>Etagère métal</t>
  </si>
  <si>
    <t>Local stockage pour atelier</t>
  </si>
  <si>
    <t>rayonnage</t>
  </si>
  <si>
    <t>Stockage dechets tri sélectif</t>
  </si>
  <si>
    <t>Bacs</t>
  </si>
  <si>
    <t>Stockage bas à compost</t>
  </si>
  <si>
    <t>Bacs à compost</t>
  </si>
  <si>
    <t>Jardins</t>
  </si>
  <si>
    <t>Poubelles</t>
  </si>
  <si>
    <t>Tables</t>
  </si>
  <si>
    <t>Chaises</t>
  </si>
  <si>
    <t>Composant batiment</t>
  </si>
  <si>
    <t>Durée vie</t>
  </si>
  <si>
    <t>PU HT</t>
  </si>
  <si>
    <t>Valeur HT du RC</t>
  </si>
  <si>
    <t>Valeur TTC du RC TVA à 2,10%</t>
  </si>
  <si>
    <t>Valeur renouvellement charge SODEGIS</t>
  </si>
  <si>
    <t>Charge SODEGIS</t>
  </si>
  <si>
    <t>Clos et couvert</t>
  </si>
  <si>
    <t>Grosse réparation de GO</t>
  </si>
  <si>
    <t>Plancher</t>
  </si>
  <si>
    <t>Toiture</t>
  </si>
  <si>
    <t>Terrasses entières</t>
  </si>
  <si>
    <t>Accessoires (Chenaux…)</t>
  </si>
  <si>
    <t>Joints Silicone + Dégarnissage</t>
  </si>
  <si>
    <t>Refection couche de roulement</t>
  </si>
  <si>
    <t>Ravalement complet</t>
  </si>
  <si>
    <t>Aménagements intérieurs</t>
  </si>
  <si>
    <t>Remplacement sols (Collectifs et studios)</t>
  </si>
  <si>
    <t>Remplacement</t>
  </si>
  <si>
    <t>Equipements techniques</t>
  </si>
  <si>
    <t>Menuiserie alu</t>
  </si>
  <si>
    <t>Menuiserie Jalousie</t>
  </si>
  <si>
    <t>Fermetures alu yc portes d'accès</t>
  </si>
  <si>
    <t>Métallerie</t>
  </si>
  <si>
    <t>Gardes-corps</t>
  </si>
  <si>
    <t>Canalisation yc AEP (EC+EF)</t>
  </si>
  <si>
    <t>Evacuation yc EU</t>
  </si>
  <si>
    <t>Plomberie (AEP, EU, EV, EP)</t>
  </si>
  <si>
    <t>Canalisation</t>
  </si>
  <si>
    <t>réfection (cablage)</t>
  </si>
  <si>
    <t>Huisseries / Portes palières</t>
  </si>
  <si>
    <t>Huisseries / Portes isoplanes</t>
  </si>
  <si>
    <t>Appareillage citerne ECS</t>
  </si>
  <si>
    <t>Appareillage pompe ECS</t>
  </si>
  <si>
    <t>Appareillage panneaux solaires</t>
  </si>
  <si>
    <t>Equipements (annexe 1)</t>
  </si>
  <si>
    <t>-</t>
  </si>
  <si>
    <t>Date d'échéance</t>
  </si>
  <si>
    <t>Loyer Financier L1</t>
  </si>
  <si>
    <t>Loyer GER L2 non révisé</t>
  </si>
  <si>
    <t>Loyer de gestion L3 non révisé</t>
  </si>
  <si>
    <t>Montant de la Redevance</t>
  </si>
  <si>
    <t>Historique Indice IRL</t>
  </si>
  <si>
    <t>Échéance</t>
  </si>
  <si>
    <t>En niveau</t>
  </si>
  <si>
    <t>Évolution %</t>
  </si>
  <si>
    <t>Moyenne annuelle</t>
  </si>
  <si>
    <t>Evolution annuelle</t>
  </si>
  <si>
    <t>2011 T1</t>
  </si>
  <si>
    <t>2011 T2</t>
  </si>
  <si>
    <t>2011 T3</t>
  </si>
  <si>
    <t>2011 T4</t>
  </si>
  <si>
    <t>2012 T1</t>
  </si>
  <si>
    <t>2012 T2</t>
  </si>
  <si>
    <t>2012 T3</t>
  </si>
  <si>
    <t>2012 T4</t>
  </si>
  <si>
    <t>2013 T1</t>
  </si>
  <si>
    <t>2013 T2</t>
  </si>
  <si>
    <t>2013 T3</t>
  </si>
  <si>
    <t>2013 T4</t>
  </si>
  <si>
    <t>2014 T1</t>
  </si>
  <si>
    <t>2014 T2</t>
  </si>
  <si>
    <t>2014 T3</t>
  </si>
  <si>
    <t>2014 T4</t>
  </si>
  <si>
    <t>2015 T1</t>
  </si>
  <si>
    <t>2015 T2</t>
  </si>
  <si>
    <t>2015 T3</t>
  </si>
  <si>
    <t>2015 T4</t>
  </si>
  <si>
    <t>Numéro d'échéance</t>
  </si>
  <si>
    <t>Montant de l'échéance</t>
  </si>
  <si>
    <t>Montant Amortissement</t>
  </si>
  <si>
    <t>Montant Intérêts</t>
  </si>
  <si>
    <t>Intérêts Financiers</t>
  </si>
  <si>
    <t>Intérêts à différer</t>
  </si>
  <si>
    <t>Capital restant dû</t>
  </si>
  <si>
    <t>Stock d'intérêts</t>
  </si>
  <si>
    <t>Progression échéances</t>
  </si>
  <si>
    <t>Taux de construction</t>
  </si>
  <si>
    <t>Livret A (en %)</t>
  </si>
  <si>
    <t>Inflation (en %)</t>
  </si>
  <si>
    <t>Montant du prêt (en €)</t>
  </si>
  <si>
    <t>Phase de préfinancement</t>
  </si>
  <si>
    <t>Durée de préfinancement (en mois)</t>
  </si>
  <si>
    <t>Montant des intérêts de préfinancement(*) (en €)</t>
  </si>
  <si>
    <t>Gestion des intérêts de préfinancement</t>
  </si>
  <si>
    <t>Paiement</t>
  </si>
  <si>
    <t>Phase d'amortissement</t>
  </si>
  <si>
    <t>Durée de la phase d'amortissement (en années)</t>
  </si>
  <si>
    <t>Durée du différé d'amortissement (en mois)</t>
  </si>
  <si>
    <t>Profil d'amortissement</t>
  </si>
  <si>
    <t>Amortissement déduit (intérêts différés)</t>
  </si>
  <si>
    <t>Trimestrielle</t>
  </si>
  <si>
    <t>Index</t>
  </si>
  <si>
    <t>Livret A</t>
  </si>
  <si>
    <t>Marge sur index (en %)</t>
  </si>
  <si>
    <t>Taux d'intérêt (en %)</t>
  </si>
  <si>
    <t>Taux de construction (en %)</t>
  </si>
  <si>
    <t>Modalité de révision</t>
  </si>
  <si>
    <t>DL</t>
  </si>
  <si>
    <t>Taux de progressivité des échéances (en %)</t>
  </si>
  <si>
    <t>Taux de progressivité de l'amortissement (en %)</t>
  </si>
  <si>
    <t xml:space="preserve">(*) calculé sur la base d'un unique versement en date de début de préfinancement </t>
  </si>
  <si>
    <t>SAINT PIERRE</t>
  </si>
  <si>
    <t>Étiquettes de lignes</t>
  </si>
  <si>
    <t>Somme de TEOM+ROLE</t>
  </si>
  <si>
    <t>Somme de TFPB+ROLE</t>
  </si>
  <si>
    <t>SHAB</t>
  </si>
  <si>
    <t>COUT/M² TEOM</t>
  </si>
  <si>
    <t>COUT/M² TFPB</t>
  </si>
  <si>
    <t>Total général</t>
  </si>
  <si>
    <t>Moyenne</t>
  </si>
  <si>
    <t>CROUS</t>
  </si>
  <si>
    <t>Taux</t>
  </si>
  <si>
    <t>Estimation TEOM</t>
  </si>
  <si>
    <t>Estimation TFPB</t>
  </si>
  <si>
    <t>TOTAL IMPOSITION</t>
  </si>
  <si>
    <t>               DÉSIGNATION</t>
  </si>
  <si>
    <t>TAUX €/M² TTC au 01/01/2015 à l'indice 926,80</t>
  </si>
  <si>
    <t>SUPERFICIE</t>
  </si>
  <si>
    <t>PRIME TTC / AN</t>
  </si>
  <si>
    <t>Résidence de Saint-pierre</t>
  </si>
  <si>
    <t>Propriétaire / locataire Occupant et contenu Bureaux SODEGIS et annexes</t>
  </si>
  <si>
    <t>2427 M²</t>
  </si>
  <si>
    <t>Propriétaire Non Occupant (SAS ALAMANDAS BERTAUT - Logements et commerces &amp; Locaux professionnels (Parc Locatif)</t>
  </si>
  <si>
    <t>OS 01/01/2018 - Mise en service : 30/06/2019</t>
  </si>
  <si>
    <t xml:space="preserve">Menuiseries extérieures </t>
  </si>
  <si>
    <t>Révêtement-Finitions</t>
  </si>
  <si>
    <t>Prix de revient</t>
  </si>
  <si>
    <t>Affectat° Subvention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</si>
</sst>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7">
    <numFmt numFmtId="8" formatCode="#,##0.00\ &quot;€&quot;;[Red]\-#,##0.00\ &quot;€&quot;"/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(&quot;$&quot;* #,##0_);_(&quot;$&quot;* \(#,##0\);_(&quot;$&quot;* &quot;-&quot;_);_(@_)"/>
    <numFmt numFmtId="165" formatCode="_(* #,##0_);_(* \(#,##0\);_(* &quot;-&quot;_);_(@_)"/>
    <numFmt numFmtId="166" formatCode="_(&quot;$&quot;* #,##0.00_);_(&quot;$&quot;* \(#,##0.00\);_(&quot;$&quot;* &quot;-&quot;??_);_(@_)"/>
    <numFmt numFmtId="167" formatCode="_(* #,##0.00_);_(* \(#,##0.00\);_(* &quot;-&quot;??_);_(@_)"/>
    <numFmt numFmtId="170" formatCode="0.0%"/>
    <numFmt numFmtId="171" formatCode="#,##0_ ;[Red]\-#,##0\ "/>
    <numFmt numFmtId="174" formatCode="#,##0.00_ ;[Red]\-#,##0.00\ "/>
    <numFmt numFmtId="179" formatCode="_-* #,##0.00\ [$€]_-;\-* #,##0.00\ [$€]_-;_-* &quot;-&quot;??\ [$€]_-;_-@_-"/>
    <numFmt numFmtId="180" formatCode="[Blue]#,##0.00_);[Red]\(#,##0.00\);_-* &quot;-&quot;??_)"/>
    <numFmt numFmtId="181" formatCode="0.00&quot; m²&quot;"/>
    <numFmt numFmtId="182" formatCode="\+\ 0%;&quot;SHT min. !&quot;"/>
    <numFmt numFmtId="183" formatCode="#,##0\ &quot;€&quot;"/>
    <numFmt numFmtId="184" formatCode="#,##0\ &quot;FB&quot;;[Red]\-#,##0\ &quot;FB&quot;"/>
    <numFmt numFmtId="185" formatCode="_-* #,##0\ _F_B_-;\-* #,##0\ _F_B_-;_-* &quot;-&quot;\ _F_B_-;_-@_-"/>
    <numFmt numFmtId="186" formatCode="&quot;$&quot;#,##0_);\(&quot;$&quot;#,##0\)"/>
    <numFmt numFmtId="187" formatCode="&quot;$&quot;#,##0.00_);\(&quot;$&quot;#,##0.00\)"/>
    <numFmt numFmtId="193" formatCode="0.000"/>
    <numFmt numFmtId="195" formatCode="#,##0.00\ &quot;€&quot;"/>
    <numFmt numFmtId="199" formatCode="_-* #,##0.00\ [$€-1]_-;\-* #,##0.00\ [$€-1]_-;_-* &quot;-&quot;??\ [$€-1]_-"/>
    <numFmt numFmtId="201" formatCode="_-* #,##0.00&quot; €&quot;_-;\-* #,##0.00&quot; €&quot;_-;_-* \-??&quot; €&quot;_-;_-@_-"/>
    <numFmt numFmtId="202" formatCode="\ #,##0.00&quot; € &quot;;\-#,##0.00&quot; € &quot;;&quot; -&quot;#&quot; € &quot;;@\ "/>
    <numFmt numFmtId="219" formatCode="0.000%"/>
    <numFmt numFmtId="220" formatCode="#,##0.00&quot; &quot;"/>
    <numFmt numFmtId="221" formatCode="_-* #,##0\ _€_-;\-* #,##0\ _€_-;_-* &quot;-&quot;??\ _€_-;_-@_-"/>
  </numFmts>
  <fonts count="79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name val="Arial"/>
      <family val="2"/>
    </font>
    <font>
      <b/>
      <i/>
      <sz val="10"/>
      <name val="Arial"/>
      <family val="2"/>
    </font>
    <font>
      <sz val="10"/>
      <name val="Arial"/>
      <family val="2"/>
    </font>
    <font>
      <sz val="10"/>
      <name val="Geneva"/>
      <family val="2"/>
    </font>
    <font>
      <sz val="10"/>
      <name val="Arial"/>
      <family val="2"/>
    </font>
    <font>
      <sz val="8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8"/>
      <name val="Tms Rmn"/>
    </font>
    <font>
      <sz val="8"/>
      <name val="Times"/>
      <family val="1"/>
    </font>
    <font>
      <sz val="11"/>
      <color indexed="10"/>
      <name val="Calibri"/>
      <family val="2"/>
    </font>
    <font>
      <b/>
      <sz val="14"/>
      <name val="Times New Roman"/>
      <family val="1"/>
    </font>
    <font>
      <sz val="12"/>
      <name val="Times New Roman"/>
      <family val="1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b/>
      <sz val="10"/>
      <name val="Tms Rmn"/>
    </font>
    <font>
      <sz val="11"/>
      <color indexed="62"/>
      <name val="Calibri"/>
      <family val="2"/>
    </font>
    <font>
      <sz val="9"/>
      <name val="Geneva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0"/>
      <name val="Helv"/>
    </font>
    <font>
      <sz val="8.5"/>
      <name val="LinePrinter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b/>
      <sz val="8"/>
      <name val="Arial"/>
      <family val="2"/>
    </font>
    <font>
      <i/>
      <sz val="8"/>
      <name val="Arial"/>
      <family val="2"/>
    </font>
    <font>
      <b/>
      <i/>
      <sz val="8"/>
      <name val="Arial"/>
      <family val="2"/>
    </font>
    <font>
      <b/>
      <sz val="10"/>
      <color indexed="10"/>
      <name val="Arial"/>
      <family val="2"/>
    </font>
    <font>
      <b/>
      <sz val="9"/>
      <name val="Arial"/>
      <family val="2"/>
    </font>
    <font>
      <sz val="9"/>
      <name val="Arial"/>
      <family val="2"/>
    </font>
    <font>
      <b/>
      <i/>
      <sz val="9"/>
      <name val="Arial"/>
      <family val="2"/>
    </font>
    <font>
      <sz val="10"/>
      <name val="Tahoma"/>
      <family val="2"/>
    </font>
    <font>
      <sz val="10"/>
      <name val="Times New Roman"/>
      <family val="1"/>
    </font>
    <font>
      <b/>
      <sz val="14"/>
      <name val="Times New Roman"/>
      <family val="1"/>
    </font>
    <font>
      <sz val="12"/>
      <name val="Times New Roman"/>
      <family val="1"/>
    </font>
    <font>
      <b/>
      <sz val="14"/>
      <name val="Times New Roman"/>
      <family val="1"/>
    </font>
    <font>
      <sz val="12"/>
      <name val="Times New Roman"/>
      <family val="1"/>
    </font>
    <font>
      <sz val="9"/>
      <color indexed="81"/>
      <name val="Tahoma"/>
      <family val="2"/>
    </font>
    <font>
      <sz val="10"/>
      <name val="Geneva"/>
    </font>
    <font>
      <i/>
      <sz val="9"/>
      <name val="Arial"/>
      <family val="2"/>
    </font>
    <font>
      <sz val="18"/>
      <name val="Times"/>
    </font>
    <font>
      <b/>
      <sz val="10"/>
      <name val="Times"/>
    </font>
    <font>
      <b/>
      <sz val="10"/>
      <color rgb="FFFF0000"/>
      <name val="Arial"/>
      <family val="2"/>
    </font>
    <font>
      <sz val="10"/>
      <color rgb="FFFF0000"/>
      <name val="Arial"/>
      <family val="2"/>
    </font>
    <font>
      <sz val="10"/>
      <color rgb="FF000000"/>
      <name val="Arial"/>
      <family val="2"/>
    </font>
    <font>
      <sz val="11"/>
      <name val="Calibri"/>
      <family val="2"/>
    </font>
    <font>
      <u/>
      <sz val="10"/>
      <color indexed="12"/>
      <name val="Arial"/>
      <family val="2"/>
    </font>
    <font>
      <sz val="10"/>
      <color indexed="8"/>
      <name val="Calibri"/>
      <family val="2"/>
    </font>
    <font>
      <u/>
      <sz val="10"/>
      <color theme="11"/>
      <name val="Arial"/>
      <family val="2"/>
    </font>
    <font>
      <sz val="12"/>
      <name val="Arial Narrow"/>
      <family val="2"/>
    </font>
    <font>
      <b/>
      <sz val="10"/>
      <color theme="0"/>
      <name val="Arial"/>
      <family val="2"/>
    </font>
    <font>
      <sz val="10"/>
      <color theme="0"/>
      <name val="Arial"/>
      <family val="2"/>
    </font>
    <font>
      <b/>
      <sz val="9"/>
      <name val="Arial Narrow"/>
      <family val="2"/>
    </font>
    <font>
      <sz val="9"/>
      <name val="Arial Narrow"/>
      <family val="2"/>
    </font>
    <font>
      <sz val="10"/>
      <name val="Arial"/>
      <family val="2"/>
      <charset val="1"/>
    </font>
    <font>
      <sz val="10"/>
      <color indexed="10"/>
      <name val="Arial"/>
      <family val="2"/>
      <charset val="1"/>
    </font>
    <font>
      <strike/>
      <sz val="10"/>
      <name val="Arial"/>
      <family val="2"/>
    </font>
    <font>
      <b/>
      <sz val="10"/>
      <color rgb="FF000000"/>
      <name val="Arial"/>
      <family val="2"/>
    </font>
    <font>
      <sz val="8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0"/>
      <color rgb="FF000000"/>
      <name val="Times New Roman"/>
      <family val="1"/>
    </font>
    <font>
      <b/>
      <sz val="12"/>
      <color rgb="FF000000"/>
      <name val="Times New Roman"/>
      <family val="1"/>
    </font>
    <font>
      <b/>
      <sz val="12"/>
      <color rgb="FF000000"/>
      <name val="Arial"/>
      <family val="2"/>
    </font>
  </fonts>
  <fills count="42">
    <fill>
      <patternFill patternType="none"/>
    </fill>
    <fill>
      <patternFill patternType="gray125"/>
    </fill>
    <fill>
      <patternFill patternType="solid">
        <fgColor indexed="13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darkGrid"/>
    </fill>
    <fill>
      <patternFill patternType="solid">
        <fgColor indexed="55"/>
      </patternFill>
    </fill>
    <fill>
      <patternFill patternType="solid">
        <fgColor indexed="2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0F0F0"/>
        <bgColor indexed="64"/>
      </patternFill>
    </fill>
    <fill>
      <patternFill patternType="solid">
        <fgColor rgb="FFD6D600"/>
        <bgColor indexed="64"/>
      </patternFill>
    </fill>
    <fill>
      <patternFill patternType="solid">
        <fgColor rgb="FFECECEC"/>
        <bgColor indexed="64"/>
      </patternFill>
    </fill>
    <fill>
      <patternFill patternType="gray0625">
        <bgColor theme="0"/>
      </patternFill>
    </fill>
  </fills>
  <borders count="8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indexed="8"/>
      </right>
      <top/>
      <bottom style="thin">
        <color indexed="8"/>
      </bottom>
      <diagonal/>
    </border>
    <border>
      <left/>
      <right style="thin">
        <color indexed="8"/>
      </right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8"/>
      </bottom>
      <diagonal/>
    </border>
    <border>
      <left/>
      <right style="thin">
        <color indexed="64"/>
      </right>
      <top style="thin">
        <color indexed="64"/>
      </top>
      <bottom style="medium">
        <color indexed="8"/>
      </bottom>
      <diagonal/>
    </border>
    <border>
      <left/>
      <right style="thin">
        <color indexed="64"/>
      </right>
      <top/>
      <bottom style="medium">
        <color indexed="8"/>
      </bottom>
      <diagonal/>
    </border>
    <border>
      <left style="thin">
        <color indexed="64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8"/>
      </right>
      <top style="thin">
        <color indexed="64"/>
      </top>
      <bottom/>
      <diagonal/>
    </border>
    <border>
      <left style="thin">
        <color indexed="8"/>
      </left>
      <right/>
      <top style="thin">
        <color indexed="64"/>
      </top>
      <bottom/>
      <diagonal/>
    </border>
    <border>
      <left/>
      <right style="thin">
        <color indexed="8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8"/>
      </right>
      <top/>
      <bottom/>
      <diagonal/>
    </border>
    <border>
      <left style="thin">
        <color indexed="8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8"/>
      </right>
      <top/>
      <bottom style="thin">
        <color indexed="64"/>
      </bottom>
      <diagonal/>
    </border>
    <border>
      <left style="thin">
        <color indexed="8"/>
      </left>
      <right/>
      <top/>
      <bottom style="thin">
        <color indexed="64"/>
      </bottom>
      <diagonal/>
    </border>
    <border>
      <left/>
      <right style="thin">
        <color indexed="8"/>
      </right>
      <top/>
      <bottom style="thin">
        <color indexed="8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indexed="64"/>
      </left>
      <right style="dotted">
        <color indexed="64"/>
      </right>
      <top/>
      <bottom/>
      <diagonal/>
    </border>
    <border>
      <left style="dotted">
        <color indexed="64"/>
      </left>
      <right style="dotted">
        <color indexed="64"/>
      </right>
      <top/>
      <bottom/>
      <diagonal/>
    </border>
    <border>
      <left style="dotted">
        <color indexed="64"/>
      </left>
      <right/>
      <top/>
      <bottom/>
      <diagonal/>
    </border>
    <border>
      <left style="dotted">
        <color indexed="64"/>
      </left>
      <right style="medium">
        <color indexed="64"/>
      </right>
      <top/>
      <bottom/>
      <diagonal/>
    </border>
    <border>
      <left style="medium">
        <color theme="0" tint="-0.34998626667073579"/>
      </left>
      <right style="thin">
        <color theme="0" tint="-0.34998626667073579"/>
      </right>
      <top style="medium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 style="medium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 style="medium">
        <color theme="0" tint="-0.34998626667073579"/>
      </right>
      <top style="medium">
        <color theme="0" tint="-0.34998626667073579"/>
      </top>
      <bottom style="thin">
        <color theme="0" tint="-0.34998626667073579"/>
      </bottom>
      <diagonal/>
    </border>
    <border>
      <left style="medium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 style="medium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medium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medium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medium">
        <color theme="0" tint="-0.34998626667073579"/>
      </bottom>
      <diagonal/>
    </border>
    <border>
      <left style="thin">
        <color theme="0" tint="-0.34998626667073579"/>
      </left>
      <right style="medium">
        <color theme="0" tint="-0.34998626667073579"/>
      </right>
      <top style="thin">
        <color theme="0" tint="-0.34998626667073579"/>
      </top>
      <bottom style="medium">
        <color theme="0" tint="-0.34998626667073579"/>
      </bottom>
      <diagonal/>
    </border>
    <border>
      <left style="medium">
        <color indexed="64"/>
      </left>
      <right style="thin">
        <color indexed="8"/>
      </right>
      <top style="thin">
        <color indexed="8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64"/>
      </bottom>
      <diagonal/>
    </border>
    <border>
      <left style="thin">
        <color indexed="8"/>
      </left>
      <right style="medium">
        <color indexed="64"/>
      </right>
      <top style="thin">
        <color indexed="8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8"/>
      </top>
      <bottom style="thin">
        <color indexed="64"/>
      </bottom>
      <diagonal/>
    </border>
    <border>
      <left/>
      <right style="thin">
        <color indexed="64"/>
      </right>
      <top style="thin">
        <color indexed="8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273">
    <xf numFmtId="0" fontId="0" fillId="0" borderId="0"/>
    <xf numFmtId="0" fontId="6" fillId="0" borderId="0" applyNumberFormat="0" applyFill="0" applyBorder="0" applyAlignment="0" applyProtection="0"/>
    <xf numFmtId="165" fontId="8" fillId="2" borderId="1" applyFill="0" applyBorder="0" applyAlignment="0" applyProtection="0">
      <alignment horizontal="right" vertical="center"/>
    </xf>
    <xf numFmtId="164" fontId="8" fillId="2" borderId="1" applyFill="0" applyBorder="0" applyAlignment="0" applyProtection="0">
      <alignment horizontal="right" vertical="center"/>
    </xf>
    <xf numFmtId="167" fontId="8" fillId="2" borderId="1" applyFill="0" applyBorder="0" applyAlignment="0" applyProtection="0">
      <alignment horizontal="right" vertical="center"/>
    </xf>
    <xf numFmtId="0" fontId="12" fillId="3" borderId="0" applyNumberFormat="0" applyBorder="0" applyAlignment="0" applyProtection="0"/>
    <xf numFmtId="0" fontId="12" fillId="4" borderId="0" applyNumberFormat="0" applyBorder="0" applyAlignment="0" applyProtection="0"/>
    <xf numFmtId="0" fontId="12" fillId="5" borderId="0" applyNumberFormat="0" applyBorder="0" applyAlignment="0" applyProtection="0"/>
    <xf numFmtId="0" fontId="12" fillId="6" borderId="0" applyNumberFormat="0" applyBorder="0" applyAlignment="0" applyProtection="0"/>
    <xf numFmtId="0" fontId="12" fillId="7" borderId="0" applyNumberFormat="0" applyBorder="0" applyAlignment="0" applyProtection="0"/>
    <xf numFmtId="0" fontId="12" fillId="8" borderId="0" applyNumberFormat="0" applyBorder="0" applyAlignment="0" applyProtection="0"/>
    <xf numFmtId="0" fontId="12" fillId="9" borderId="0" applyNumberFormat="0" applyBorder="0" applyAlignment="0" applyProtection="0"/>
    <xf numFmtId="0" fontId="12" fillId="10" borderId="0" applyNumberFormat="0" applyBorder="0" applyAlignment="0" applyProtection="0"/>
    <xf numFmtId="0" fontId="12" fillId="11" borderId="0" applyNumberFormat="0" applyBorder="0" applyAlignment="0" applyProtection="0"/>
    <xf numFmtId="0" fontId="12" fillId="6" borderId="0" applyNumberFormat="0" applyBorder="0" applyAlignment="0" applyProtection="0"/>
    <xf numFmtId="0" fontId="12" fillId="9" borderId="0" applyNumberFormat="0" applyBorder="0" applyAlignment="0" applyProtection="0"/>
    <xf numFmtId="0" fontId="12" fillId="12" borderId="0" applyNumberFormat="0" applyBorder="0" applyAlignment="0" applyProtection="0"/>
    <xf numFmtId="0" fontId="13" fillId="13" borderId="0" applyNumberFormat="0" applyBorder="0" applyAlignment="0" applyProtection="0"/>
    <xf numFmtId="0" fontId="13" fillId="10" borderId="0" applyNumberFormat="0" applyBorder="0" applyAlignment="0" applyProtection="0"/>
    <xf numFmtId="0" fontId="13" fillId="11" borderId="0" applyNumberFormat="0" applyBorder="0" applyAlignment="0" applyProtection="0"/>
    <xf numFmtId="0" fontId="13" fillId="14" borderId="0" applyNumberFormat="0" applyBorder="0" applyAlignment="0" applyProtection="0"/>
    <xf numFmtId="0" fontId="13" fillId="15" borderId="0" applyNumberFormat="0" applyBorder="0" applyAlignment="0" applyProtection="0"/>
    <xf numFmtId="0" fontId="13" fillId="16" borderId="0" applyNumberFormat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53" fillId="0" borderId="0" applyNumberFormat="0" applyFill="0" applyBorder="0" applyAlignment="0" applyProtection="0"/>
    <xf numFmtId="3" fontId="15" fillId="0" borderId="0" applyFill="0" applyBorder="0" applyProtection="0">
      <alignment horizontal="center"/>
    </xf>
    <xf numFmtId="0" fontId="13" fillId="17" borderId="0" applyNumberFormat="0" applyBorder="0" applyAlignment="0" applyProtection="0"/>
    <xf numFmtId="0" fontId="13" fillId="18" borderId="0" applyNumberFormat="0" applyBorder="0" applyAlignment="0" applyProtection="0"/>
    <xf numFmtId="0" fontId="13" fillId="19" borderId="0" applyNumberFormat="0" applyBorder="0" applyAlignment="0" applyProtection="0"/>
    <xf numFmtId="0" fontId="13" fillId="14" borderId="0" applyNumberFormat="0" applyBorder="0" applyAlignment="0" applyProtection="0"/>
    <xf numFmtId="0" fontId="13" fillId="15" borderId="0" applyNumberFormat="0" applyBorder="0" applyAlignment="0" applyProtection="0"/>
    <xf numFmtId="0" fontId="13" fillId="20" borderId="0" applyNumberFormat="0" applyBorder="0" applyAlignment="0" applyProtection="0"/>
    <xf numFmtId="0" fontId="16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>
      <alignment horizontal="right"/>
    </xf>
    <xf numFmtId="0" fontId="18" fillId="0" borderId="0" applyNumberFormat="0" applyFill="0" applyBorder="0" applyAlignment="0" applyProtection="0">
      <alignment horizontal="right"/>
    </xf>
    <xf numFmtId="0" fontId="49" fillId="0" borderId="0" applyNumberFormat="0" applyFill="0" applyBorder="0" applyAlignment="0" applyProtection="0">
      <alignment horizontal="right"/>
    </xf>
    <xf numFmtId="0" fontId="47" fillId="0" borderId="0" applyNumberFormat="0" applyFill="0" applyBorder="0" applyAlignment="0" applyProtection="0">
      <alignment horizontal="right"/>
    </xf>
    <xf numFmtId="0" fontId="18" fillId="0" borderId="0" applyNumberFormat="0" applyFill="0" applyBorder="0" applyAlignment="0" applyProtection="0">
      <alignment horizontal="right"/>
    </xf>
    <xf numFmtId="0" fontId="18" fillId="0" borderId="0" applyNumberFormat="0" applyFill="0" applyBorder="0" applyAlignment="0" applyProtection="0">
      <alignment horizontal="right"/>
    </xf>
    <xf numFmtId="0" fontId="18" fillId="0" borderId="0" applyNumberFormat="0" applyFill="0" applyBorder="0" applyAlignment="0" applyProtection="0">
      <alignment horizontal="right"/>
    </xf>
    <xf numFmtId="0" fontId="18" fillId="0" borderId="0" applyNumberFormat="0" applyFill="0" applyBorder="0" applyAlignment="0" applyProtection="0">
      <alignment horizontal="right"/>
    </xf>
    <xf numFmtId="0" fontId="18" fillId="0" borderId="0" applyNumberFormat="0" applyFill="0" applyBorder="0" applyAlignment="0" applyProtection="0">
      <alignment horizontal="right"/>
    </xf>
    <xf numFmtId="0" fontId="18" fillId="0" borderId="0" applyNumberFormat="0" applyFill="0" applyBorder="0" applyAlignment="0" applyProtection="0">
      <alignment horizontal="right"/>
    </xf>
    <xf numFmtId="0" fontId="18" fillId="0" borderId="0" applyNumberFormat="0" applyFill="0" applyBorder="0" applyAlignment="0" applyProtection="0">
      <alignment horizontal="right"/>
    </xf>
    <xf numFmtId="0" fontId="18" fillId="0" borderId="0" applyNumberFormat="0" applyFill="0" applyBorder="0" applyAlignment="0" applyProtection="0">
      <alignment horizontal="right"/>
    </xf>
    <xf numFmtId="0" fontId="49" fillId="0" borderId="0" applyNumberFormat="0" applyFill="0" applyBorder="0" applyAlignment="0" applyProtection="0">
      <alignment horizontal="right"/>
    </xf>
    <xf numFmtId="0" fontId="18" fillId="0" borderId="0" applyNumberFormat="0" applyFill="0" applyBorder="0" applyAlignment="0" applyProtection="0">
      <alignment horizontal="right"/>
    </xf>
    <xf numFmtId="0" fontId="18" fillId="0" borderId="0" applyNumberFormat="0" applyFill="0" applyBorder="0" applyAlignment="0" applyProtection="0">
      <alignment horizontal="right"/>
    </xf>
    <xf numFmtId="0" fontId="18" fillId="0" borderId="0" applyNumberFormat="0" applyFill="0" applyBorder="0" applyAlignment="0" applyProtection="0">
      <alignment horizontal="right"/>
    </xf>
    <xf numFmtId="0" fontId="18" fillId="0" borderId="0" applyNumberFormat="0" applyFill="0" applyBorder="0" applyAlignment="0" applyProtection="0">
      <alignment horizontal="right"/>
    </xf>
    <xf numFmtId="0" fontId="47" fillId="0" borderId="0" applyNumberFormat="0" applyFill="0" applyBorder="0" applyAlignment="0" applyProtection="0">
      <alignment horizontal="right"/>
    </xf>
    <xf numFmtId="0" fontId="18" fillId="0" borderId="0" applyNumberFormat="0" applyFill="0" applyBorder="0" applyAlignment="0" applyProtection="0">
      <alignment horizontal="right"/>
    </xf>
    <xf numFmtId="0" fontId="18" fillId="0" borderId="0" applyNumberFormat="0" applyFill="0" applyBorder="0" applyAlignment="0" applyProtection="0">
      <alignment horizontal="right"/>
    </xf>
    <xf numFmtId="0" fontId="18" fillId="0" borderId="0" applyNumberFormat="0" applyFill="0" applyBorder="0" applyAlignment="0" applyProtection="0">
      <alignment horizontal="right"/>
    </xf>
    <xf numFmtId="0" fontId="18" fillId="0" borderId="0" applyNumberFormat="0" applyFill="0" applyBorder="0" applyAlignment="0" applyProtection="0">
      <alignment horizontal="right"/>
    </xf>
    <xf numFmtId="0" fontId="18" fillId="0" borderId="0" applyNumberFormat="0" applyFill="0" applyBorder="0" applyAlignment="0" applyProtection="0">
      <alignment horizontal="right"/>
    </xf>
    <xf numFmtId="0" fontId="18" fillId="0" borderId="0" applyNumberFormat="0" applyFill="0" applyBorder="0" applyAlignment="0" applyProtection="0">
      <alignment horizontal="right"/>
    </xf>
    <xf numFmtId="0" fontId="18" fillId="0" borderId="0" applyNumberFormat="0" applyFill="0" applyBorder="0" applyAlignment="0" applyProtection="0">
      <alignment horizontal="right"/>
    </xf>
    <xf numFmtId="0" fontId="18" fillId="0" borderId="0" applyNumberFormat="0" applyFill="0" applyBorder="0" applyAlignment="0" applyProtection="0">
      <alignment horizontal="right"/>
    </xf>
    <xf numFmtId="0" fontId="18" fillId="0" borderId="0" applyNumberFormat="0" applyFill="0" applyBorder="0" applyAlignment="0" applyProtection="0">
      <alignment horizontal="right"/>
    </xf>
    <xf numFmtId="0" fontId="49" fillId="0" borderId="0" applyNumberFormat="0" applyFill="0" applyBorder="0" applyAlignment="0" applyProtection="0">
      <alignment horizontal="right"/>
    </xf>
    <xf numFmtId="0" fontId="18" fillId="0" borderId="0" applyNumberFormat="0" applyFill="0" applyBorder="0" applyAlignment="0" applyProtection="0">
      <alignment horizontal="right"/>
    </xf>
    <xf numFmtId="0" fontId="18" fillId="0" borderId="0" applyNumberFormat="0" applyFill="0" applyBorder="0" applyAlignment="0" applyProtection="0">
      <alignment horizontal="right"/>
    </xf>
    <xf numFmtId="0" fontId="18" fillId="0" borderId="0" applyNumberFormat="0" applyFill="0" applyBorder="0" applyAlignment="0" applyProtection="0">
      <alignment horizontal="right"/>
    </xf>
    <xf numFmtId="0" fontId="18" fillId="0" borderId="0" applyNumberFormat="0" applyFill="0" applyBorder="0" applyAlignment="0" applyProtection="0">
      <alignment horizontal="right"/>
    </xf>
    <xf numFmtId="0" fontId="18" fillId="0" borderId="0" applyNumberFormat="0" applyFill="0" applyBorder="0" applyAlignment="0" applyProtection="0">
      <alignment horizontal="right"/>
    </xf>
    <xf numFmtId="0" fontId="18" fillId="0" borderId="0" applyNumberFormat="0" applyFill="0" applyBorder="0" applyAlignment="0" applyProtection="0">
      <alignment horizontal="right"/>
    </xf>
    <xf numFmtId="0" fontId="49" fillId="0" borderId="0" applyNumberFormat="0" applyFill="0" applyBorder="0" applyAlignment="0" applyProtection="0">
      <alignment horizontal="right"/>
    </xf>
    <xf numFmtId="0" fontId="49" fillId="0" borderId="0" applyNumberFormat="0" applyFill="0" applyBorder="0" applyAlignment="0" applyProtection="0">
      <alignment horizontal="right"/>
    </xf>
    <xf numFmtId="0" fontId="49" fillId="0" borderId="0" applyNumberFormat="0" applyFill="0" applyBorder="0" applyAlignment="0" applyProtection="0">
      <alignment horizontal="right"/>
    </xf>
    <xf numFmtId="0" fontId="49" fillId="0" borderId="0" applyNumberFormat="0" applyFill="0" applyBorder="0" applyAlignment="0" applyProtection="0">
      <alignment horizontal="right"/>
    </xf>
    <xf numFmtId="0" fontId="47" fillId="0" borderId="0" applyNumberFormat="0" applyFill="0" applyBorder="0" applyAlignment="0" applyProtection="0">
      <alignment horizontal="right"/>
    </xf>
    <xf numFmtId="0" fontId="49" fillId="0" borderId="0" applyNumberFormat="0" applyFill="0" applyBorder="0" applyAlignment="0" applyProtection="0">
      <alignment horizontal="right"/>
    </xf>
    <xf numFmtId="0" fontId="18" fillId="0" borderId="0" applyNumberFormat="0" applyFill="0" applyBorder="0" applyAlignment="0" applyProtection="0">
      <alignment horizontal="right"/>
    </xf>
    <xf numFmtId="0" fontId="18" fillId="0" borderId="0" applyNumberFormat="0" applyFill="0" applyBorder="0" applyAlignment="0" applyProtection="0">
      <alignment horizontal="right"/>
    </xf>
    <xf numFmtId="0" fontId="18" fillId="0" borderId="0" applyNumberFormat="0" applyFill="0" applyBorder="0" applyAlignment="0" applyProtection="0">
      <alignment horizontal="right"/>
    </xf>
    <xf numFmtId="0" fontId="18" fillId="0" borderId="0" applyNumberFormat="0" applyFill="0" applyBorder="0" applyAlignment="0" applyProtection="0">
      <alignment horizontal="right"/>
    </xf>
    <xf numFmtId="0" fontId="18" fillId="0" borderId="0" applyNumberFormat="0" applyFill="0" applyBorder="0" applyAlignment="0" applyProtection="0">
      <alignment horizontal="right"/>
    </xf>
    <xf numFmtId="0" fontId="18" fillId="0" borderId="0" applyNumberFormat="0" applyFill="0" applyBorder="0" applyAlignment="0" applyProtection="0">
      <alignment horizontal="right"/>
    </xf>
    <xf numFmtId="0" fontId="18" fillId="0" borderId="0" applyNumberFormat="0" applyFill="0" applyBorder="0" applyAlignment="0" applyProtection="0">
      <alignment horizontal="right"/>
    </xf>
    <xf numFmtId="0" fontId="18" fillId="0" borderId="0" applyNumberFormat="0" applyFill="0" applyBorder="0" applyAlignment="0" applyProtection="0">
      <alignment horizontal="right"/>
    </xf>
    <xf numFmtId="0" fontId="18" fillId="0" borderId="0" applyNumberFormat="0" applyFill="0" applyBorder="0" applyAlignment="0" applyProtection="0">
      <alignment horizontal="right"/>
    </xf>
    <xf numFmtId="0" fontId="49" fillId="0" borderId="0" applyNumberFormat="0" applyFill="0" applyBorder="0" applyAlignment="0" applyProtection="0">
      <alignment horizontal="right"/>
    </xf>
    <xf numFmtId="0" fontId="18" fillId="0" borderId="0" applyNumberFormat="0" applyFill="0" applyBorder="0" applyAlignment="0" applyProtection="0">
      <alignment horizontal="right"/>
    </xf>
    <xf numFmtId="0" fontId="18" fillId="0" borderId="0" applyNumberFormat="0" applyFill="0" applyBorder="0" applyAlignment="0" applyProtection="0">
      <alignment horizontal="right"/>
    </xf>
    <xf numFmtId="0" fontId="18" fillId="0" borderId="0" applyNumberFormat="0" applyFill="0" applyBorder="0" applyAlignment="0" applyProtection="0">
      <alignment horizontal="right"/>
    </xf>
    <xf numFmtId="0" fontId="18" fillId="0" borderId="0" applyNumberFormat="0" applyFill="0" applyBorder="0" applyAlignment="0" applyProtection="0">
      <alignment horizontal="right"/>
    </xf>
    <xf numFmtId="0" fontId="18" fillId="0" borderId="0" applyNumberFormat="0" applyFill="0" applyBorder="0" applyAlignment="0" applyProtection="0">
      <alignment horizontal="right"/>
    </xf>
    <xf numFmtId="0" fontId="19" fillId="21" borderId="2" applyNumberFormat="0" applyAlignment="0" applyProtection="0"/>
    <xf numFmtId="0" fontId="20" fillId="0" borderId="3" applyNumberFormat="0" applyFill="0" applyAlignment="0" applyProtection="0"/>
    <xf numFmtId="165" fontId="8" fillId="0" borderId="0" applyFont="0" applyFill="0" applyBorder="0" applyAlignment="0" applyProtection="0"/>
    <xf numFmtId="167" fontId="8" fillId="0" borderId="0" applyFont="0" applyFill="0" applyBorder="0" applyAlignment="0" applyProtection="0"/>
    <xf numFmtId="0" fontId="10" fillId="22" borderId="4" applyNumberFormat="0" applyFont="0" applyAlignment="0" applyProtection="0"/>
    <xf numFmtId="164" fontId="8" fillId="0" borderId="0" applyFont="0" applyFill="0" applyBorder="0" applyAlignment="0" applyProtection="0"/>
    <xf numFmtId="166" fontId="8" fillId="0" borderId="0" applyFont="0" applyFill="0" applyBorder="0" applyAlignment="0" applyProtection="0"/>
    <xf numFmtId="3" fontId="21" fillId="0" borderId="5" applyFill="0">
      <alignment horizontal="right"/>
    </xf>
    <xf numFmtId="3" fontId="21" fillId="0" borderId="5" applyFill="0">
      <alignment horizontal="right"/>
    </xf>
    <xf numFmtId="3" fontId="54" fillId="0" borderId="5" applyFill="0">
      <alignment horizontal="right"/>
    </xf>
    <xf numFmtId="0" fontId="8" fillId="2" borderId="1" applyNumberFormat="0" applyProtection="0">
      <alignment horizontal="right" vertical="center"/>
    </xf>
    <xf numFmtId="2" fontId="21" fillId="0" borderId="5" applyFill="0" applyProtection="0">
      <alignment horizontal="right"/>
    </xf>
    <xf numFmtId="2" fontId="21" fillId="0" borderId="5" applyFill="0" applyProtection="0">
      <alignment horizontal="right"/>
    </xf>
    <xf numFmtId="2" fontId="54" fillId="0" borderId="5" applyFill="0" applyProtection="0">
      <alignment horizontal="right"/>
    </xf>
    <xf numFmtId="0" fontId="22" fillId="8" borderId="2" applyNumberFormat="0" applyAlignment="0" applyProtection="0"/>
    <xf numFmtId="179" fontId="8" fillId="0" borderId="0" applyFont="0" applyFill="0" applyBorder="0" applyAlignment="0" applyProtection="0"/>
    <xf numFmtId="182" fontId="10" fillId="0" borderId="0" applyFont="0" applyFill="0" applyBorder="0" applyAlignment="0" applyProtection="0"/>
    <xf numFmtId="199" fontId="8" fillId="0" borderId="0" applyFont="0" applyFill="0" applyBorder="0" applyAlignment="0" applyProtection="0"/>
    <xf numFmtId="0" fontId="21" fillId="0" borderId="6" applyNumberFormat="0" applyAlignment="0" applyProtection="0">
      <alignment horizontal="right"/>
    </xf>
    <xf numFmtId="0" fontId="21" fillId="0" borderId="6" applyNumberFormat="0" applyAlignment="0" applyProtection="0">
      <alignment horizontal="right"/>
    </xf>
    <xf numFmtId="0" fontId="54" fillId="0" borderId="6" applyNumberFormat="0" applyAlignment="0" applyProtection="0">
      <alignment horizontal="right"/>
    </xf>
    <xf numFmtId="3" fontId="21" fillId="0" borderId="6" applyProtection="0">
      <alignment horizontal="right"/>
    </xf>
    <xf numFmtId="3" fontId="21" fillId="0" borderId="6" applyProtection="0">
      <alignment horizontal="right"/>
    </xf>
    <xf numFmtId="3" fontId="54" fillId="0" borderId="6" applyProtection="0">
      <alignment horizontal="right"/>
    </xf>
    <xf numFmtId="2" fontId="23" fillId="21" borderId="7">
      <alignment horizontal="center"/>
    </xf>
    <xf numFmtId="10" fontId="21" fillId="0" borderId="5" applyFill="0" applyProtection="0">
      <alignment horizontal="center"/>
    </xf>
    <xf numFmtId="187" fontId="8" fillId="0" borderId="1" applyFill="0" applyBorder="0" applyAlignment="0" applyProtection="0"/>
    <xf numFmtId="10" fontId="21" fillId="0" borderId="5" applyFill="0" applyProtection="0">
      <alignment horizontal="center"/>
    </xf>
    <xf numFmtId="10" fontId="54" fillId="0" borderId="5" applyFill="0" applyProtection="0">
      <alignment horizontal="center"/>
    </xf>
    <xf numFmtId="186" fontId="8" fillId="0" borderId="1" applyFill="0" applyBorder="0" applyAlignment="0" applyProtection="0"/>
    <xf numFmtId="0" fontId="24" fillId="4" borderId="0" applyNumberFormat="0" applyBorder="0" applyAlignment="0" applyProtection="0"/>
    <xf numFmtId="185" fontId="8" fillId="2" borderId="1" applyFill="0" applyBorder="0" applyAlignment="0" applyProtection="0">
      <alignment horizontal="center"/>
    </xf>
    <xf numFmtId="181" fontId="10" fillId="0" borderId="0" applyFont="0" applyFill="0" applyBorder="0" applyAlignment="0" applyProtection="0"/>
    <xf numFmtId="181" fontId="10" fillId="0" borderId="0" applyFont="0" applyFill="0" applyBorder="0" applyAlignment="0" applyProtection="0"/>
    <xf numFmtId="43" fontId="8" fillId="0" borderId="0" applyFont="0" applyFill="0" applyBorder="0" applyAlignment="0" applyProtection="0"/>
    <xf numFmtId="181" fontId="10" fillId="0" borderId="0" applyFont="0" applyFill="0" applyBorder="0" applyAlignment="0" applyProtection="0"/>
    <xf numFmtId="181" fontId="10" fillId="0" borderId="0" applyFont="0" applyFill="0" applyBorder="0" applyAlignment="0" applyProtection="0"/>
    <xf numFmtId="181" fontId="10" fillId="0" borderId="0" applyFont="0" applyFill="0" applyBorder="0" applyAlignment="0" applyProtection="0"/>
    <xf numFmtId="181" fontId="10" fillId="0" borderId="0" applyFont="0" applyFill="0" applyBorder="0" applyAlignment="0" applyProtection="0"/>
    <xf numFmtId="181" fontId="10" fillId="0" borderId="0" applyFont="0" applyFill="0" applyBorder="0" applyAlignment="0" applyProtection="0"/>
    <xf numFmtId="181" fontId="10" fillId="0" borderId="0" applyFont="0" applyFill="0" applyBorder="0" applyAlignment="0" applyProtection="0"/>
    <xf numFmtId="181" fontId="10" fillId="0" borderId="0" applyFont="0" applyFill="0" applyBorder="0" applyAlignment="0" applyProtection="0"/>
    <xf numFmtId="181" fontId="10" fillId="0" borderId="0" applyFont="0" applyFill="0" applyBorder="0" applyAlignment="0" applyProtection="0"/>
    <xf numFmtId="184" fontId="8" fillId="2" borderId="1" applyFill="0" applyBorder="0" applyAlignment="0" applyProtection="0">
      <alignment horizontal="center"/>
    </xf>
    <xf numFmtId="180" fontId="10" fillId="0" borderId="0" applyFont="0" applyFill="0" applyBorder="0" applyAlignment="0" applyProtection="0"/>
    <xf numFmtId="180" fontId="10" fillId="0" borderId="0" applyFont="0" applyFill="0" applyBorder="0" applyAlignment="0" applyProtection="0"/>
    <xf numFmtId="180" fontId="10" fillId="0" borderId="0" applyFont="0" applyFill="0" applyBorder="0" applyAlignment="0" applyProtection="0"/>
    <xf numFmtId="180" fontId="10" fillId="0" borderId="0" applyFont="0" applyFill="0" applyBorder="0" applyAlignment="0" applyProtection="0"/>
    <xf numFmtId="180" fontId="10" fillId="0" borderId="0" applyFont="0" applyFill="0" applyBorder="0" applyAlignment="0" applyProtection="0"/>
    <xf numFmtId="180" fontId="10" fillId="0" borderId="0" applyFont="0" applyFill="0" applyBorder="0" applyAlignment="0" applyProtection="0"/>
    <xf numFmtId="0" fontId="25" fillId="23" borderId="0" applyNumberFormat="0" applyBorder="0" applyAlignment="0" applyProtection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8" fillId="0" borderId="0"/>
    <xf numFmtId="0" fontId="10" fillId="0" borderId="0"/>
    <xf numFmtId="0" fontId="10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45" fillId="0" borderId="0"/>
    <xf numFmtId="9" fontId="8" fillId="0" borderId="0" applyFont="0" applyFill="0" applyBorder="0" applyAlignment="0" applyProtection="0"/>
    <xf numFmtId="9" fontId="10" fillId="0" borderId="0" applyFont="0" applyFill="0" applyBorder="0" applyAlignment="0" applyProtection="0"/>
    <xf numFmtId="9" fontId="8" fillId="0" borderId="0" applyFont="0" applyFill="0" applyBorder="0" applyAlignment="0" applyProtection="0"/>
    <xf numFmtId="9" fontId="10" fillId="0" borderId="0" applyFont="0" applyFill="0" applyBorder="0" applyAlignment="0" applyProtection="0"/>
    <xf numFmtId="0" fontId="27" fillId="0" borderId="0" applyNumberFormat="0" applyFill="0" applyBorder="0" applyAlignment="0" applyProtection="0"/>
    <xf numFmtId="0" fontId="8" fillId="24" borderId="1"/>
    <xf numFmtId="0" fontId="28" fillId="5" borderId="0" applyNumberFormat="0" applyBorder="0" applyAlignment="0" applyProtection="0"/>
    <xf numFmtId="0" fontId="29" fillId="21" borderId="8" applyNumberFormat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2" fillId="0" borderId="9" applyNumberFormat="0" applyFill="0" applyAlignment="0" applyProtection="0"/>
    <xf numFmtId="0" fontId="33" fillId="0" borderId="10" applyNumberFormat="0" applyFill="0" applyAlignment="0" applyProtection="0"/>
    <xf numFmtId="0" fontId="34" fillId="0" borderId="11" applyNumberFormat="0" applyFill="0" applyAlignment="0" applyProtection="0"/>
    <xf numFmtId="0" fontId="34" fillId="0" borderId="0" applyNumberFormat="0" applyFill="0" applyBorder="0" applyAlignment="0" applyProtection="0"/>
    <xf numFmtId="0" fontId="35" fillId="0" borderId="12" applyNumberFormat="0" applyFill="0" applyAlignment="0" applyProtection="0"/>
    <xf numFmtId="0" fontId="36" fillId="25" borderId="13" applyNumberFormat="0" applyAlignment="0" applyProtection="0"/>
    <xf numFmtId="0" fontId="53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>
      <alignment horizontal="right"/>
    </xf>
    <xf numFmtId="0" fontId="18" fillId="0" borderId="0" applyNumberFormat="0" applyFill="0" applyBorder="0" applyAlignment="0" applyProtection="0">
      <alignment horizontal="right"/>
    </xf>
    <xf numFmtId="0" fontId="18" fillId="0" borderId="0" applyNumberFormat="0" applyFill="0" applyBorder="0" applyAlignment="0" applyProtection="0">
      <alignment horizontal="right"/>
    </xf>
    <xf numFmtId="0" fontId="18" fillId="0" borderId="0" applyNumberFormat="0" applyFill="0" applyBorder="0" applyAlignment="0" applyProtection="0">
      <alignment horizontal="right"/>
    </xf>
    <xf numFmtId="0" fontId="18" fillId="0" borderId="0" applyNumberFormat="0" applyFill="0" applyBorder="0" applyAlignment="0" applyProtection="0">
      <alignment horizontal="right"/>
    </xf>
    <xf numFmtId="0" fontId="18" fillId="0" borderId="0" applyNumberFormat="0" applyFill="0" applyBorder="0" applyAlignment="0" applyProtection="0">
      <alignment horizontal="right"/>
    </xf>
    <xf numFmtId="3" fontId="54" fillId="0" borderId="27" applyFill="0">
      <alignment horizontal="right"/>
    </xf>
    <xf numFmtId="2" fontId="54" fillId="0" borderId="27" applyFill="0" applyProtection="0">
      <alignment horizontal="right"/>
    </xf>
    <xf numFmtId="201" fontId="8" fillId="0" borderId="0" applyFill="0" applyBorder="0" applyAlignment="0" applyProtection="0"/>
    <xf numFmtId="0" fontId="54" fillId="0" borderId="6" applyNumberFormat="0" applyAlignment="0" applyProtection="0">
      <alignment horizontal="right"/>
    </xf>
    <xf numFmtId="3" fontId="54" fillId="0" borderId="6" applyProtection="0">
      <alignment horizontal="right"/>
    </xf>
    <xf numFmtId="10" fontId="54" fillId="0" borderId="27" applyFill="0" applyProtection="0">
      <alignment horizontal="center"/>
    </xf>
    <xf numFmtId="201" fontId="8" fillId="0" borderId="0" applyFill="0" applyBorder="0" applyAlignment="0" applyProtection="0"/>
    <xf numFmtId="166" fontId="8" fillId="0" borderId="0" applyFont="0" applyFill="0" applyBorder="0" applyAlignment="0" applyProtection="0"/>
    <xf numFmtId="202" fontId="8" fillId="0" borderId="0" applyFill="0" applyBorder="0" applyAlignment="0" applyProtection="0"/>
    <xf numFmtId="202" fontId="8" fillId="0" borderId="0" applyFill="0" applyBorder="0" applyAlignment="0" applyProtection="0"/>
    <xf numFmtId="0" fontId="5" fillId="0" borderId="0"/>
    <xf numFmtId="0" fontId="4" fillId="0" borderId="0"/>
    <xf numFmtId="0" fontId="3" fillId="0" borderId="0"/>
    <xf numFmtId="0" fontId="2" fillId="0" borderId="0"/>
    <xf numFmtId="0" fontId="1" fillId="0" borderId="0"/>
    <xf numFmtId="0" fontId="59" fillId="0" borderId="0" applyNumberFormat="0" applyFill="0" applyBorder="0" applyAlignment="0" applyProtection="0">
      <alignment vertical="top"/>
      <protection locked="0"/>
    </xf>
    <xf numFmtId="44" fontId="8" fillId="0" borderId="0" applyFon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>
      <alignment horizontal="right"/>
    </xf>
    <xf numFmtId="0" fontId="18" fillId="0" borderId="0" applyNumberFormat="0" applyFill="0" applyBorder="0" applyAlignment="0" applyProtection="0">
      <alignment horizontal="right"/>
    </xf>
    <xf numFmtId="0" fontId="18" fillId="0" borderId="0" applyNumberFormat="0" applyFill="0" applyBorder="0" applyAlignment="0" applyProtection="0">
      <alignment horizontal="right"/>
    </xf>
    <xf numFmtId="43" fontId="60" fillId="0" borderId="0" applyFont="0" applyFill="0" applyBorder="0" applyAlignment="0" applyProtection="0"/>
    <xf numFmtId="0" fontId="8" fillId="0" borderId="0"/>
    <xf numFmtId="9" fontId="8" fillId="0" borderId="0" applyFont="0" applyFill="0" applyBorder="0" applyAlignment="0" applyProtection="0"/>
    <xf numFmtId="0" fontId="61" fillId="0" borderId="0" applyNumberFormat="0" applyFill="0" applyBorder="0" applyAlignment="0" applyProtection="0"/>
    <xf numFmtId="0" fontId="61" fillId="0" borderId="0" applyNumberFormat="0" applyFill="0" applyBorder="0" applyAlignment="0" applyProtection="0"/>
    <xf numFmtId="0" fontId="61" fillId="0" borderId="0" applyNumberFormat="0" applyFill="0" applyBorder="0" applyAlignment="0" applyProtection="0"/>
    <xf numFmtId="0" fontId="61" fillId="0" borderId="0" applyNumberFormat="0" applyFill="0" applyBorder="0" applyAlignment="0" applyProtection="0"/>
    <xf numFmtId="0" fontId="61" fillId="0" borderId="0" applyNumberFormat="0" applyFill="0" applyBorder="0" applyAlignment="0" applyProtection="0"/>
    <xf numFmtId="14" fontId="42" fillId="0" borderId="1">
      <alignment horizontal="right"/>
    </xf>
  </cellStyleXfs>
  <cellXfs count="706">
    <xf numFmtId="0" fontId="0" fillId="0" borderId="0" xfId="0"/>
    <xf numFmtId="0" fontId="8" fillId="0" borderId="0" xfId="203"/>
    <xf numFmtId="0" fontId="8" fillId="0" borderId="0" xfId="203" applyFont="1"/>
    <xf numFmtId="4" fontId="8" fillId="0" borderId="0" xfId="203" applyNumberFormat="1"/>
    <xf numFmtId="0" fontId="11" fillId="0" borderId="0" xfId="203" applyFont="1"/>
    <xf numFmtId="0" fontId="8" fillId="0" borderId="0" xfId="203" applyBorder="1"/>
    <xf numFmtId="0" fontId="8" fillId="0" borderId="0" xfId="203" applyAlignment="1">
      <alignment horizontal="center"/>
    </xf>
    <xf numFmtId="0" fontId="8" fillId="0" borderId="0" xfId="203" applyFont="1" applyFill="1" applyBorder="1"/>
    <xf numFmtId="0" fontId="8" fillId="0" borderId="0" xfId="203" applyFont="1" applyFill="1"/>
    <xf numFmtId="0" fontId="6" fillId="0" borderId="0" xfId="203" applyFont="1" applyAlignment="1">
      <alignment horizontal="center"/>
    </xf>
    <xf numFmtId="43" fontId="0" fillId="0" borderId="0" xfId="178" applyFont="1"/>
    <xf numFmtId="43" fontId="8" fillId="0" borderId="0" xfId="203" applyNumberFormat="1"/>
    <xf numFmtId="0" fontId="6" fillId="0" borderId="0" xfId="203" applyFont="1"/>
    <xf numFmtId="0" fontId="8" fillId="0" borderId="0" xfId="203" applyFont="1" applyAlignment="1">
      <alignment horizontal="center"/>
    </xf>
    <xf numFmtId="0" fontId="8" fillId="0" borderId="0" xfId="203" applyFill="1"/>
    <xf numFmtId="0" fontId="11" fillId="33" borderId="0" xfId="203" applyFont="1" applyFill="1"/>
    <xf numFmtId="0" fontId="8" fillId="33" borderId="0" xfId="203" applyFont="1" applyFill="1"/>
    <xf numFmtId="0" fontId="37" fillId="33" borderId="1" xfId="203" applyFont="1" applyFill="1" applyBorder="1"/>
    <xf numFmtId="0" fontId="37" fillId="33" borderId="1" xfId="203" applyFont="1" applyFill="1" applyBorder="1" applyAlignment="1">
      <alignment horizontal="center"/>
    </xf>
    <xf numFmtId="0" fontId="42" fillId="33" borderId="0" xfId="203" applyFont="1" applyFill="1"/>
    <xf numFmtId="0" fontId="41" fillId="33" borderId="0" xfId="203" applyFont="1" applyFill="1"/>
    <xf numFmtId="0" fontId="39" fillId="33" borderId="0" xfId="203" applyFont="1" applyFill="1" applyBorder="1"/>
    <xf numFmtId="0" fontId="39" fillId="33" borderId="0" xfId="203" applyFont="1" applyFill="1"/>
    <xf numFmtId="9" fontId="39" fillId="33" borderId="0" xfId="212" applyFont="1" applyFill="1"/>
    <xf numFmtId="0" fontId="43" fillId="33" borderId="0" xfId="203" applyFont="1" applyFill="1"/>
    <xf numFmtId="0" fontId="11" fillId="33" borderId="29" xfId="203" applyFont="1" applyFill="1" applyBorder="1"/>
    <xf numFmtId="3" fontId="11" fillId="34" borderId="31" xfId="203" applyNumberFormat="1" applyFont="1" applyFill="1" applyBorder="1"/>
    <xf numFmtId="3" fontId="11" fillId="33" borderId="31" xfId="203" applyNumberFormat="1" applyFont="1" applyFill="1" applyBorder="1"/>
    <xf numFmtId="3" fontId="52" fillId="33" borderId="0" xfId="203" applyNumberFormat="1" applyFont="1" applyFill="1"/>
    <xf numFmtId="0" fontId="38" fillId="33" borderId="33" xfId="203" applyFont="1" applyFill="1" applyBorder="1"/>
    <xf numFmtId="3" fontId="38" fillId="34" borderId="32" xfId="203" applyNumberFormat="1" applyFont="1" applyFill="1" applyBorder="1"/>
    <xf numFmtId="3" fontId="38" fillId="33" borderId="32" xfId="203" applyNumberFormat="1" applyFont="1" applyFill="1" applyBorder="1"/>
    <xf numFmtId="0" fontId="52" fillId="33" borderId="0" xfId="203" applyFont="1" applyFill="1"/>
    <xf numFmtId="0" fontId="11" fillId="33" borderId="33" xfId="203" applyFont="1" applyFill="1" applyBorder="1"/>
    <xf numFmtId="3" fontId="11" fillId="34" borderId="32" xfId="203" applyNumberFormat="1" applyFont="1" applyFill="1" applyBorder="1"/>
    <xf numFmtId="3" fontId="11" fillId="33" borderId="32" xfId="203" applyNumberFormat="1" applyFont="1" applyFill="1" applyBorder="1"/>
    <xf numFmtId="0" fontId="42" fillId="33" borderId="0" xfId="203" applyFont="1" applyFill="1" applyBorder="1"/>
    <xf numFmtId="0" fontId="37" fillId="33" borderId="33" xfId="203" applyFont="1" applyFill="1" applyBorder="1"/>
    <xf numFmtId="3" fontId="37" fillId="34" borderId="32" xfId="203" applyNumberFormat="1" applyFont="1" applyFill="1" applyBorder="1"/>
    <xf numFmtId="3" fontId="37" fillId="33" borderId="32" xfId="203" applyNumberFormat="1" applyFont="1" applyFill="1" applyBorder="1"/>
    <xf numFmtId="3" fontId="42" fillId="33" borderId="1" xfId="203" applyNumberFormat="1" applyFont="1" applyFill="1" applyBorder="1"/>
    <xf numFmtId="3" fontId="41" fillId="33" borderId="0" xfId="203" applyNumberFormat="1" applyFont="1" applyFill="1" applyAlignment="1">
      <alignment horizontal="center"/>
    </xf>
    <xf numFmtId="3" fontId="42" fillId="33" borderId="0" xfId="203" applyNumberFormat="1" applyFont="1" applyFill="1"/>
    <xf numFmtId="0" fontId="37" fillId="33" borderId="21" xfId="203" applyFont="1" applyFill="1" applyBorder="1"/>
    <xf numFmtId="3" fontId="37" fillId="34" borderId="24" xfId="203" applyNumberFormat="1" applyFont="1" applyFill="1" applyBorder="1"/>
    <xf numFmtId="3" fontId="37" fillId="33" borderId="24" xfId="203" applyNumberFormat="1" applyFont="1" applyFill="1" applyBorder="1"/>
    <xf numFmtId="0" fontId="37" fillId="31" borderId="21" xfId="203" applyFont="1" applyFill="1" applyBorder="1"/>
    <xf numFmtId="3" fontId="37" fillId="31" borderId="24" xfId="203" applyNumberFormat="1" applyFont="1" applyFill="1" applyBorder="1"/>
    <xf numFmtId="3" fontId="41" fillId="31" borderId="1" xfId="203" applyNumberFormat="1" applyFont="1" applyFill="1" applyBorder="1"/>
    <xf numFmtId="0" fontId="38" fillId="33" borderId="34" xfId="203" applyFont="1" applyFill="1" applyBorder="1"/>
    <xf numFmtId="3" fontId="38" fillId="34" borderId="29" xfId="203" applyNumberFormat="1" applyFont="1" applyFill="1" applyBorder="1"/>
    <xf numFmtId="3" fontId="38" fillId="34" borderId="31" xfId="203" applyNumberFormat="1" applyFont="1" applyFill="1" applyBorder="1"/>
    <xf numFmtId="3" fontId="38" fillId="33" borderId="31" xfId="203" applyNumberFormat="1" applyFont="1" applyFill="1" applyBorder="1"/>
    <xf numFmtId="3" fontId="38" fillId="33" borderId="33" xfId="203" applyNumberFormat="1" applyFont="1" applyFill="1" applyBorder="1"/>
    <xf numFmtId="0" fontId="38" fillId="33" borderId="21" xfId="203" applyFont="1" applyFill="1" applyBorder="1"/>
    <xf numFmtId="3" fontId="38" fillId="34" borderId="24" xfId="203" applyNumberFormat="1" applyFont="1" applyFill="1" applyBorder="1"/>
    <xf numFmtId="4" fontId="38" fillId="33" borderId="24" xfId="203" applyNumberFormat="1" applyFont="1" applyFill="1" applyBorder="1"/>
    <xf numFmtId="4" fontId="38" fillId="33" borderId="21" xfId="203" applyNumberFormat="1" applyFont="1" applyFill="1" applyBorder="1"/>
    <xf numFmtId="0" fontId="11" fillId="33" borderId="30" xfId="203" applyFont="1" applyFill="1" applyBorder="1"/>
    <xf numFmtId="3" fontId="38" fillId="34" borderId="30" xfId="203" applyNumberFormat="1" applyFont="1" applyFill="1" applyBorder="1"/>
    <xf numFmtId="3" fontId="11" fillId="33" borderId="30" xfId="203" applyNumberFormat="1" applyFont="1" applyFill="1" applyBorder="1"/>
    <xf numFmtId="3" fontId="11" fillId="33" borderId="29" xfId="203" applyNumberFormat="1" applyFont="1" applyFill="1" applyBorder="1"/>
    <xf numFmtId="0" fontId="11" fillId="33" borderId="23" xfId="203" applyFont="1" applyFill="1" applyBorder="1"/>
    <xf numFmtId="3" fontId="38" fillId="34" borderId="23" xfId="203" applyNumberFormat="1" applyFont="1" applyFill="1" applyBorder="1"/>
    <xf numFmtId="3" fontId="11" fillId="33" borderId="23" xfId="203" applyNumberFormat="1" applyFont="1" applyFill="1" applyBorder="1"/>
    <xf numFmtId="3" fontId="11" fillId="33" borderId="21" xfId="203" applyNumberFormat="1" applyFont="1" applyFill="1" applyBorder="1"/>
    <xf numFmtId="0" fontId="11" fillId="33" borderId="34" xfId="203" applyFont="1" applyFill="1" applyBorder="1"/>
    <xf numFmtId="3" fontId="38" fillId="34" borderId="0" xfId="203" applyNumberFormat="1" applyFont="1" applyFill="1" applyBorder="1"/>
    <xf numFmtId="3" fontId="11" fillId="33" borderId="0" xfId="203" applyNumberFormat="1" applyFont="1" applyFill="1" applyBorder="1"/>
    <xf numFmtId="10" fontId="11" fillId="33" borderId="0" xfId="212" applyNumberFormat="1" applyFont="1" applyFill="1" applyBorder="1"/>
    <xf numFmtId="4" fontId="11" fillId="33" borderId="0" xfId="203" applyNumberFormat="1" applyFont="1" applyFill="1" applyBorder="1"/>
    <xf numFmtId="0" fontId="37" fillId="33" borderId="30" xfId="203" applyFont="1" applyFill="1" applyBorder="1"/>
    <xf numFmtId="3" fontId="37" fillId="34" borderId="30" xfId="203" applyNumberFormat="1" applyFont="1" applyFill="1" applyBorder="1"/>
    <xf numFmtId="3" fontId="37" fillId="33" borderId="30" xfId="203" applyNumberFormat="1" applyFont="1" applyFill="1" applyBorder="1"/>
    <xf numFmtId="3" fontId="37" fillId="33" borderId="29" xfId="203" applyNumberFormat="1" applyFont="1" applyFill="1" applyBorder="1"/>
    <xf numFmtId="0" fontId="37" fillId="33" borderId="34" xfId="203" applyFont="1" applyFill="1" applyBorder="1"/>
    <xf numFmtId="3" fontId="37" fillId="34" borderId="34" xfId="203" applyNumberFormat="1" applyFont="1" applyFill="1" applyBorder="1"/>
    <xf numFmtId="3" fontId="37" fillId="33" borderId="34" xfId="203" applyNumberFormat="1" applyFont="1" applyFill="1" applyBorder="1"/>
    <xf numFmtId="3" fontId="37" fillId="33" borderId="33" xfId="203" applyNumberFormat="1" applyFont="1" applyFill="1" applyBorder="1"/>
    <xf numFmtId="3" fontId="11" fillId="34" borderId="34" xfId="203" applyNumberFormat="1" applyFont="1" applyFill="1" applyBorder="1"/>
    <xf numFmtId="3" fontId="11" fillId="33" borderId="34" xfId="203" applyNumberFormat="1" applyFont="1" applyFill="1" applyBorder="1"/>
    <xf numFmtId="3" fontId="11" fillId="33" borderId="33" xfId="203" applyNumberFormat="1" applyFont="1" applyFill="1" applyBorder="1"/>
    <xf numFmtId="9" fontId="37" fillId="33" borderId="34" xfId="212" applyFont="1" applyFill="1" applyBorder="1"/>
    <xf numFmtId="9" fontId="37" fillId="33" borderId="21" xfId="212" applyFont="1" applyFill="1" applyBorder="1"/>
    <xf numFmtId="0" fontId="37" fillId="31" borderId="20" xfId="203" applyFont="1" applyFill="1" applyBorder="1"/>
    <xf numFmtId="3" fontId="37" fillId="31" borderId="20" xfId="203" applyNumberFormat="1" applyFont="1" applyFill="1" applyBorder="1"/>
    <xf numFmtId="3" fontId="37" fillId="31" borderId="20" xfId="212" applyNumberFormat="1" applyFont="1" applyFill="1" applyBorder="1"/>
    <xf numFmtId="3" fontId="37" fillId="31" borderId="1" xfId="212" applyNumberFormat="1" applyFont="1" applyFill="1" applyBorder="1"/>
    <xf numFmtId="3" fontId="37" fillId="33" borderId="1" xfId="203" applyNumberFormat="1" applyFont="1" applyFill="1" applyBorder="1"/>
    <xf numFmtId="3" fontId="42" fillId="33" borderId="0" xfId="203" applyNumberFormat="1" applyFont="1" applyFill="1" applyBorder="1"/>
    <xf numFmtId="0" fontId="37" fillId="33" borderId="0" xfId="203" applyFont="1" applyFill="1" applyBorder="1"/>
    <xf numFmtId="3" fontId="37" fillId="33" borderId="0" xfId="203" applyNumberFormat="1" applyFont="1" applyFill="1" applyBorder="1"/>
    <xf numFmtId="9" fontId="37" fillId="33" borderId="0" xfId="212" applyNumberFormat="1" applyFont="1" applyFill="1" applyBorder="1"/>
    <xf numFmtId="3" fontId="11" fillId="34" borderId="29" xfId="203" applyNumberFormat="1" applyFont="1" applyFill="1" applyBorder="1"/>
    <xf numFmtId="3" fontId="11" fillId="34" borderId="33" xfId="203" applyNumberFormat="1" applyFont="1" applyFill="1" applyBorder="1"/>
    <xf numFmtId="3" fontId="38" fillId="34" borderId="33" xfId="203" applyNumberFormat="1" applyFont="1" applyFill="1" applyBorder="1"/>
    <xf numFmtId="3" fontId="39" fillId="34" borderId="32" xfId="203" applyNumberFormat="1" applyFont="1" applyFill="1" applyBorder="1"/>
    <xf numFmtId="3" fontId="39" fillId="34" borderId="33" xfId="203" applyNumberFormat="1" applyFont="1" applyFill="1" applyBorder="1"/>
    <xf numFmtId="3" fontId="37" fillId="34" borderId="33" xfId="203" applyNumberFormat="1" applyFont="1" applyFill="1" applyBorder="1"/>
    <xf numFmtId="3" fontId="37" fillId="34" borderId="19" xfId="203" applyNumberFormat="1" applyFont="1" applyFill="1" applyBorder="1"/>
    <xf numFmtId="3" fontId="37" fillId="33" borderId="19" xfId="203" applyNumberFormat="1" applyFont="1" applyFill="1" applyBorder="1"/>
    <xf numFmtId="9" fontId="11" fillId="33" borderId="0" xfId="212" applyFont="1" applyFill="1"/>
    <xf numFmtId="170" fontId="37" fillId="33" borderId="1" xfId="212" applyNumberFormat="1" applyFont="1" applyFill="1" applyBorder="1"/>
    <xf numFmtId="170" fontId="42" fillId="33" borderId="0" xfId="203" applyNumberFormat="1" applyFont="1" applyFill="1"/>
    <xf numFmtId="0" fontId="41" fillId="33" borderId="0" xfId="203" applyFont="1" applyFill="1" applyBorder="1"/>
    <xf numFmtId="170" fontId="41" fillId="33" borderId="0" xfId="212" applyNumberFormat="1" applyFont="1" applyFill="1" applyBorder="1"/>
    <xf numFmtId="0" fontId="8" fillId="0" borderId="0" xfId="203" applyFont="1" applyAlignment="1">
      <alignment horizontal="center" vertical="top" wrapText="1"/>
    </xf>
    <xf numFmtId="0" fontId="7" fillId="33" borderId="0" xfId="203" applyFont="1" applyFill="1" applyBorder="1" applyAlignment="1">
      <alignment horizontal="center" vertical="top" wrapText="1"/>
    </xf>
    <xf numFmtId="0" fontId="8" fillId="0" borderId="0" xfId="203" applyFont="1" applyAlignment="1">
      <alignment vertical="top" wrapText="1"/>
    </xf>
    <xf numFmtId="0" fontId="8" fillId="0" borderId="30" xfId="203" applyFont="1" applyBorder="1"/>
    <xf numFmtId="0" fontId="8" fillId="0" borderId="29" xfId="203" applyFont="1" applyBorder="1"/>
    <xf numFmtId="3" fontId="8" fillId="0" borderId="32" xfId="203" applyNumberFormat="1" applyFont="1" applyFill="1" applyBorder="1"/>
    <xf numFmtId="3" fontId="8" fillId="33" borderId="0" xfId="203" applyNumberFormat="1" applyFont="1" applyFill="1" applyBorder="1"/>
    <xf numFmtId="3" fontId="8" fillId="0" borderId="33" xfId="203" applyNumberFormat="1" applyFont="1" applyFill="1" applyBorder="1"/>
    <xf numFmtId="3" fontId="8" fillId="0" borderId="31" xfId="203" applyNumberFormat="1" applyFont="1" applyBorder="1"/>
    <xf numFmtId="9" fontId="8" fillId="0" borderId="0" xfId="214" applyFont="1"/>
    <xf numFmtId="0" fontId="7" fillId="0" borderId="34" xfId="203" applyFont="1" applyBorder="1"/>
    <xf numFmtId="0" fontId="7" fillId="0" borderId="33" xfId="203" applyFont="1" applyBorder="1"/>
    <xf numFmtId="3" fontId="7" fillId="0" borderId="32" xfId="203" applyNumberFormat="1" applyFont="1" applyFill="1" applyBorder="1"/>
    <xf numFmtId="3" fontId="7" fillId="33" borderId="0" xfId="203" applyNumberFormat="1" applyFont="1" applyFill="1" applyBorder="1"/>
    <xf numFmtId="3" fontId="7" fillId="0" borderId="33" xfId="203" applyNumberFormat="1" applyFont="1" applyBorder="1"/>
    <xf numFmtId="0" fontId="8" fillId="0" borderId="33" xfId="203" applyFont="1" applyBorder="1"/>
    <xf numFmtId="3" fontId="8" fillId="0" borderId="32" xfId="203" applyNumberFormat="1" applyFont="1" applyBorder="1"/>
    <xf numFmtId="0" fontId="8" fillId="0" borderId="34" xfId="203" applyFont="1" applyBorder="1"/>
    <xf numFmtId="3" fontId="8" fillId="0" borderId="33" xfId="203" applyNumberFormat="1" applyFont="1" applyBorder="1"/>
    <xf numFmtId="0" fontId="8" fillId="0" borderId="34" xfId="203" applyFont="1" applyFill="1" applyBorder="1"/>
    <xf numFmtId="0" fontId="6" fillId="0" borderId="34" xfId="203" applyFont="1" applyFill="1" applyBorder="1"/>
    <xf numFmtId="0" fontId="6" fillId="0" borderId="33" xfId="203" applyFont="1" applyBorder="1"/>
    <xf numFmtId="3" fontId="6" fillId="0" borderId="32" xfId="203" applyNumberFormat="1" applyFont="1" applyBorder="1"/>
    <xf numFmtId="9" fontId="8" fillId="0" borderId="0" xfId="214" applyNumberFormat="1" applyFont="1"/>
    <xf numFmtId="3" fontId="8" fillId="0" borderId="0" xfId="203" applyNumberFormat="1" applyFont="1"/>
    <xf numFmtId="3" fontId="56" fillId="0" borderId="32" xfId="203" applyNumberFormat="1" applyFont="1" applyBorder="1"/>
    <xf numFmtId="3" fontId="7" fillId="0" borderId="32" xfId="203" applyNumberFormat="1" applyFont="1" applyBorder="1"/>
    <xf numFmtId="0" fontId="8" fillId="0" borderId="32" xfId="203" applyFont="1" applyBorder="1"/>
    <xf numFmtId="0" fontId="6" fillId="0" borderId="33" xfId="203" applyFont="1" applyFill="1" applyBorder="1"/>
    <xf numFmtId="0" fontId="8" fillId="0" borderId="23" xfId="203" applyFont="1" applyFill="1" applyBorder="1"/>
    <xf numFmtId="0" fontId="8" fillId="0" borderId="21" xfId="203" applyFont="1" applyBorder="1"/>
    <xf numFmtId="0" fontId="55" fillId="0" borderId="21" xfId="203" applyFont="1" applyBorder="1"/>
    <xf numFmtId="3" fontId="40" fillId="0" borderId="24" xfId="203" applyNumberFormat="1" applyFont="1" applyBorder="1"/>
    <xf numFmtId="0" fontId="6" fillId="0" borderId="23" xfId="203" applyFont="1" applyBorder="1"/>
    <xf numFmtId="0" fontId="6" fillId="0" borderId="21" xfId="203" applyFont="1" applyBorder="1"/>
    <xf numFmtId="3" fontId="6" fillId="31" borderId="1" xfId="203" applyNumberFormat="1" applyFont="1" applyFill="1" applyBorder="1"/>
    <xf numFmtId="3" fontId="6" fillId="33" borderId="0" xfId="203" applyNumberFormat="1" applyFont="1" applyFill="1" applyBorder="1"/>
    <xf numFmtId="3" fontId="6" fillId="0" borderId="1" xfId="203" applyNumberFormat="1" applyFont="1" applyBorder="1"/>
    <xf numFmtId="3" fontId="6" fillId="31" borderId="24" xfId="203" applyNumberFormat="1" applyFont="1" applyFill="1" applyBorder="1"/>
    <xf numFmtId="0" fontId="6" fillId="0" borderId="1" xfId="203" applyFont="1" applyBorder="1" applyAlignment="1">
      <alignment horizontal="center"/>
    </xf>
    <xf numFmtId="0" fontId="6" fillId="0" borderId="30" xfId="203" applyFont="1" applyBorder="1" applyAlignment="1">
      <alignment vertical="top"/>
    </xf>
    <xf numFmtId="0" fontId="6" fillId="0" borderId="1" xfId="203" applyFont="1" applyBorder="1" applyAlignment="1">
      <alignment vertical="top"/>
    </xf>
    <xf numFmtId="0" fontId="6" fillId="0" borderId="1" xfId="203" applyFont="1" applyBorder="1" applyAlignment="1">
      <alignment horizontal="center" vertical="top"/>
    </xf>
    <xf numFmtId="0" fontId="6" fillId="0" borderId="1" xfId="203" applyFont="1" applyBorder="1" applyAlignment="1"/>
    <xf numFmtId="0" fontId="8" fillId="0" borderId="31" xfId="203" applyFont="1" applyBorder="1"/>
    <xf numFmtId="0" fontId="8" fillId="32" borderId="0" xfId="203" applyFont="1" applyFill="1" applyBorder="1"/>
    <xf numFmtId="3" fontId="8" fillId="32" borderId="29" xfId="203" applyNumberFormat="1" applyFont="1" applyFill="1" applyBorder="1"/>
    <xf numFmtId="0" fontId="8" fillId="32" borderId="1" xfId="203" applyFont="1" applyFill="1" applyBorder="1" applyAlignment="1">
      <alignment horizontal="center"/>
    </xf>
    <xf numFmtId="0" fontId="8" fillId="26" borderId="29" xfId="203" applyFont="1" applyFill="1" applyBorder="1"/>
    <xf numFmtId="0" fontId="6" fillId="0" borderId="30" xfId="1" applyFont="1" applyBorder="1" applyAlignment="1" applyProtection="1">
      <alignment horizontal="center"/>
    </xf>
    <xf numFmtId="0" fontId="8" fillId="0" borderId="31" xfId="1" applyFont="1" applyBorder="1" applyProtection="1"/>
    <xf numFmtId="9" fontId="8" fillId="0" borderId="31" xfId="203" applyNumberFormat="1" applyFont="1" applyBorder="1"/>
    <xf numFmtId="0" fontId="8" fillId="0" borderId="31" xfId="1" applyFont="1" applyBorder="1" applyAlignment="1" applyProtection="1">
      <alignment horizontal="center"/>
    </xf>
    <xf numFmtId="3" fontId="8" fillId="0" borderId="29" xfId="203" applyNumberFormat="1" applyFont="1" applyBorder="1"/>
    <xf numFmtId="0" fontId="8" fillId="33" borderId="33" xfId="203" applyFont="1" applyFill="1" applyBorder="1"/>
    <xf numFmtId="0" fontId="8" fillId="33" borderId="32" xfId="203" applyFont="1" applyFill="1" applyBorder="1"/>
    <xf numFmtId="0" fontId="6" fillId="0" borderId="34" xfId="203" applyFont="1" applyBorder="1" applyAlignment="1">
      <alignment horizontal="center"/>
    </xf>
    <xf numFmtId="9" fontId="8" fillId="0" borderId="32" xfId="203" applyNumberFormat="1" applyFont="1" applyFill="1" applyBorder="1"/>
    <xf numFmtId="0" fontId="8" fillId="0" borderId="32" xfId="1" applyFont="1" applyBorder="1" applyAlignment="1" applyProtection="1">
      <alignment horizontal="center"/>
    </xf>
    <xf numFmtId="0" fontId="6" fillId="0" borderId="34" xfId="1" applyFont="1" applyBorder="1" applyAlignment="1" applyProtection="1">
      <alignment horizontal="center"/>
    </xf>
    <xf numFmtId="0" fontId="6" fillId="29" borderId="21" xfId="203" applyFont="1" applyFill="1" applyBorder="1"/>
    <xf numFmtId="3" fontId="6" fillId="0" borderId="24" xfId="203" applyNumberFormat="1" applyFont="1" applyBorder="1"/>
    <xf numFmtId="3" fontId="6" fillId="0" borderId="21" xfId="203" applyNumberFormat="1" applyFont="1" applyBorder="1"/>
    <xf numFmtId="3" fontId="6" fillId="29" borderId="1" xfId="203" applyNumberFormat="1" applyFont="1" applyFill="1" applyBorder="1"/>
    <xf numFmtId="0" fontId="8" fillId="0" borderId="1" xfId="203" applyFont="1" applyBorder="1"/>
    <xf numFmtId="0" fontId="8" fillId="0" borderId="14" xfId="203" applyFont="1" applyBorder="1"/>
    <xf numFmtId="3" fontId="8" fillId="0" borderId="19" xfId="203" applyNumberFormat="1" applyFont="1" applyFill="1" applyBorder="1"/>
    <xf numFmtId="0" fontId="8" fillId="0" borderId="32" xfId="1" applyFont="1" applyBorder="1" applyProtection="1"/>
    <xf numFmtId="9" fontId="8" fillId="0" borderId="32" xfId="203" applyNumberFormat="1" applyFont="1" applyBorder="1"/>
    <xf numFmtId="0" fontId="6" fillId="0" borderId="21" xfId="203" applyFont="1" applyFill="1" applyBorder="1"/>
    <xf numFmtId="0" fontId="6" fillId="0" borderId="17" xfId="203" applyFont="1" applyFill="1" applyBorder="1"/>
    <xf numFmtId="0" fontId="6" fillId="0" borderId="24" xfId="203" applyFont="1" applyFill="1" applyBorder="1"/>
    <xf numFmtId="3" fontId="6" fillId="0" borderId="24" xfId="203" applyNumberFormat="1" applyFont="1" applyFill="1" applyBorder="1"/>
    <xf numFmtId="0" fontId="8" fillId="0" borderId="30" xfId="203" applyFont="1" applyFill="1" applyBorder="1"/>
    <xf numFmtId="10" fontId="8" fillId="0" borderId="28" xfId="203" applyNumberFormat="1" applyFont="1" applyBorder="1"/>
    <xf numFmtId="0" fontId="11" fillId="0" borderId="34" xfId="203" applyFont="1" applyFill="1" applyBorder="1"/>
    <xf numFmtId="10" fontId="8" fillId="0" borderId="0" xfId="203" applyNumberFormat="1" applyFont="1" applyBorder="1"/>
    <xf numFmtId="10" fontId="8" fillId="0" borderId="0" xfId="212" applyNumberFormat="1" applyFont="1" applyBorder="1"/>
    <xf numFmtId="0" fontId="8" fillId="0" borderId="17" xfId="203" applyFont="1" applyBorder="1"/>
    <xf numFmtId="0" fontId="8" fillId="0" borderId="24" xfId="203" applyFont="1" applyBorder="1"/>
    <xf numFmtId="3" fontId="8" fillId="0" borderId="24" xfId="203" applyNumberFormat="1" applyFont="1" applyBorder="1"/>
    <xf numFmtId="0" fontId="6" fillId="0" borderId="34" xfId="1" applyFont="1" applyFill="1" applyBorder="1" applyAlignment="1" applyProtection="1">
      <alignment horizontal="center"/>
    </xf>
    <xf numFmtId="0" fontId="8" fillId="0" borderId="32" xfId="203" applyFont="1" applyFill="1" applyBorder="1"/>
    <xf numFmtId="0" fontId="8" fillId="0" borderId="32" xfId="203" applyFont="1" applyFill="1" applyBorder="1" applyAlignment="1">
      <alignment horizontal="center"/>
    </xf>
    <xf numFmtId="0" fontId="63" fillId="0" borderId="0" xfId="203" applyFont="1" applyFill="1" applyBorder="1"/>
    <xf numFmtId="0" fontId="64" fillId="0" borderId="0" xfId="203" applyFont="1" applyBorder="1"/>
    <xf numFmtId="0" fontId="6" fillId="0" borderId="23" xfId="1" applyFont="1" applyFill="1" applyBorder="1" applyAlignment="1" applyProtection="1">
      <alignment horizontal="center"/>
    </xf>
    <xf numFmtId="0" fontId="8" fillId="0" borderId="24" xfId="203" applyFont="1" applyFill="1" applyBorder="1"/>
    <xf numFmtId="9" fontId="8" fillId="0" borderId="24" xfId="203" applyNumberFormat="1" applyFont="1" applyFill="1" applyBorder="1"/>
    <xf numFmtId="0" fontId="8" fillId="0" borderId="24" xfId="203" applyFont="1" applyFill="1" applyBorder="1" applyAlignment="1">
      <alignment horizontal="center"/>
    </xf>
    <xf numFmtId="3" fontId="8" fillId="0" borderId="21" xfId="203" applyNumberFormat="1" applyFont="1" applyBorder="1"/>
    <xf numFmtId="0" fontId="64" fillId="0" borderId="0" xfId="203" applyFont="1" applyFill="1" applyBorder="1"/>
    <xf numFmtId="3" fontId="64" fillId="33" borderId="0" xfId="203" applyNumberFormat="1" applyFont="1" applyFill="1" applyBorder="1"/>
    <xf numFmtId="0" fontId="8" fillId="0" borderId="23" xfId="203" applyFont="1" applyBorder="1"/>
    <xf numFmtId="9" fontId="6" fillId="0" borderId="1" xfId="203" applyNumberFormat="1" applyFont="1" applyBorder="1"/>
    <xf numFmtId="3" fontId="6" fillId="0" borderId="19" xfId="203" applyNumberFormat="1" applyFont="1" applyBorder="1"/>
    <xf numFmtId="0" fontId="8" fillId="0" borderId="1" xfId="203" applyFont="1" applyBorder="1" applyAlignment="1">
      <alignment horizontal="center"/>
    </xf>
    <xf numFmtId="3" fontId="63" fillId="0" borderId="0" xfId="203" applyNumberFormat="1" applyFont="1" applyBorder="1"/>
    <xf numFmtId="3" fontId="8" fillId="0" borderId="0" xfId="203" applyNumberFormat="1" applyFont="1" applyFill="1"/>
    <xf numFmtId="0" fontId="8" fillId="0" borderId="0" xfId="203" applyFont="1" applyFill="1" applyBorder="1" applyAlignment="1">
      <alignment horizontal="center"/>
    </xf>
    <xf numFmtId="0" fontId="8" fillId="0" borderId="0" xfId="203" applyFont="1" applyBorder="1"/>
    <xf numFmtId="0" fontId="6" fillId="0" borderId="29" xfId="203" applyFont="1" applyBorder="1" applyAlignment="1">
      <alignment horizontal="center"/>
    </xf>
    <xf numFmtId="0" fontId="6" fillId="0" borderId="28" xfId="203" applyFont="1" applyBorder="1" applyAlignment="1">
      <alignment horizontal="center"/>
    </xf>
    <xf numFmtId="0" fontId="8" fillId="0" borderId="29" xfId="203" applyBorder="1"/>
    <xf numFmtId="9" fontId="0" fillId="0" borderId="31" xfId="212" applyFont="1" applyBorder="1"/>
    <xf numFmtId="3" fontId="0" fillId="0" borderId="31" xfId="212" applyNumberFormat="1" applyFont="1" applyBorder="1"/>
    <xf numFmtId="17" fontId="8" fillId="0" borderId="31" xfId="203" applyNumberFormat="1" applyBorder="1"/>
    <xf numFmtId="9" fontId="0" fillId="0" borderId="29" xfId="212" applyFont="1" applyBorder="1"/>
    <xf numFmtId="17" fontId="8" fillId="0" borderId="29" xfId="203" applyNumberFormat="1" applyBorder="1"/>
    <xf numFmtId="3" fontId="0" fillId="0" borderId="32" xfId="212" applyNumberFormat="1" applyFont="1" applyBorder="1"/>
    <xf numFmtId="3" fontId="0" fillId="0" borderId="29" xfId="212" applyNumberFormat="1" applyFont="1" applyBorder="1"/>
    <xf numFmtId="3" fontId="0" fillId="0" borderId="31" xfId="212" applyNumberFormat="1" applyFont="1" applyBorder="1" applyAlignment="1">
      <alignment vertical="top"/>
    </xf>
    <xf numFmtId="0" fontId="8" fillId="0" borderId="31" xfId="203" applyBorder="1"/>
    <xf numFmtId="0" fontId="8" fillId="0" borderId="33" xfId="203" applyFont="1" applyBorder="1" applyAlignment="1">
      <alignment vertical="top"/>
    </xf>
    <xf numFmtId="9" fontId="8" fillId="35" borderId="32" xfId="212" applyFont="1" applyFill="1" applyBorder="1"/>
    <xf numFmtId="3" fontId="8" fillId="35" borderId="32" xfId="212" applyNumberFormat="1" applyFont="1" applyFill="1" applyBorder="1" applyAlignment="1">
      <alignment vertical="top"/>
    </xf>
    <xf numFmtId="17" fontId="8" fillId="35" borderId="32" xfId="203" applyNumberFormat="1" applyFill="1" applyBorder="1"/>
    <xf numFmtId="0" fontId="8" fillId="0" borderId="0" xfId="203" applyBorder="1" applyAlignment="1">
      <alignment vertical="top"/>
    </xf>
    <xf numFmtId="0" fontId="8" fillId="0" borderId="33" xfId="203" applyBorder="1" applyAlignment="1">
      <alignment vertical="top"/>
    </xf>
    <xf numFmtId="17" fontId="8" fillId="0" borderId="33" xfId="203" applyNumberFormat="1" applyBorder="1"/>
    <xf numFmtId="3" fontId="0" fillId="0" borderId="33" xfId="212" applyNumberFormat="1" applyFont="1" applyBorder="1"/>
    <xf numFmtId="9" fontId="8" fillId="0" borderId="32" xfId="203" applyNumberFormat="1" applyFont="1" applyBorder="1" applyAlignment="1">
      <alignment vertical="top" wrapText="1"/>
    </xf>
    <xf numFmtId="3" fontId="0" fillId="0" borderId="32" xfId="212" applyNumberFormat="1" applyFont="1" applyBorder="1" applyAlignment="1">
      <alignment vertical="top"/>
    </xf>
    <xf numFmtId="17" fontId="8" fillId="0" borderId="32" xfId="203" applyNumberFormat="1" applyBorder="1" applyAlignment="1">
      <alignment vertical="top"/>
    </xf>
    <xf numFmtId="14" fontId="8" fillId="0" borderId="32" xfId="203" applyNumberFormat="1" applyBorder="1" applyAlignment="1">
      <alignment vertical="top"/>
    </xf>
    <xf numFmtId="0" fontId="8" fillId="0" borderId="0" xfId="203" applyAlignment="1">
      <alignment vertical="top"/>
    </xf>
    <xf numFmtId="9" fontId="0" fillId="0" borderId="32" xfId="212" applyFont="1" applyBorder="1" applyAlignment="1">
      <alignment vertical="top"/>
    </xf>
    <xf numFmtId="9" fontId="0" fillId="0" borderId="33" xfId="212" applyFont="1" applyBorder="1" applyAlignment="1">
      <alignment vertical="top"/>
    </xf>
    <xf numFmtId="9" fontId="0" fillId="0" borderId="32" xfId="212" applyFont="1" applyBorder="1"/>
    <xf numFmtId="17" fontId="8" fillId="0" borderId="32" xfId="203" applyNumberFormat="1" applyBorder="1"/>
    <xf numFmtId="0" fontId="8" fillId="0" borderId="32" xfId="203" applyFont="1" applyBorder="1" applyAlignment="1">
      <alignment wrapText="1"/>
    </xf>
    <xf numFmtId="0" fontId="8" fillId="0" borderId="32" xfId="203" applyBorder="1"/>
    <xf numFmtId="9" fontId="0" fillId="0" borderId="33" xfId="212" applyFont="1" applyBorder="1"/>
    <xf numFmtId="17" fontId="8" fillId="0" borderId="33" xfId="203" applyNumberFormat="1" applyBorder="1" applyAlignment="1">
      <alignment vertical="top"/>
    </xf>
    <xf numFmtId="0" fontId="8" fillId="0" borderId="33" xfId="203" applyBorder="1"/>
    <xf numFmtId="14" fontId="8" fillId="0" borderId="32" xfId="203" applyNumberFormat="1" applyBorder="1"/>
    <xf numFmtId="3" fontId="8" fillId="35" borderId="32" xfId="212" applyNumberFormat="1" applyFont="1" applyFill="1" applyBorder="1"/>
    <xf numFmtId="3" fontId="0" fillId="0" borderId="0" xfId="212" applyNumberFormat="1" applyFont="1" applyBorder="1"/>
    <xf numFmtId="17" fontId="8" fillId="0" borderId="33" xfId="203" applyNumberFormat="1" applyFont="1" applyBorder="1"/>
    <xf numFmtId="9" fontId="0" fillId="0" borderId="24" xfId="212" applyFont="1" applyBorder="1"/>
    <xf numFmtId="3" fontId="0" fillId="0" borderId="24" xfId="212" applyNumberFormat="1" applyFont="1" applyBorder="1"/>
    <xf numFmtId="17" fontId="8" fillId="0" borderId="24" xfId="203" applyNumberFormat="1" applyBorder="1"/>
    <xf numFmtId="3" fontId="8" fillId="31" borderId="33" xfId="212" applyNumberFormat="1" applyFont="1" applyFill="1" applyBorder="1"/>
    <xf numFmtId="3" fontId="6" fillId="0" borderId="21" xfId="212" applyNumberFormat="1" applyFont="1" applyBorder="1"/>
    <xf numFmtId="3" fontId="6" fillId="0" borderId="1" xfId="212" applyNumberFormat="1" applyFont="1" applyBorder="1"/>
    <xf numFmtId="9" fontId="0" fillId="0" borderId="21" xfId="212" applyFont="1" applyBorder="1"/>
    <xf numFmtId="0" fontId="8" fillId="0" borderId="24" xfId="203" applyBorder="1"/>
    <xf numFmtId="3" fontId="0" fillId="0" borderId="24" xfId="212" applyNumberFormat="1" applyFont="1" applyBorder="1" applyAlignment="1">
      <alignment vertical="top"/>
    </xf>
    <xf numFmtId="9" fontId="0" fillId="0" borderId="0" xfId="212" applyFont="1"/>
    <xf numFmtId="3" fontId="6" fillId="0" borderId="24" xfId="212" applyNumberFormat="1" applyFont="1" applyBorder="1"/>
    <xf numFmtId="0" fontId="8" fillId="0" borderId="21" xfId="203" applyBorder="1"/>
    <xf numFmtId="3" fontId="0" fillId="0" borderId="21" xfId="212" applyNumberFormat="1" applyFont="1" applyBorder="1"/>
    <xf numFmtId="3" fontId="8" fillId="0" borderId="0" xfId="203" applyNumberFormat="1"/>
    <xf numFmtId="17" fontId="8" fillId="0" borderId="0" xfId="203" applyNumberFormat="1"/>
    <xf numFmtId="43" fontId="8" fillId="0" borderId="0" xfId="178"/>
    <xf numFmtId="0" fontId="42" fillId="0" borderId="0" xfId="203" applyFont="1" applyBorder="1" applyAlignment="1">
      <alignment horizontal="center"/>
    </xf>
    <xf numFmtId="0" fontId="42" fillId="0" borderId="0" xfId="203" applyFont="1" applyBorder="1" applyAlignment="1">
      <alignment horizontal="left"/>
    </xf>
    <xf numFmtId="43" fontId="42" fillId="0" borderId="0" xfId="178" applyFont="1" applyBorder="1" applyAlignment="1">
      <alignment horizontal="center"/>
    </xf>
    <xf numFmtId="0" fontId="42" fillId="0" borderId="17" xfId="203" applyFont="1" applyBorder="1" applyAlignment="1">
      <alignment horizontal="center"/>
    </xf>
    <xf numFmtId="1" fontId="6" fillId="28" borderId="1" xfId="203" quotePrefix="1" applyNumberFormat="1" applyFont="1" applyFill="1" applyBorder="1" applyAlignment="1">
      <alignment horizontal="left"/>
    </xf>
    <xf numFmtId="1" fontId="6" fillId="28" borderId="1" xfId="203" applyNumberFormat="1" applyFont="1" applyFill="1" applyBorder="1" applyAlignment="1">
      <alignment horizontal="center"/>
    </xf>
    <xf numFmtId="43" fontId="6" fillId="28" borderId="1" xfId="178" applyFont="1" applyFill="1" applyBorder="1" applyAlignment="1">
      <alignment horizontal="left"/>
    </xf>
    <xf numFmtId="43" fontId="37" fillId="28" borderId="1" xfId="178" applyFont="1" applyFill="1" applyBorder="1" applyAlignment="1">
      <alignment horizontal="center" wrapText="1"/>
    </xf>
    <xf numFmtId="43" fontId="37" fillId="28" borderId="20" xfId="178" applyFont="1" applyFill="1" applyBorder="1" applyAlignment="1">
      <alignment horizontal="center" wrapText="1"/>
    </xf>
    <xf numFmtId="17" fontId="6" fillId="30" borderId="20" xfId="203" quotePrefix="1" applyNumberFormat="1" applyFont="1" applyFill="1" applyBorder="1" applyAlignment="1">
      <alignment horizontal="center"/>
    </xf>
    <xf numFmtId="17" fontId="6" fillId="29" borderId="1" xfId="203" applyNumberFormat="1" applyFont="1" applyFill="1" applyBorder="1" applyAlignment="1">
      <alignment horizontal="left"/>
    </xf>
    <xf numFmtId="171" fontId="8" fillId="0" borderId="1" xfId="203" quotePrefix="1" applyNumberFormat="1" applyFont="1" applyBorder="1" applyAlignment="1">
      <alignment horizontal="right"/>
    </xf>
    <xf numFmtId="171" fontId="8" fillId="0" borderId="1" xfId="203" applyNumberFormat="1" applyFont="1" applyBorder="1"/>
    <xf numFmtId="171" fontId="8" fillId="0" borderId="0" xfId="178" applyNumberFormat="1"/>
    <xf numFmtId="171" fontId="8" fillId="0" borderId="1" xfId="178" applyNumberFormat="1" applyFont="1" applyBorder="1" applyAlignment="1">
      <alignment horizontal="right" wrapText="1"/>
    </xf>
    <xf numFmtId="171" fontId="8" fillId="0" borderId="1" xfId="203" applyNumberFormat="1" applyFont="1" applyBorder="1" applyAlignment="1">
      <alignment horizontal="right"/>
    </xf>
    <xf numFmtId="171" fontId="8" fillId="0" borderId="0" xfId="203" applyNumberFormat="1"/>
    <xf numFmtId="171" fontId="8" fillId="0" borderId="1" xfId="178" applyNumberFormat="1" applyBorder="1"/>
    <xf numFmtId="171" fontId="8" fillId="0" borderId="20" xfId="178" applyNumberFormat="1" applyFont="1" applyBorder="1" applyAlignment="1">
      <alignment horizontal="right" wrapText="1"/>
    </xf>
    <xf numFmtId="171" fontId="8" fillId="0" borderId="20" xfId="203" applyNumberFormat="1" applyFont="1" applyBorder="1" applyAlignment="1">
      <alignment horizontal="right"/>
    </xf>
    <xf numFmtId="171" fontId="8" fillId="0" borderId="1" xfId="203" applyNumberFormat="1" applyBorder="1"/>
    <xf numFmtId="171" fontId="8" fillId="0" borderId="0" xfId="178" applyNumberFormat="1" applyFont="1" applyBorder="1" applyAlignment="1">
      <alignment horizontal="right" wrapText="1"/>
    </xf>
    <xf numFmtId="171" fontId="8" fillId="0" borderId="0" xfId="203" applyNumberFormat="1" applyFont="1"/>
    <xf numFmtId="171" fontId="8" fillId="0" borderId="1" xfId="203" quotePrefix="1" applyNumberFormat="1" applyFont="1" applyBorder="1"/>
    <xf numFmtId="171" fontId="8" fillId="0" borderId="1" xfId="178" applyNumberFormat="1" applyFont="1" applyBorder="1"/>
    <xf numFmtId="171" fontId="8" fillId="0" borderId="1" xfId="178" applyNumberFormat="1" applyFont="1" applyFill="1" applyBorder="1"/>
    <xf numFmtId="171" fontId="6" fillId="0" borderId="1" xfId="203" quotePrefix="1" applyNumberFormat="1" applyFont="1" applyFill="1" applyBorder="1"/>
    <xf numFmtId="171" fontId="6" fillId="29" borderId="1" xfId="203" applyNumberFormat="1" applyFont="1" applyFill="1" applyBorder="1"/>
    <xf numFmtId="171" fontId="6" fillId="29" borderId="1" xfId="178" applyNumberFormat="1" applyFont="1" applyFill="1" applyBorder="1"/>
    <xf numFmtId="171" fontId="6" fillId="0" borderId="0" xfId="203" applyNumberFormat="1" applyFont="1"/>
    <xf numFmtId="171" fontId="6" fillId="0" borderId="1" xfId="203" applyNumberFormat="1" applyFont="1" applyFill="1" applyBorder="1"/>
    <xf numFmtId="171" fontId="6" fillId="27" borderId="1" xfId="203" applyNumberFormat="1" applyFont="1" applyFill="1" applyBorder="1"/>
    <xf numFmtId="171" fontId="6" fillId="27" borderId="1" xfId="178" applyNumberFormat="1" applyFont="1" applyFill="1" applyBorder="1"/>
    <xf numFmtId="171" fontId="6" fillId="27" borderId="1" xfId="178" applyNumberFormat="1" applyFont="1" applyFill="1" applyBorder="1" applyAlignment="1">
      <alignment horizontal="right"/>
    </xf>
    <xf numFmtId="171" fontId="6" fillId="27" borderId="1" xfId="203" applyNumberFormat="1" applyFont="1" applyFill="1" applyBorder="1" applyAlignment="1">
      <alignment horizontal="right"/>
    </xf>
    <xf numFmtId="171" fontId="6" fillId="0" borderId="34" xfId="203" applyNumberFormat="1" applyFont="1" applyFill="1" applyBorder="1" applyAlignment="1">
      <alignment horizontal="right"/>
    </xf>
    <xf numFmtId="171" fontId="6" fillId="0" borderId="0" xfId="203" applyNumberFormat="1" applyFont="1" applyAlignment="1">
      <alignment horizontal="right"/>
    </xf>
    <xf numFmtId="0" fontId="6" fillId="0" borderId="1" xfId="203" applyFont="1" applyFill="1" applyBorder="1"/>
    <xf numFmtId="1" fontId="6" fillId="36" borderId="1" xfId="203" applyNumberFormat="1" applyFont="1" applyFill="1" applyBorder="1"/>
    <xf numFmtId="43" fontId="6" fillId="36" borderId="1" xfId="178" applyFont="1" applyFill="1" applyBorder="1"/>
    <xf numFmtId="10" fontId="6" fillId="36" borderId="1" xfId="178" applyNumberFormat="1" applyFont="1" applyFill="1" applyBorder="1"/>
    <xf numFmtId="10" fontId="6" fillId="0" borderId="34" xfId="214" applyNumberFormat="1" applyFont="1" applyFill="1" applyBorder="1"/>
    <xf numFmtId="4" fontId="6" fillId="0" borderId="0" xfId="203" applyNumberFormat="1" applyFont="1"/>
    <xf numFmtId="10" fontId="6" fillId="0" borderId="0" xfId="203" applyNumberFormat="1" applyFont="1"/>
    <xf numFmtId="0" fontId="8" fillId="0" borderId="0" xfId="203" applyFill="1" applyBorder="1"/>
    <xf numFmtId="1" fontId="8" fillId="0" borderId="0" xfId="203" applyNumberFormat="1" applyFont="1" applyFill="1" applyBorder="1"/>
    <xf numFmtId="43" fontId="8" fillId="0" borderId="0" xfId="178" applyFont="1" applyFill="1" applyBorder="1"/>
    <xf numFmtId="10" fontId="8" fillId="0" borderId="0" xfId="214" applyNumberFormat="1" applyFill="1" applyBorder="1"/>
    <xf numFmtId="4" fontId="8" fillId="0" borderId="0" xfId="203" applyNumberFormat="1" applyFill="1" applyBorder="1"/>
    <xf numFmtId="10" fontId="8" fillId="0" borderId="0" xfId="203" applyNumberFormat="1" applyFill="1" applyBorder="1"/>
    <xf numFmtId="43" fontId="6" fillId="28" borderId="1" xfId="178" applyFont="1" applyFill="1" applyBorder="1" applyAlignment="1">
      <alignment horizontal="center"/>
    </xf>
    <xf numFmtId="43" fontId="6" fillId="28" borderId="19" xfId="178" applyFont="1" applyFill="1" applyBorder="1" applyAlignment="1">
      <alignment horizontal="center"/>
    </xf>
    <xf numFmtId="171" fontId="8" fillId="0" borderId="1" xfId="178" applyNumberFormat="1" applyFont="1" applyBorder="1" applyAlignment="1">
      <alignment horizontal="right"/>
    </xf>
    <xf numFmtId="171" fontId="8" fillId="0" borderId="0" xfId="203" applyNumberFormat="1" applyFill="1"/>
    <xf numFmtId="171" fontId="8" fillId="0" borderId="0" xfId="203" applyNumberFormat="1" applyFont="1" applyFill="1"/>
    <xf numFmtId="171" fontId="41" fillId="0" borderId="0" xfId="203" applyNumberFormat="1" applyFont="1"/>
    <xf numFmtId="171" fontId="41" fillId="27" borderId="1" xfId="178" applyNumberFormat="1" applyFont="1" applyFill="1" applyBorder="1"/>
    <xf numFmtId="171" fontId="41" fillId="27" borderId="1" xfId="203" applyNumberFormat="1" applyFont="1" applyFill="1" applyBorder="1"/>
    <xf numFmtId="171" fontId="41" fillId="0" borderId="0" xfId="203" applyNumberFormat="1" applyFont="1" applyFill="1" applyBorder="1"/>
    <xf numFmtId="171" fontId="6" fillId="0" borderId="0" xfId="178" applyNumberFormat="1" applyFont="1" applyFill="1"/>
    <xf numFmtId="171" fontId="6" fillId="0" borderId="1" xfId="178" applyNumberFormat="1" applyFont="1" applyFill="1" applyBorder="1"/>
    <xf numFmtId="174" fontId="6" fillId="0" borderId="1" xfId="178" applyNumberFormat="1" applyFont="1" applyFill="1" applyBorder="1"/>
    <xf numFmtId="171" fontId="6" fillId="0" borderId="0" xfId="178" applyNumberFormat="1" applyFont="1" applyFill="1" applyBorder="1"/>
    <xf numFmtId="171" fontId="6" fillId="0" borderId="0" xfId="203" applyNumberFormat="1" applyFont="1" applyFill="1"/>
    <xf numFmtId="3" fontId="65" fillId="0" borderId="1" xfId="203" applyNumberFormat="1" applyFont="1" applyFill="1" applyBorder="1" applyAlignment="1">
      <alignment horizontal="center"/>
    </xf>
    <xf numFmtId="14" fontId="66" fillId="0" borderId="1" xfId="203" applyNumberFormat="1" applyFont="1" applyFill="1" applyBorder="1" applyAlignment="1" applyProtection="1">
      <alignment horizontal="center"/>
      <protection locked="0"/>
    </xf>
    <xf numFmtId="3" fontId="65" fillId="0" borderId="20" xfId="203" applyNumberFormat="1" applyFont="1" applyFill="1" applyBorder="1" applyAlignment="1">
      <alignment horizontal="center"/>
    </xf>
    <xf numFmtId="3" fontId="66" fillId="0" borderId="14" xfId="203" applyNumberFormat="1" applyFont="1" applyFill="1" applyBorder="1" applyAlignment="1">
      <alignment horizontal="center"/>
    </xf>
    <xf numFmtId="14" fontId="66" fillId="0" borderId="14" xfId="203" applyNumberFormat="1" applyFont="1" applyFill="1" applyBorder="1" applyAlignment="1" applyProtection="1">
      <alignment horizontal="center"/>
      <protection locked="0"/>
    </xf>
    <xf numFmtId="3" fontId="65" fillId="0" borderId="20" xfId="203" applyNumberFormat="1" applyFont="1" applyFill="1" applyBorder="1" applyAlignment="1">
      <alignment horizontal="left"/>
    </xf>
    <xf numFmtId="14" fontId="66" fillId="0" borderId="19" xfId="203" applyNumberFormat="1" applyFont="1" applyFill="1" applyBorder="1" applyAlignment="1" applyProtection="1">
      <alignment horizontal="center"/>
      <protection locked="0"/>
    </xf>
    <xf numFmtId="14" fontId="8" fillId="0" borderId="0" xfId="203" applyNumberFormat="1"/>
    <xf numFmtId="0" fontId="65" fillId="0" borderId="36" xfId="203" applyFont="1" applyFill="1" applyBorder="1" applyAlignment="1">
      <alignment horizontal="center"/>
    </xf>
    <xf numFmtId="10" fontId="65" fillId="0" borderId="37" xfId="203" applyNumberFormat="1" applyFont="1" applyFill="1" applyBorder="1" applyAlignment="1">
      <alignment horizontal="center"/>
    </xf>
    <xf numFmtId="2" fontId="65" fillId="0" borderId="38" xfId="203" applyNumberFormat="1" applyFont="1" applyFill="1" applyBorder="1" applyAlignment="1">
      <alignment horizontal="center"/>
    </xf>
    <xf numFmtId="2" fontId="65" fillId="0" borderId="32" xfId="203" applyNumberFormat="1" applyFont="1" applyFill="1" applyBorder="1" applyAlignment="1">
      <alignment horizontal="center"/>
    </xf>
    <xf numFmtId="4" fontId="65" fillId="0" borderId="38" xfId="203" applyNumberFormat="1" applyFont="1" applyFill="1" applyBorder="1" applyAlignment="1">
      <alignment horizontal="center"/>
    </xf>
    <xf numFmtId="0" fontId="65" fillId="0" borderId="33" xfId="203" applyFont="1" applyFill="1" applyBorder="1" applyAlignment="1" applyProtection="1">
      <alignment horizontal="center"/>
    </xf>
    <xf numFmtId="14" fontId="66" fillId="0" borderId="32" xfId="203" applyNumberFormat="1" applyFont="1" applyFill="1" applyBorder="1" applyAlignment="1" applyProtection="1">
      <alignment horizontal="center"/>
      <protection locked="0"/>
    </xf>
    <xf numFmtId="10" fontId="66" fillId="0" borderId="32" xfId="203" applyNumberFormat="1" applyFont="1" applyFill="1" applyBorder="1" applyAlignment="1" applyProtection="1">
      <alignment horizontal="center"/>
      <protection locked="0"/>
    </xf>
    <xf numFmtId="4" fontId="66" fillId="0" borderId="32" xfId="203" applyNumberFormat="1" applyFont="1" applyFill="1" applyBorder="1" applyAlignment="1" applyProtection="1">
      <alignment horizontal="right"/>
      <protection locked="0"/>
    </xf>
    <xf numFmtId="4" fontId="66" fillId="0" borderId="29" xfId="203" applyNumberFormat="1" applyFont="1" applyFill="1" applyBorder="1" applyAlignment="1" applyProtection="1">
      <alignment horizontal="right"/>
      <protection locked="0"/>
    </xf>
    <xf numFmtId="4" fontId="66" fillId="0" borderId="32" xfId="203" applyNumberFormat="1" applyFont="1" applyFill="1" applyBorder="1" applyAlignment="1" applyProtection="1">
      <alignment horizontal="right"/>
    </xf>
    <xf numFmtId="4" fontId="66" fillId="0" borderId="33" xfId="203" applyNumberFormat="1" applyFont="1" applyFill="1" applyBorder="1" applyAlignment="1" applyProtection="1">
      <alignment horizontal="right"/>
      <protection locked="0"/>
    </xf>
    <xf numFmtId="4" fontId="66" fillId="0" borderId="21" xfId="203" applyNumberFormat="1" applyFont="1" applyFill="1" applyBorder="1" applyAlignment="1" applyProtection="1">
      <alignment horizontal="right"/>
      <protection locked="0"/>
    </xf>
    <xf numFmtId="3" fontId="66" fillId="0" borderId="19" xfId="203" applyNumberFormat="1" applyFont="1" applyFill="1" applyBorder="1" applyAlignment="1">
      <alignment horizontal="center" vertical="center"/>
    </xf>
    <xf numFmtId="3" fontId="66" fillId="0" borderId="1" xfId="203" applyNumberFormat="1" applyFont="1" applyFill="1" applyBorder="1" applyAlignment="1">
      <alignment horizontal="center" vertical="center"/>
    </xf>
    <xf numFmtId="3" fontId="66" fillId="0" borderId="20" xfId="203" applyNumberFormat="1" applyFont="1" applyFill="1" applyBorder="1" applyAlignment="1">
      <alignment horizontal="center" vertical="center"/>
    </xf>
    <xf numFmtId="220" fontId="65" fillId="0" borderId="39" xfId="203" applyNumberFormat="1" applyFont="1" applyFill="1" applyBorder="1" applyAlignment="1" applyProtection="1">
      <alignment horizontal="right" vertical="center" wrapText="1"/>
    </xf>
    <xf numFmtId="220" fontId="65" fillId="0" borderId="40" xfId="203" applyNumberFormat="1" applyFont="1" applyFill="1" applyBorder="1" applyAlignment="1" applyProtection="1">
      <alignment horizontal="right" vertical="center" wrapText="1"/>
    </xf>
    <xf numFmtId="220" fontId="65" fillId="0" borderId="17" xfId="203" applyNumberFormat="1" applyFont="1" applyFill="1" applyBorder="1" applyAlignment="1" applyProtection="1">
      <alignment horizontal="right" vertical="center" wrapText="1"/>
    </xf>
    <xf numFmtId="220" fontId="65" fillId="35" borderId="18" xfId="203" applyNumberFormat="1" applyFont="1" applyFill="1" applyBorder="1" applyAlignment="1">
      <alignment horizontal="right" vertical="center"/>
    </xf>
    <xf numFmtId="0" fontId="7" fillId="0" borderId="0" xfId="203" applyFont="1" applyFill="1" applyAlignment="1">
      <alignment horizontal="center" vertical="top" wrapText="1"/>
    </xf>
    <xf numFmtId="0" fontId="7" fillId="0" borderId="29" xfId="203" applyFont="1" applyFill="1" applyBorder="1" applyAlignment="1">
      <alignment horizontal="center" vertical="top" wrapText="1"/>
    </xf>
    <xf numFmtId="0" fontId="7" fillId="0" borderId="31" xfId="203" applyFont="1" applyFill="1" applyBorder="1" applyAlignment="1">
      <alignment horizontal="center" vertical="top" wrapText="1"/>
    </xf>
    <xf numFmtId="0" fontId="7" fillId="0" borderId="20" xfId="203" applyFont="1" applyFill="1" applyBorder="1" applyAlignment="1">
      <alignment horizontal="center" vertical="top" wrapText="1"/>
    </xf>
    <xf numFmtId="0" fontId="7" fillId="0" borderId="0" xfId="203" applyFont="1" applyFill="1" applyBorder="1" applyAlignment="1">
      <alignment horizontal="center" vertical="top" wrapText="1"/>
    </xf>
    <xf numFmtId="0" fontId="8" fillId="0" borderId="30" xfId="203" applyFill="1" applyBorder="1"/>
    <xf numFmtId="3" fontId="8" fillId="0" borderId="29" xfId="203" applyNumberFormat="1" applyFill="1" applyBorder="1"/>
    <xf numFmtId="3" fontId="8" fillId="0" borderId="31" xfId="203" applyNumberFormat="1" applyFill="1" applyBorder="1"/>
    <xf numFmtId="0" fontId="7" fillId="0" borderId="29" xfId="203" applyFont="1" applyFill="1" applyBorder="1" applyAlignment="1">
      <alignment horizontal="center"/>
    </xf>
    <xf numFmtId="0" fontId="7" fillId="0" borderId="31" xfId="203" applyFont="1" applyFill="1" applyBorder="1" applyAlignment="1">
      <alignment horizontal="center"/>
    </xf>
    <xf numFmtId="0" fontId="8" fillId="0" borderId="29" xfId="203" applyFill="1" applyBorder="1"/>
    <xf numFmtId="0" fontId="7" fillId="0" borderId="0" xfId="203" applyFont="1" applyFill="1"/>
    <xf numFmtId="0" fontId="7" fillId="0" borderId="34" xfId="203" applyFont="1" applyFill="1" applyBorder="1"/>
    <xf numFmtId="3" fontId="8" fillId="0" borderId="0" xfId="203" applyNumberFormat="1" applyFill="1"/>
    <xf numFmtId="0" fontId="7" fillId="0" borderId="32" xfId="203" applyFont="1" applyFill="1" applyBorder="1"/>
    <xf numFmtId="0" fontId="7" fillId="0" borderId="0" xfId="203" applyFont="1" applyFill="1" applyBorder="1"/>
    <xf numFmtId="0" fontId="7" fillId="0" borderId="33" xfId="203" applyFont="1" applyFill="1" applyBorder="1"/>
    <xf numFmtId="0" fontId="8" fillId="0" borderId="23" xfId="203" applyFill="1" applyBorder="1"/>
    <xf numFmtId="3" fontId="8" fillId="0" borderId="24" xfId="203" applyNumberFormat="1" applyFill="1" applyBorder="1"/>
    <xf numFmtId="3" fontId="8" fillId="0" borderId="0" xfId="203" applyNumberFormat="1" applyFill="1" applyBorder="1"/>
    <xf numFmtId="0" fontId="8" fillId="0" borderId="21" xfId="203" applyFill="1" applyBorder="1"/>
    <xf numFmtId="0" fontId="8" fillId="0" borderId="24" xfId="203" applyFill="1" applyBorder="1"/>
    <xf numFmtId="0" fontId="8" fillId="0" borderId="34" xfId="203" applyFill="1" applyBorder="1"/>
    <xf numFmtId="3" fontId="8" fillId="0" borderId="33" xfId="203" applyNumberFormat="1" applyFill="1" applyBorder="1"/>
    <xf numFmtId="3" fontId="8" fillId="0" borderId="32" xfId="203" applyNumberFormat="1" applyFill="1" applyBorder="1"/>
    <xf numFmtId="0" fontId="8" fillId="0" borderId="33" xfId="203" applyFill="1" applyBorder="1"/>
    <xf numFmtId="3" fontId="8" fillId="0" borderId="34" xfId="203" applyNumberFormat="1" applyFill="1" applyBorder="1"/>
    <xf numFmtId="14" fontId="8" fillId="0" borderId="33" xfId="203" applyNumberFormat="1" applyFill="1" applyBorder="1"/>
    <xf numFmtId="14" fontId="8" fillId="0" borderId="0" xfId="203" applyNumberFormat="1" applyFill="1" applyBorder="1"/>
    <xf numFmtId="14" fontId="8" fillId="0" borderId="0" xfId="203" applyNumberFormat="1" applyFill="1"/>
    <xf numFmtId="3" fontId="8" fillId="0" borderId="1" xfId="203" applyNumberFormat="1" applyFill="1" applyBorder="1"/>
    <xf numFmtId="3" fontId="6" fillId="0" borderId="1" xfId="203" applyNumberFormat="1" applyFont="1" applyFill="1" applyBorder="1"/>
    <xf numFmtId="3" fontId="6" fillId="0" borderId="0" xfId="203" applyNumberFormat="1" applyFont="1" applyFill="1" applyBorder="1"/>
    <xf numFmtId="3" fontId="6" fillId="0" borderId="20" xfId="203" applyNumberFormat="1" applyFont="1" applyFill="1" applyBorder="1"/>
    <xf numFmtId="0" fontId="6" fillId="0" borderId="0" xfId="203" applyFont="1" applyFill="1"/>
    <xf numFmtId="0" fontId="6" fillId="0" borderId="1" xfId="203" applyFont="1" applyFill="1" applyBorder="1" applyAlignment="1">
      <alignment horizontal="center" vertical="top" wrapText="1"/>
    </xf>
    <xf numFmtId="0" fontId="6" fillId="0" borderId="14" xfId="203" applyFont="1" applyFill="1" applyBorder="1" applyAlignment="1">
      <alignment horizontal="center" vertical="top" wrapText="1"/>
    </xf>
    <xf numFmtId="0" fontId="6" fillId="0" borderId="19" xfId="203" applyFont="1" applyFill="1" applyBorder="1" applyAlignment="1">
      <alignment horizontal="center" vertical="top" wrapText="1"/>
    </xf>
    <xf numFmtId="3" fontId="6" fillId="0" borderId="19" xfId="203" applyNumberFormat="1" applyFont="1" applyFill="1" applyBorder="1" applyAlignment="1">
      <alignment horizontal="center" vertical="top" wrapText="1"/>
    </xf>
    <xf numFmtId="0" fontId="6" fillId="0" borderId="0" xfId="203" applyFont="1" applyFill="1" applyAlignment="1">
      <alignment horizontal="center" vertical="top" wrapText="1"/>
    </xf>
    <xf numFmtId="3" fontId="6" fillId="0" borderId="0" xfId="203" applyNumberFormat="1" applyFont="1" applyFill="1" applyAlignment="1">
      <alignment horizontal="center" vertical="top" wrapText="1"/>
    </xf>
    <xf numFmtId="0" fontId="6" fillId="0" borderId="0" xfId="203" applyFont="1" applyFill="1" applyBorder="1" applyAlignment="1">
      <alignment horizontal="center" vertical="top" wrapText="1"/>
    </xf>
    <xf numFmtId="0" fontId="8" fillId="0" borderId="41" xfId="265" applyFill="1" applyBorder="1"/>
    <xf numFmtId="0" fontId="67" fillId="0" borderId="42" xfId="265" applyFont="1" applyFill="1" applyBorder="1"/>
    <xf numFmtId="0" fontId="8" fillId="0" borderId="28" xfId="203" applyFill="1" applyBorder="1"/>
    <xf numFmtId="3" fontId="8" fillId="0" borderId="43" xfId="265" applyNumberFormat="1" applyFill="1" applyBorder="1"/>
    <xf numFmtId="4" fontId="8" fillId="0" borderId="44" xfId="203" applyNumberFormat="1" applyFill="1" applyBorder="1" applyAlignment="1">
      <alignment horizontal="center"/>
    </xf>
    <xf numFmtId="3" fontId="8" fillId="0" borderId="44" xfId="203" applyNumberFormat="1" applyFill="1" applyBorder="1"/>
    <xf numFmtId="0" fontId="8" fillId="0" borderId="29" xfId="203" applyFont="1" applyFill="1" applyBorder="1" applyAlignment="1">
      <alignment horizontal="center"/>
    </xf>
    <xf numFmtId="0" fontId="8" fillId="0" borderId="45" xfId="265" applyFill="1" applyBorder="1"/>
    <xf numFmtId="0" fontId="67" fillId="0" borderId="46" xfId="265" applyFont="1" applyFill="1" applyBorder="1"/>
    <xf numFmtId="3" fontId="8" fillId="0" borderId="26" xfId="265" applyNumberFormat="1" applyFill="1" applyBorder="1"/>
    <xf numFmtId="4" fontId="8" fillId="0" borderId="47" xfId="203" applyNumberFormat="1" applyFill="1" applyBorder="1" applyAlignment="1">
      <alignment horizontal="center"/>
    </xf>
    <xf numFmtId="3" fontId="8" fillId="0" borderId="47" xfId="203" applyNumberFormat="1" applyFill="1" applyBorder="1"/>
    <xf numFmtId="0" fontId="8" fillId="0" borderId="33" xfId="203" applyFont="1" applyFill="1" applyBorder="1" applyAlignment="1">
      <alignment horizontal="center"/>
    </xf>
    <xf numFmtId="0" fontId="8" fillId="0" borderId="48" xfId="203" applyFont="1" applyFill="1" applyBorder="1" applyAlignment="1">
      <alignment horizontal="center"/>
    </xf>
    <xf numFmtId="0" fontId="67" fillId="0" borderId="45" xfId="265" applyFont="1" applyFill="1" applyBorder="1"/>
    <xf numFmtId="0" fontId="68" fillId="0" borderId="45" xfId="265" applyFont="1" applyFill="1" applyBorder="1"/>
    <xf numFmtId="0" fontId="8" fillId="0" borderId="49" xfId="265" applyFill="1" applyBorder="1"/>
    <xf numFmtId="0" fontId="67" fillId="0" borderId="50" xfId="265" applyFont="1" applyFill="1" applyBorder="1"/>
    <xf numFmtId="0" fontId="8" fillId="0" borderId="17" xfId="203" applyFill="1" applyBorder="1"/>
    <xf numFmtId="3" fontId="8" fillId="0" borderId="51" xfId="265" applyNumberFormat="1" applyFill="1" applyBorder="1"/>
    <xf numFmtId="4" fontId="8" fillId="0" borderId="52" xfId="203" applyNumberFormat="1" applyFill="1" applyBorder="1" applyAlignment="1">
      <alignment horizontal="center"/>
    </xf>
    <xf numFmtId="3" fontId="8" fillId="0" borderId="52" xfId="203" applyNumberFormat="1" applyFill="1" applyBorder="1"/>
    <xf numFmtId="0" fontId="8" fillId="0" borderId="53" xfId="203" applyFont="1" applyFill="1" applyBorder="1" applyAlignment="1">
      <alignment horizontal="center"/>
    </xf>
    <xf numFmtId="0" fontId="8" fillId="33" borderId="0" xfId="203" applyFill="1"/>
    <xf numFmtId="0" fontId="8" fillId="0" borderId="0" xfId="203" applyAlignment="1">
      <alignment horizontal="right"/>
    </xf>
    <xf numFmtId="0" fontId="8" fillId="0" borderId="1" xfId="203" applyFont="1" applyFill="1" applyBorder="1" applyAlignment="1">
      <alignment vertical="top"/>
    </xf>
    <xf numFmtId="0" fontId="8" fillId="0" borderId="19" xfId="203" applyFont="1" applyFill="1" applyBorder="1" applyAlignment="1">
      <alignment horizontal="center" vertical="top" wrapText="1"/>
    </xf>
    <xf numFmtId="3" fontId="8" fillId="0" borderId="31" xfId="203" applyNumberFormat="1" applyFont="1" applyFill="1" applyBorder="1" applyAlignment="1">
      <alignment horizontal="center" vertical="top" wrapText="1"/>
    </xf>
    <xf numFmtId="3" fontId="8" fillId="0" borderId="1" xfId="203" applyNumberFormat="1" applyFont="1" applyFill="1" applyBorder="1" applyAlignment="1">
      <alignment horizontal="center" vertical="top" wrapText="1"/>
    </xf>
    <xf numFmtId="3" fontId="8" fillId="0" borderId="19" xfId="203" applyNumberFormat="1" applyFont="1" applyFill="1" applyBorder="1" applyAlignment="1">
      <alignment horizontal="center" vertical="top" wrapText="1"/>
    </xf>
    <xf numFmtId="0" fontId="6" fillId="33" borderId="0" xfId="203" applyFont="1" applyFill="1" applyAlignment="1">
      <alignment vertical="top"/>
    </xf>
    <xf numFmtId="0" fontId="8" fillId="0" borderId="48" xfId="203" applyFont="1" applyFill="1" applyBorder="1"/>
    <xf numFmtId="0" fontId="8" fillId="0" borderId="47" xfId="203" applyFont="1" applyFill="1" applyBorder="1"/>
    <xf numFmtId="3" fontId="8" fillId="0" borderId="54" xfId="220" applyNumberFormat="1" applyFont="1" applyFill="1" applyBorder="1" applyAlignment="1">
      <alignment horizontal="center"/>
    </xf>
    <xf numFmtId="3" fontId="8" fillId="0" borderId="47" xfId="203" applyNumberFormat="1" applyFont="1" applyFill="1" applyBorder="1"/>
    <xf numFmtId="183" fontId="8" fillId="0" borderId="28" xfId="203" applyNumberFormat="1" applyFont="1" applyFill="1" applyBorder="1"/>
    <xf numFmtId="0" fontId="8" fillId="0" borderId="54" xfId="203" applyFont="1" applyFill="1" applyBorder="1"/>
    <xf numFmtId="3" fontId="8" fillId="0" borderId="47" xfId="203" applyNumberFormat="1" applyFont="1" applyFill="1" applyBorder="1" applyAlignment="1">
      <alignment horizontal="right"/>
    </xf>
    <xf numFmtId="0" fontId="8" fillId="0" borderId="55" xfId="203" applyFont="1" applyFill="1" applyBorder="1"/>
    <xf numFmtId="3" fontId="8" fillId="0" borderId="48" xfId="220" applyNumberFormat="1" applyFont="1" applyFill="1" applyBorder="1" applyAlignment="1">
      <alignment horizontal="center"/>
    </xf>
    <xf numFmtId="183" fontId="8" fillId="0" borderId="0" xfId="203" applyNumberFormat="1" applyFont="1" applyFill="1" applyBorder="1"/>
    <xf numFmtId="0" fontId="69" fillId="0" borderId="47" xfId="203" applyFont="1" applyFill="1" applyBorder="1"/>
    <xf numFmtId="0" fontId="69" fillId="0" borderId="0" xfId="203" applyFont="1" applyFill="1" applyBorder="1"/>
    <xf numFmtId="0" fontId="8" fillId="0" borderId="53" xfId="203" applyFont="1" applyFill="1" applyBorder="1"/>
    <xf numFmtId="0" fontId="8" fillId="0" borderId="17" xfId="203" applyFont="1" applyFill="1" applyBorder="1"/>
    <xf numFmtId="3" fontId="8" fillId="0" borderId="21" xfId="220" applyNumberFormat="1" applyFont="1" applyFill="1" applyBorder="1" applyAlignment="1">
      <alignment horizontal="center"/>
    </xf>
    <xf numFmtId="3" fontId="8" fillId="0" borderId="24" xfId="203" applyNumberFormat="1" applyFont="1" applyFill="1" applyBorder="1"/>
    <xf numFmtId="183" fontId="8" fillId="0" borderId="17" xfId="203" applyNumberFormat="1" applyFont="1" applyFill="1" applyBorder="1"/>
    <xf numFmtId="0" fontId="8" fillId="0" borderId="21" xfId="203" applyFont="1" applyFill="1" applyBorder="1"/>
    <xf numFmtId="3" fontId="8" fillId="0" borderId="24" xfId="203" applyNumberFormat="1" applyFont="1" applyFill="1" applyBorder="1" applyAlignment="1">
      <alignment horizontal="right"/>
    </xf>
    <xf numFmtId="3" fontId="8" fillId="0" borderId="1" xfId="203" applyNumberFormat="1" applyFont="1" applyFill="1" applyBorder="1" applyAlignment="1">
      <alignment horizontal="right"/>
    </xf>
    <xf numFmtId="3" fontId="8" fillId="0" borderId="0" xfId="203" applyNumberFormat="1" applyAlignment="1">
      <alignment horizontal="right"/>
    </xf>
    <xf numFmtId="0" fontId="6" fillId="33" borderId="1" xfId="203" applyFont="1" applyFill="1" applyBorder="1" applyAlignment="1">
      <alignment horizontal="center" vertical="top"/>
    </xf>
    <xf numFmtId="0" fontId="6" fillId="33" borderId="19" xfId="203" applyFont="1" applyFill="1" applyBorder="1" applyAlignment="1">
      <alignment horizontal="center" vertical="top"/>
    </xf>
    <xf numFmtId="3" fontId="6" fillId="33" borderId="19" xfId="203" applyNumberFormat="1" applyFont="1" applyFill="1" applyBorder="1" applyAlignment="1">
      <alignment horizontal="center" vertical="top" wrapText="1"/>
    </xf>
    <xf numFmtId="3" fontId="6" fillId="33" borderId="1" xfId="203" applyNumberFormat="1" applyFont="1" applyFill="1" applyBorder="1" applyAlignment="1">
      <alignment horizontal="center" vertical="top" wrapText="1"/>
    </xf>
    <xf numFmtId="0" fontId="6" fillId="33" borderId="0" xfId="203" applyFont="1" applyFill="1" applyAlignment="1">
      <alignment horizontal="center" vertical="top"/>
    </xf>
    <xf numFmtId="0" fontId="67" fillId="0" borderId="54" xfId="265" applyFont="1" applyFill="1" applyBorder="1"/>
    <xf numFmtId="0" fontId="67" fillId="0" borderId="26" xfId="265" applyFont="1" applyFill="1" applyBorder="1"/>
    <xf numFmtId="0" fontId="67" fillId="0" borderId="56" xfId="265" applyFont="1" applyFill="1" applyBorder="1"/>
    <xf numFmtId="3" fontId="67" fillId="0" borderId="26" xfId="265" applyNumberFormat="1" applyFont="1" applyFill="1" applyBorder="1"/>
    <xf numFmtId="4" fontId="67" fillId="0" borderId="26" xfId="265" applyNumberFormat="1" applyFont="1" applyFill="1" applyBorder="1" applyAlignment="1">
      <alignment horizontal="center"/>
    </xf>
    <xf numFmtId="3" fontId="67" fillId="0" borderId="48" xfId="203" applyNumberFormat="1" applyFont="1" applyFill="1" applyBorder="1"/>
    <xf numFmtId="3" fontId="8" fillId="33" borderId="47" xfId="203" applyNumberFormat="1" applyFill="1" applyBorder="1"/>
    <xf numFmtId="0" fontId="67" fillId="0" borderId="48" xfId="265" applyFont="1" applyFill="1" applyBorder="1"/>
    <xf numFmtId="3" fontId="67" fillId="0" borderId="26" xfId="265" applyNumberFormat="1" applyFont="1" applyFill="1" applyBorder="1" applyAlignment="1">
      <alignment horizontal="right"/>
    </xf>
    <xf numFmtId="0" fontId="67" fillId="0" borderId="21" xfId="265" applyFont="1" applyFill="1" applyBorder="1"/>
    <xf numFmtId="0" fontId="67" fillId="0" borderId="25" xfId="265" applyFont="1" applyFill="1" applyBorder="1"/>
    <xf numFmtId="0" fontId="8" fillId="0" borderId="1" xfId="203" applyBorder="1" applyAlignment="1">
      <alignment horizontal="center"/>
    </xf>
    <xf numFmtId="0" fontId="8" fillId="33" borderId="14" xfId="203" applyFill="1" applyBorder="1"/>
    <xf numFmtId="0" fontId="8" fillId="33" borderId="20" xfId="203" applyFill="1" applyBorder="1"/>
    <xf numFmtId="0" fontId="6" fillId="33" borderId="1" xfId="203" applyFont="1" applyFill="1" applyBorder="1"/>
    <xf numFmtId="0" fontId="6" fillId="33" borderId="19" xfId="203" applyFont="1" applyFill="1" applyBorder="1"/>
    <xf numFmtId="3" fontId="6" fillId="33" borderId="19" xfId="203" applyNumberFormat="1" applyFont="1" applyFill="1" applyBorder="1"/>
    <xf numFmtId="3" fontId="6" fillId="33" borderId="1" xfId="203" applyNumberFormat="1" applyFont="1" applyFill="1" applyBorder="1"/>
    <xf numFmtId="10" fontId="8" fillId="35" borderId="0" xfId="212" applyNumberFormat="1" applyFont="1" applyFill="1"/>
    <xf numFmtId="3" fontId="8" fillId="33" borderId="0" xfId="203" applyNumberFormat="1" applyFill="1"/>
    <xf numFmtId="0" fontId="7" fillId="33" borderId="1" xfId="203" applyFont="1" applyFill="1" applyBorder="1" applyAlignment="1">
      <alignment horizontal="center" vertical="top" wrapText="1"/>
    </xf>
    <xf numFmtId="0" fontId="70" fillId="33" borderId="48" xfId="203" applyFont="1" applyFill="1" applyBorder="1" applyAlignment="1">
      <alignment horizontal="center" vertical="top" wrapText="1"/>
    </xf>
    <xf numFmtId="0" fontId="70" fillId="33" borderId="1" xfId="203" applyFont="1" applyFill="1" applyBorder="1" applyAlignment="1">
      <alignment horizontal="center" vertical="top" wrapText="1"/>
    </xf>
    <xf numFmtId="0" fontId="8" fillId="0" borderId="48" xfId="203" applyFont="1" applyFill="1" applyBorder="1" applyAlignment="1" applyProtection="1">
      <alignment horizontal="center"/>
      <protection locked="0"/>
    </xf>
    <xf numFmtId="14" fontId="8" fillId="0" borderId="47" xfId="203" applyNumberFormat="1" applyFont="1" applyFill="1" applyBorder="1" applyAlignment="1" applyProtection="1">
      <alignment horizontal="center"/>
      <protection locked="0"/>
    </xf>
    <xf numFmtId="3" fontId="8" fillId="0" borderId="47" xfId="203" applyNumberFormat="1" applyFont="1" applyBorder="1" applyProtection="1">
      <protection locked="0"/>
    </xf>
    <xf numFmtId="0" fontId="57" fillId="37" borderId="54" xfId="203" applyFont="1" applyFill="1" applyBorder="1" applyAlignment="1">
      <alignment vertical="top" wrapText="1"/>
    </xf>
    <xf numFmtId="0" fontId="57" fillId="37" borderId="31" xfId="203" applyFont="1" applyFill="1" applyBorder="1" applyAlignment="1">
      <alignment horizontal="right" vertical="top"/>
    </xf>
    <xf numFmtId="0" fontId="57" fillId="37" borderId="54" xfId="203" applyFont="1" applyFill="1" applyBorder="1" applyAlignment="1">
      <alignment horizontal="right" vertical="top"/>
    </xf>
    <xf numFmtId="0" fontId="8" fillId="0" borderId="54" xfId="203" applyFont="1" applyBorder="1"/>
    <xf numFmtId="14" fontId="8" fillId="33" borderId="47" xfId="203" applyNumberFormat="1" applyFont="1" applyFill="1" applyBorder="1" applyAlignment="1" applyProtection="1">
      <alignment horizontal="center"/>
      <protection locked="0"/>
    </xf>
    <xf numFmtId="3" fontId="8" fillId="33" borderId="47" xfId="203" applyNumberFormat="1" applyFont="1" applyFill="1" applyBorder="1" applyProtection="1">
      <protection locked="0"/>
    </xf>
    <xf numFmtId="0" fontId="57" fillId="37" borderId="48" xfId="203" applyFont="1" applyFill="1" applyBorder="1" applyAlignment="1">
      <alignment vertical="top" wrapText="1"/>
    </xf>
    <xf numFmtId="0" fontId="57" fillId="37" borderId="47" xfId="203" applyFont="1" applyFill="1" applyBorder="1" applyAlignment="1">
      <alignment horizontal="right" vertical="top"/>
    </xf>
    <xf numFmtId="10" fontId="57" fillId="37" borderId="48" xfId="212" applyNumberFormat="1" applyFont="1" applyFill="1" applyBorder="1" applyAlignment="1">
      <alignment horizontal="right" vertical="top"/>
    </xf>
    <xf numFmtId="0" fontId="8" fillId="0" borderId="47" xfId="203" applyFont="1" applyBorder="1"/>
    <xf numFmtId="0" fontId="8" fillId="0" borderId="48" xfId="203" applyFont="1" applyBorder="1"/>
    <xf numFmtId="14" fontId="8" fillId="34" borderId="47" xfId="203" applyNumberFormat="1" applyFont="1" applyFill="1" applyBorder="1" applyAlignment="1" applyProtection="1">
      <alignment horizontal="center"/>
      <protection locked="0"/>
    </xf>
    <xf numFmtId="3" fontId="8" fillId="34" borderId="47" xfId="203" applyNumberFormat="1" applyFont="1" applyFill="1" applyBorder="1" applyProtection="1">
      <protection locked="0"/>
    </xf>
    <xf numFmtId="3" fontId="8" fillId="0" borderId="47" xfId="203" applyNumberFormat="1" applyFont="1" applyFill="1" applyBorder="1" applyProtection="1">
      <protection locked="0"/>
    </xf>
    <xf numFmtId="170" fontId="8" fillId="0" borderId="48" xfId="212" applyNumberFormat="1" applyFont="1" applyBorder="1"/>
    <xf numFmtId="2" fontId="57" fillId="37" borderId="47" xfId="203" applyNumberFormat="1" applyFont="1" applyFill="1" applyBorder="1" applyAlignment="1">
      <alignment horizontal="right" vertical="top"/>
    </xf>
    <xf numFmtId="0" fontId="57" fillId="33" borderId="47" xfId="203" applyFont="1" applyFill="1" applyBorder="1" applyAlignment="1">
      <alignment horizontal="right" vertical="top"/>
    </xf>
    <xf numFmtId="2" fontId="57" fillId="33" borderId="47" xfId="203" applyNumberFormat="1" applyFont="1" applyFill="1" applyBorder="1" applyAlignment="1">
      <alignment horizontal="right" vertical="top"/>
    </xf>
    <xf numFmtId="0" fontId="57" fillId="37" borderId="57" xfId="203" applyFont="1" applyFill="1" applyBorder="1" applyAlignment="1">
      <alignment vertical="top" wrapText="1"/>
    </xf>
    <xf numFmtId="0" fontId="57" fillId="37" borderId="58" xfId="203" applyFont="1" applyFill="1" applyBorder="1" applyAlignment="1">
      <alignment horizontal="right" vertical="top"/>
    </xf>
    <xf numFmtId="10" fontId="57" fillId="37" borderId="57" xfId="212" applyNumberFormat="1" applyFont="1" applyFill="1" applyBorder="1" applyAlignment="1">
      <alignment horizontal="right" vertical="top"/>
    </xf>
    <xf numFmtId="0" fontId="8" fillId="0" borderId="58" xfId="203" applyFont="1" applyBorder="1"/>
    <xf numFmtId="170" fontId="8" fillId="0" borderId="57" xfId="212" applyNumberFormat="1" applyFont="1" applyBorder="1"/>
    <xf numFmtId="0" fontId="57" fillId="37" borderId="0" xfId="203" applyFont="1" applyFill="1" applyBorder="1" applyAlignment="1">
      <alignment vertical="top" wrapText="1"/>
    </xf>
    <xf numFmtId="0" fontId="57" fillId="37" borderId="0" xfId="203" applyFont="1" applyFill="1" applyBorder="1" applyAlignment="1">
      <alignment horizontal="right" vertical="top"/>
    </xf>
    <xf numFmtId="0" fontId="8" fillId="0" borderId="57" xfId="203" applyFont="1" applyBorder="1" applyAlignment="1">
      <alignment horizontal="center"/>
    </xf>
    <xf numFmtId="0" fontId="7" fillId="0" borderId="57" xfId="203" applyFont="1" applyFill="1" applyBorder="1" applyAlignment="1" applyProtection="1">
      <alignment horizontal="center"/>
      <protection locked="0"/>
    </xf>
    <xf numFmtId="14" fontId="7" fillId="0" borderId="58" xfId="203" applyNumberFormat="1" applyFont="1" applyFill="1" applyBorder="1" applyAlignment="1" applyProtection="1">
      <alignment horizontal="center"/>
      <protection locked="0"/>
    </xf>
    <xf numFmtId="3" fontId="6" fillId="0" borderId="1" xfId="203" applyNumberFormat="1" applyFont="1" applyFill="1" applyBorder="1" applyProtection="1">
      <protection locked="0"/>
    </xf>
    <xf numFmtId="4" fontId="8" fillId="0" borderId="0" xfId="203" applyNumberFormat="1" applyFont="1"/>
    <xf numFmtId="0" fontId="8" fillId="33" borderId="0" xfId="203" applyFill="1" applyProtection="1">
      <protection locked="0"/>
    </xf>
    <xf numFmtId="0" fontId="8" fillId="33" borderId="0" xfId="203" applyFill="1" applyBorder="1" applyProtection="1">
      <protection locked="0"/>
    </xf>
    <xf numFmtId="0" fontId="71" fillId="34" borderId="15" xfId="203" applyFont="1" applyFill="1" applyBorder="1" applyAlignment="1">
      <alignment horizontal="center" vertical="center" wrapText="1"/>
    </xf>
    <xf numFmtId="0" fontId="71" fillId="34" borderId="22" xfId="203" applyFont="1" applyFill="1" applyBorder="1" applyAlignment="1">
      <alignment horizontal="center" vertical="center" wrapText="1"/>
    </xf>
    <xf numFmtId="0" fontId="71" fillId="34" borderId="16" xfId="203" applyFont="1" applyFill="1" applyBorder="1" applyAlignment="1">
      <alignment horizontal="center" vertical="center" wrapText="1"/>
    </xf>
    <xf numFmtId="0" fontId="11" fillId="0" borderId="1" xfId="203" applyFont="1" applyBorder="1" applyAlignment="1">
      <alignment horizontal="center" vertical="top" wrapText="1"/>
    </xf>
    <xf numFmtId="0" fontId="11" fillId="0" borderId="19" xfId="203" applyFont="1" applyBorder="1" applyAlignment="1">
      <alignment horizontal="center" vertical="top" wrapText="1"/>
    </xf>
    <xf numFmtId="0" fontId="72" fillId="33" borderId="0" xfId="203" applyFont="1" applyFill="1" applyAlignment="1" applyProtection="1">
      <alignment horizontal="center" vertical="center" wrapText="1"/>
      <protection locked="0"/>
    </xf>
    <xf numFmtId="0" fontId="73" fillId="38" borderId="59" xfId="203" applyFont="1" applyFill="1" applyBorder="1" applyAlignment="1" applyProtection="1">
      <alignment horizontal="left" vertical="center" wrapText="1"/>
      <protection locked="0"/>
    </xf>
    <xf numFmtId="10" fontId="73" fillId="38" borderId="59" xfId="203" applyNumberFormat="1" applyFont="1" applyFill="1" applyBorder="1" applyAlignment="1" applyProtection="1">
      <alignment horizontal="center" vertical="center" wrapText="1"/>
      <protection locked="0"/>
    </xf>
    <xf numFmtId="0" fontId="73" fillId="33" borderId="0" xfId="203" applyFont="1" applyFill="1" applyBorder="1" applyAlignment="1" applyProtection="1">
      <alignment horizontal="center" vertical="center" wrapText="1"/>
      <protection locked="0"/>
    </xf>
    <xf numFmtId="0" fontId="71" fillId="33" borderId="35" xfId="203" applyFont="1" applyFill="1" applyBorder="1" applyAlignment="1">
      <alignment horizontal="center" vertical="center" wrapText="1"/>
    </xf>
    <xf numFmtId="14" fontId="71" fillId="33" borderId="48" xfId="272" applyFont="1" applyFill="1" applyBorder="1" applyAlignment="1">
      <alignment horizontal="center" vertical="center" wrapText="1"/>
    </xf>
    <xf numFmtId="4" fontId="71" fillId="35" borderId="60" xfId="203" applyNumberFormat="1" applyFont="1" applyFill="1" applyBorder="1" applyAlignment="1">
      <alignment horizontal="center" vertical="center" wrapText="1"/>
    </xf>
    <xf numFmtId="4" fontId="71" fillId="33" borderId="61" xfId="203" applyNumberFormat="1" applyFont="1" applyFill="1" applyBorder="1" applyAlignment="1">
      <alignment horizontal="center" vertical="center" wrapText="1"/>
    </xf>
    <xf numFmtId="4" fontId="71" fillId="33" borderId="60" xfId="203" applyNumberFormat="1" applyFont="1" applyFill="1" applyBorder="1" applyAlignment="1">
      <alignment horizontal="center" vertical="center" wrapText="1"/>
    </xf>
    <xf numFmtId="4" fontId="71" fillId="33" borderId="62" xfId="203" applyNumberFormat="1" applyFont="1" applyFill="1" applyBorder="1" applyAlignment="1">
      <alignment horizontal="center" vertical="center" wrapText="1"/>
    </xf>
    <xf numFmtId="10" fontId="71" fillId="33" borderId="62" xfId="203" applyNumberFormat="1" applyFont="1" applyFill="1" applyBorder="1" applyAlignment="1">
      <alignment horizontal="center" vertical="center" wrapText="1"/>
    </xf>
    <xf numFmtId="219" fontId="71" fillId="33" borderId="63" xfId="203" applyNumberFormat="1" applyFont="1" applyFill="1" applyBorder="1" applyAlignment="1">
      <alignment horizontal="center" vertical="center" wrapText="1"/>
    </xf>
    <xf numFmtId="4" fontId="11" fillId="0" borderId="48" xfId="203" applyNumberFormat="1" applyFont="1" applyBorder="1"/>
    <xf numFmtId="0" fontId="72" fillId="33" borderId="0" xfId="203" applyFont="1" applyFill="1" applyBorder="1" applyAlignment="1" applyProtection="1">
      <alignment horizontal="center" vertical="center" wrapText="1"/>
      <protection locked="0"/>
    </xf>
    <xf numFmtId="0" fontId="73" fillId="33" borderId="0" xfId="203" applyFont="1" applyFill="1" applyBorder="1" applyAlignment="1" applyProtection="1">
      <alignment horizontal="left" vertical="center" wrapText="1"/>
      <protection locked="0"/>
    </xf>
    <xf numFmtId="4" fontId="11" fillId="0" borderId="47" xfId="203" applyNumberFormat="1" applyFont="1" applyBorder="1"/>
    <xf numFmtId="195" fontId="73" fillId="0" borderId="59" xfId="203" applyNumberFormat="1" applyFont="1" applyFill="1" applyBorder="1" applyAlignment="1" applyProtection="1">
      <alignment horizontal="center" vertical="center" wrapText="1"/>
      <protection locked="0"/>
    </xf>
    <xf numFmtId="14" fontId="73" fillId="0" borderId="59" xfId="203" applyNumberFormat="1" applyFont="1" applyFill="1" applyBorder="1" applyAlignment="1" applyProtection="1">
      <alignment horizontal="center" vertical="center" wrapText="1"/>
      <protection locked="0"/>
    </xf>
    <xf numFmtId="0" fontId="11" fillId="0" borderId="48" xfId="203" applyFont="1" applyBorder="1"/>
    <xf numFmtId="0" fontId="11" fillId="0" borderId="47" xfId="203" applyFont="1" applyBorder="1"/>
    <xf numFmtId="0" fontId="73" fillId="40" borderId="65" xfId="203" applyFont="1" applyFill="1" applyBorder="1" applyAlignment="1" applyProtection="1">
      <alignment horizontal="left" vertical="center" wrapText="1"/>
      <protection locked="0"/>
    </xf>
    <xf numFmtId="0" fontId="73" fillId="33" borderId="66" xfId="203" applyFont="1" applyFill="1" applyBorder="1" applyAlignment="1" applyProtection="1">
      <alignment horizontal="center" vertical="center" wrapText="1"/>
      <protection locked="0"/>
    </xf>
    <xf numFmtId="0" fontId="73" fillId="40" borderId="59" xfId="203" applyFont="1" applyFill="1" applyBorder="1" applyAlignment="1" applyProtection="1">
      <alignment horizontal="left" vertical="center" wrapText="1"/>
      <protection locked="0"/>
    </xf>
    <xf numFmtId="14" fontId="73" fillId="41" borderId="68" xfId="203" applyNumberFormat="1" applyFont="1" applyFill="1" applyBorder="1" applyAlignment="1" applyProtection="1">
      <alignment horizontal="center" vertical="center" wrapText="1"/>
    </xf>
    <xf numFmtId="0" fontId="73" fillId="40" borderId="70" xfId="203" applyFont="1" applyFill="1" applyBorder="1" applyAlignment="1" applyProtection="1">
      <alignment horizontal="left" vertical="center" wrapText="1"/>
      <protection locked="0"/>
    </xf>
    <xf numFmtId="0" fontId="73" fillId="33" borderId="71" xfId="203" applyFont="1" applyFill="1" applyBorder="1" applyAlignment="1" applyProtection="1">
      <alignment horizontal="center" vertical="center" wrapText="1"/>
      <protection locked="0"/>
    </xf>
    <xf numFmtId="0" fontId="73" fillId="33" borderId="68" xfId="203" applyFont="1" applyFill="1" applyBorder="1" applyAlignment="1" applyProtection="1">
      <alignment horizontal="center" vertical="center" wrapText="1"/>
      <protection locked="0"/>
    </xf>
    <xf numFmtId="10" fontId="73" fillId="33" borderId="68" xfId="203" applyNumberFormat="1" applyFont="1" applyFill="1" applyBorder="1" applyAlignment="1" applyProtection="1">
      <alignment horizontal="center" vertical="center" wrapText="1"/>
      <protection locked="0"/>
    </xf>
    <xf numFmtId="4" fontId="71" fillId="31" borderId="61" xfId="203" applyNumberFormat="1" applyFont="1" applyFill="1" applyBorder="1" applyAlignment="1">
      <alignment horizontal="center" vertical="center" wrapText="1"/>
    </xf>
    <xf numFmtId="10" fontId="73" fillId="33" borderId="71" xfId="203" applyNumberFormat="1" applyFont="1" applyFill="1" applyBorder="1" applyAlignment="1" applyProtection="1">
      <alignment horizontal="center" vertical="center" wrapText="1"/>
      <protection locked="0"/>
    </xf>
    <xf numFmtId="0" fontId="73" fillId="33" borderId="0" xfId="203" applyFont="1" applyFill="1" applyProtection="1">
      <protection locked="0"/>
    </xf>
    <xf numFmtId="0" fontId="37" fillId="33" borderId="72" xfId="203" applyFont="1" applyFill="1" applyBorder="1" applyAlignment="1">
      <alignment horizontal="center" vertical="center" wrapText="1"/>
    </xf>
    <xf numFmtId="0" fontId="37" fillId="33" borderId="73" xfId="203" applyFont="1" applyFill="1" applyBorder="1" applyAlignment="1">
      <alignment horizontal="center" vertical="center" wrapText="1"/>
    </xf>
    <xf numFmtId="4" fontId="37" fillId="33" borderId="73" xfId="203" applyNumberFormat="1" applyFont="1" applyFill="1" applyBorder="1" applyAlignment="1">
      <alignment horizontal="center" vertical="center" wrapText="1"/>
    </xf>
    <xf numFmtId="4" fontId="37" fillId="33" borderId="74" xfId="203" applyNumberFormat="1" applyFont="1" applyFill="1" applyBorder="1" applyAlignment="1">
      <alignment horizontal="center" vertical="center" wrapText="1"/>
    </xf>
    <xf numFmtId="4" fontId="37" fillId="33" borderId="75" xfId="203" applyNumberFormat="1" applyFont="1" applyFill="1" applyBorder="1" applyAlignment="1">
      <alignment horizontal="center" vertical="center" wrapText="1"/>
    </xf>
    <xf numFmtId="4" fontId="37" fillId="33" borderId="76" xfId="203" applyNumberFormat="1" applyFont="1" applyFill="1" applyBorder="1" applyAlignment="1">
      <alignment horizontal="center" vertical="center" wrapText="1"/>
    </xf>
    <xf numFmtId="195" fontId="8" fillId="0" borderId="0" xfId="203" applyNumberFormat="1"/>
    <xf numFmtId="10" fontId="0" fillId="0" borderId="0" xfId="212" applyNumberFormat="1" applyFont="1"/>
    <xf numFmtId="0" fontId="8" fillId="33" borderId="80" xfId="203" applyFont="1" applyFill="1" applyBorder="1"/>
    <xf numFmtId="0" fontId="8" fillId="33" borderId="79" xfId="203" applyFont="1" applyFill="1" applyBorder="1"/>
    <xf numFmtId="0" fontId="75" fillId="33" borderId="79" xfId="203" applyFont="1" applyFill="1" applyBorder="1"/>
    <xf numFmtId="0" fontId="8" fillId="33" borderId="48" xfId="203" applyFont="1" applyFill="1" applyBorder="1" applyAlignment="1">
      <alignment horizontal="left"/>
    </xf>
    <xf numFmtId="3" fontId="8" fillId="33" borderId="47" xfId="203" applyNumberFormat="1" applyFont="1" applyFill="1" applyBorder="1"/>
    <xf numFmtId="2" fontId="8" fillId="33" borderId="47" xfId="203" applyNumberFormat="1" applyFont="1" applyFill="1" applyBorder="1"/>
    <xf numFmtId="0" fontId="8" fillId="33" borderId="80" xfId="203" applyFont="1" applyFill="1" applyBorder="1" applyAlignment="1">
      <alignment horizontal="left"/>
    </xf>
    <xf numFmtId="3" fontId="8" fillId="33" borderId="79" xfId="203" applyNumberFormat="1" applyFont="1" applyFill="1" applyBorder="1"/>
    <xf numFmtId="3" fontId="75" fillId="33" borderId="79" xfId="203" applyNumberFormat="1" applyFont="1" applyFill="1" applyBorder="1" applyAlignment="1">
      <alignment horizontal="right"/>
    </xf>
    <xf numFmtId="2" fontId="75" fillId="33" borderId="79" xfId="203" applyNumberFormat="1" applyFont="1" applyFill="1" applyBorder="1"/>
    <xf numFmtId="193" fontId="75" fillId="33" borderId="79" xfId="203" applyNumberFormat="1" applyFont="1" applyFill="1" applyBorder="1"/>
    <xf numFmtId="0" fontId="8" fillId="0" borderId="80" xfId="203" applyBorder="1"/>
    <xf numFmtId="0" fontId="6" fillId="0" borderId="80" xfId="203" applyFont="1" applyBorder="1" applyAlignment="1">
      <alignment horizontal="center"/>
    </xf>
    <xf numFmtId="0" fontId="75" fillId="33" borderId="81" xfId="203" applyFont="1" applyFill="1" applyBorder="1"/>
    <xf numFmtId="3" fontId="8" fillId="0" borderId="82" xfId="203" applyNumberFormat="1" applyBorder="1"/>
    <xf numFmtId="193" fontId="8" fillId="0" borderId="82" xfId="203" applyNumberFormat="1" applyBorder="1"/>
    <xf numFmtId="4" fontId="75" fillId="33" borderId="82" xfId="203" applyNumberFormat="1" applyFont="1" applyFill="1" applyBorder="1"/>
    <xf numFmtId="0" fontId="75" fillId="33" borderId="57" xfId="203" applyFont="1" applyFill="1" applyBorder="1"/>
    <xf numFmtId="3" fontId="8" fillId="0" borderId="58" xfId="203" applyNumberFormat="1" applyBorder="1"/>
    <xf numFmtId="193" fontId="8" fillId="0" borderId="58" xfId="203" applyNumberFormat="1" applyBorder="1"/>
    <xf numFmtId="4" fontId="75" fillId="33" borderId="58" xfId="203" applyNumberFormat="1" applyFont="1" applyFill="1" applyBorder="1"/>
    <xf numFmtId="0" fontId="8" fillId="0" borderId="58" xfId="203" applyBorder="1"/>
    <xf numFmtId="0" fontId="76" fillId="0" borderId="80" xfId="203" applyFont="1" applyBorder="1" applyAlignment="1">
      <alignment horizontal="justify" vertical="top" wrapText="1"/>
    </xf>
    <xf numFmtId="0" fontId="76" fillId="0" borderId="79" xfId="203" applyFont="1" applyBorder="1" applyAlignment="1">
      <alignment horizontal="center" vertical="top" wrapText="1"/>
    </xf>
    <xf numFmtId="0" fontId="70" fillId="0" borderId="79" xfId="203" applyFont="1" applyBorder="1" applyAlignment="1">
      <alignment horizontal="center" vertical="top"/>
    </xf>
    <xf numFmtId="0" fontId="6" fillId="0" borderId="80" xfId="203" applyFont="1" applyBorder="1" applyAlignment="1">
      <alignment horizontal="center" vertical="top" wrapText="1"/>
    </xf>
    <xf numFmtId="0" fontId="76" fillId="0" borderId="57" xfId="203" applyFont="1" applyBorder="1" applyAlignment="1">
      <alignment horizontal="justify" vertical="center" wrapText="1"/>
    </xf>
    <xf numFmtId="0" fontId="77" fillId="0" borderId="58" xfId="203" applyFont="1" applyBorder="1" applyAlignment="1">
      <alignment horizontal="center" vertical="center" wrapText="1"/>
    </xf>
    <xf numFmtId="0" fontId="78" fillId="0" borderId="58" xfId="203" applyFont="1" applyBorder="1" applyAlignment="1">
      <alignment horizontal="center" vertical="center" wrapText="1"/>
    </xf>
    <xf numFmtId="8" fontId="78" fillId="0" borderId="58" xfId="203" applyNumberFormat="1" applyFont="1" applyBorder="1" applyAlignment="1">
      <alignment horizontal="center" vertical="center"/>
    </xf>
    <xf numFmtId="0" fontId="8" fillId="0" borderId="48" xfId="203" applyBorder="1"/>
    <xf numFmtId="221" fontId="0" fillId="0" borderId="48" xfId="178" applyNumberFormat="1" applyFont="1" applyBorder="1"/>
    <xf numFmtId="0" fontId="58" fillId="0" borderId="0" xfId="203" applyFont="1" applyAlignment="1">
      <alignment vertical="center" wrapText="1"/>
    </xf>
    <xf numFmtId="0" fontId="77" fillId="0" borderId="0" xfId="203" applyFont="1" applyBorder="1" applyAlignment="1">
      <alignment horizontal="center" vertical="center" wrapText="1"/>
    </xf>
    <xf numFmtId="0" fontId="78" fillId="0" borderId="83" xfId="203" applyFont="1" applyBorder="1" applyAlignment="1">
      <alignment horizontal="center" vertical="center" wrapText="1"/>
    </xf>
    <xf numFmtId="8" fontId="78" fillId="0" borderId="79" xfId="203" applyNumberFormat="1" applyFont="1" applyBorder="1" applyAlignment="1">
      <alignment horizontal="center" vertical="center"/>
    </xf>
    <xf numFmtId="0" fontId="8" fillId="0" borderId="57" xfId="203" applyBorder="1"/>
    <xf numFmtId="0" fontId="7" fillId="0" borderId="84" xfId="203" applyFont="1" applyBorder="1" applyAlignment="1">
      <alignment horizontal="center" vertical="top" wrapText="1"/>
    </xf>
    <xf numFmtId="0" fontId="7" fillId="0" borderId="81" xfId="203" applyFont="1" applyBorder="1" applyAlignment="1">
      <alignment horizontal="center" vertical="top" wrapText="1"/>
    </xf>
    <xf numFmtId="0" fontId="7" fillId="0" borderId="82" xfId="203" applyFont="1" applyBorder="1" applyAlignment="1">
      <alignment horizontal="center" vertical="top" wrapText="1"/>
    </xf>
    <xf numFmtId="0" fontId="7" fillId="31" borderId="82" xfId="203" applyFont="1" applyFill="1" applyBorder="1" applyAlignment="1">
      <alignment horizontal="center" vertical="top" wrapText="1"/>
    </xf>
    <xf numFmtId="0" fontId="7" fillId="31" borderId="81" xfId="203" applyFont="1" applyFill="1" applyBorder="1" applyAlignment="1">
      <alignment horizontal="center" vertical="top" wrapText="1"/>
    </xf>
    <xf numFmtId="0" fontId="7" fillId="0" borderId="82" xfId="203" applyFont="1" applyFill="1" applyBorder="1" applyAlignment="1">
      <alignment horizontal="center" vertical="top" wrapText="1"/>
    </xf>
    <xf numFmtId="0" fontId="7" fillId="0" borderId="80" xfId="203" applyFont="1" applyBorder="1" applyAlignment="1">
      <alignment horizontal="center" vertical="top" wrapText="1"/>
    </xf>
    <xf numFmtId="0" fontId="7" fillId="0" borderId="79" xfId="203" applyFont="1" applyBorder="1" applyAlignment="1">
      <alignment horizontal="center" vertical="top" wrapText="1"/>
    </xf>
    <xf numFmtId="0" fontId="7" fillId="0" borderId="0" xfId="203" applyFont="1" applyAlignment="1">
      <alignment horizontal="center" vertical="top" wrapText="1"/>
    </xf>
    <xf numFmtId="0" fontId="8" fillId="0" borderId="84" xfId="203" applyBorder="1"/>
    <xf numFmtId="0" fontId="8" fillId="0" borderId="81" xfId="203" applyBorder="1"/>
    <xf numFmtId="0" fontId="8" fillId="0" borderId="82" xfId="203" applyBorder="1"/>
    <xf numFmtId="0" fontId="8" fillId="31" borderId="82" xfId="203" applyFill="1" applyBorder="1"/>
    <xf numFmtId="0" fontId="8" fillId="31" borderId="81" xfId="203" applyFill="1" applyBorder="1"/>
    <xf numFmtId="0" fontId="7" fillId="0" borderId="55" xfId="203" applyFont="1" applyBorder="1"/>
    <xf numFmtId="3" fontId="7" fillId="0" borderId="48" xfId="203" applyNumberFormat="1" applyFont="1" applyBorder="1"/>
    <xf numFmtId="3" fontId="7" fillId="0" borderId="47" xfId="203" applyNumberFormat="1" applyFont="1" applyBorder="1"/>
    <xf numFmtId="3" fontId="7" fillId="31" borderId="47" xfId="203" applyNumberFormat="1" applyFont="1" applyFill="1" applyBorder="1"/>
    <xf numFmtId="3" fontId="7" fillId="31" borderId="48" xfId="203" applyNumberFormat="1" applyFont="1" applyFill="1" applyBorder="1"/>
    <xf numFmtId="3" fontId="7" fillId="0" borderId="0" xfId="203" applyNumberFormat="1" applyFont="1" applyBorder="1"/>
    <xf numFmtId="0" fontId="7" fillId="0" borderId="48" xfId="203" applyFont="1" applyBorder="1"/>
    <xf numFmtId="0" fontId="7" fillId="0" borderId="0" xfId="203" applyFont="1"/>
    <xf numFmtId="0" fontId="7" fillId="0" borderId="47" xfId="203" applyFont="1" applyBorder="1"/>
    <xf numFmtId="0" fontId="7" fillId="31" borderId="47" xfId="203" applyFont="1" applyFill="1" applyBorder="1"/>
    <xf numFmtId="0" fontId="7" fillId="31" borderId="48" xfId="203" applyFont="1" applyFill="1" applyBorder="1"/>
    <xf numFmtId="0" fontId="7" fillId="0" borderId="0" xfId="203" applyFont="1" applyBorder="1"/>
    <xf numFmtId="0" fontId="7" fillId="0" borderId="85" xfId="203" applyFont="1" applyBorder="1" applyAlignment="1">
      <alignment horizontal="left"/>
    </xf>
    <xf numFmtId="0" fontId="7" fillId="0" borderId="57" xfId="203" applyFont="1" applyBorder="1" applyAlignment="1">
      <alignment horizontal="center"/>
    </xf>
    <xf numFmtId="0" fontId="7" fillId="0" borderId="58" xfId="203" applyFont="1" applyBorder="1" applyAlignment="1">
      <alignment horizontal="center"/>
    </xf>
    <xf numFmtId="0" fontId="7" fillId="31" borderId="58" xfId="203" applyFont="1" applyFill="1" applyBorder="1" applyAlignment="1">
      <alignment horizontal="center"/>
    </xf>
    <xf numFmtId="0" fontId="7" fillId="31" borderId="57" xfId="203" applyFont="1" applyFill="1" applyBorder="1" applyAlignment="1">
      <alignment horizontal="center"/>
    </xf>
    <xf numFmtId="0" fontId="7" fillId="0" borderId="0" xfId="203" applyFont="1" applyBorder="1" applyAlignment="1">
      <alignment horizontal="center"/>
    </xf>
    <xf numFmtId="0" fontId="7" fillId="0" borderId="0" xfId="203" applyFont="1" applyAlignment="1">
      <alignment horizontal="center"/>
    </xf>
    <xf numFmtId="0" fontId="8" fillId="0" borderId="55" xfId="203" applyBorder="1"/>
    <xf numFmtId="3" fontId="8" fillId="0" borderId="48" xfId="203" applyNumberFormat="1" applyBorder="1"/>
    <xf numFmtId="3" fontId="8" fillId="0" borderId="47" xfId="203" applyNumberFormat="1" applyBorder="1"/>
    <xf numFmtId="3" fontId="8" fillId="31" borderId="47" xfId="203" applyNumberFormat="1" applyFill="1" applyBorder="1"/>
    <xf numFmtId="3" fontId="8" fillId="31" borderId="48" xfId="203" applyNumberFormat="1" applyFill="1" applyBorder="1"/>
    <xf numFmtId="3" fontId="8" fillId="0" borderId="0" xfId="203" applyNumberFormat="1" applyBorder="1"/>
    <xf numFmtId="0" fontId="6" fillId="0" borderId="85" xfId="203" applyFont="1" applyBorder="1"/>
    <xf numFmtId="3" fontId="6" fillId="0" borderId="57" xfId="203" applyNumberFormat="1" applyFont="1" applyBorder="1"/>
    <xf numFmtId="3" fontId="6" fillId="0" borderId="58" xfId="203" applyNumberFormat="1" applyFont="1" applyBorder="1"/>
    <xf numFmtId="3" fontId="6" fillId="31" borderId="58" xfId="203" applyNumberFormat="1" applyFont="1" applyFill="1" applyBorder="1"/>
    <xf numFmtId="3" fontId="6" fillId="31" borderId="57" xfId="203" applyNumberFormat="1" applyFont="1" applyFill="1" applyBorder="1"/>
    <xf numFmtId="3" fontId="6" fillId="0" borderId="0" xfId="203" applyNumberFormat="1" applyFont="1" applyBorder="1"/>
    <xf numFmtId="0" fontId="8" fillId="0" borderId="85" xfId="203" applyBorder="1"/>
    <xf numFmtId="3" fontId="8" fillId="0" borderId="57" xfId="203" applyNumberFormat="1" applyBorder="1"/>
    <xf numFmtId="3" fontId="8" fillId="31" borderId="58" xfId="203" applyNumberFormat="1" applyFill="1" applyBorder="1"/>
    <xf numFmtId="3" fontId="8" fillId="31" borderId="57" xfId="203" applyNumberFormat="1" applyFill="1" applyBorder="1"/>
    <xf numFmtId="3" fontId="6" fillId="0" borderId="0" xfId="203" applyNumberFormat="1" applyFont="1"/>
    <xf numFmtId="3" fontId="6" fillId="0" borderId="0" xfId="203" applyNumberFormat="1" applyFont="1" applyAlignment="1">
      <alignment horizontal="center"/>
    </xf>
    <xf numFmtId="0" fontId="7" fillId="0" borderId="57" xfId="203" applyFont="1" applyBorder="1"/>
    <xf numFmtId="0" fontId="7" fillId="31" borderId="58" xfId="203" applyFont="1" applyFill="1" applyBorder="1"/>
    <xf numFmtId="0" fontId="7" fillId="0" borderId="58" xfId="203" applyFont="1" applyBorder="1"/>
    <xf numFmtId="3" fontId="8" fillId="31" borderId="47" xfId="203" applyNumberFormat="1" applyFont="1" applyFill="1" applyBorder="1"/>
    <xf numFmtId="3" fontId="8" fillId="0" borderId="47" xfId="203" applyNumberFormat="1" applyFont="1" applyBorder="1"/>
    <xf numFmtId="0" fontId="6" fillId="0" borderId="57" xfId="203" applyFont="1" applyBorder="1"/>
    <xf numFmtId="3" fontId="8" fillId="0" borderId="80" xfId="203" applyNumberFormat="1" applyBorder="1"/>
    <xf numFmtId="3" fontId="38" fillId="33" borderId="47" xfId="0" applyNumberFormat="1" applyFont="1" applyFill="1" applyBorder="1"/>
    <xf numFmtId="0" fontId="7" fillId="0" borderId="29" xfId="203" applyFont="1" applyBorder="1" applyAlignment="1">
      <alignment horizontal="center" vertical="top" wrapText="1"/>
    </xf>
    <xf numFmtId="0" fontId="7" fillId="0" borderId="33" xfId="203" applyFont="1" applyBorder="1" applyAlignment="1">
      <alignment horizontal="center" vertical="top" wrapText="1"/>
    </xf>
    <xf numFmtId="0" fontId="7" fillId="0" borderId="21" xfId="203" applyFont="1" applyBorder="1" applyAlignment="1">
      <alignment horizontal="center" vertical="top" wrapText="1"/>
    </xf>
    <xf numFmtId="3" fontId="7" fillId="0" borderId="29" xfId="203" applyNumberFormat="1" applyFont="1" applyBorder="1" applyAlignment="1">
      <alignment horizontal="center" vertical="top" wrapText="1"/>
    </xf>
    <xf numFmtId="3" fontId="7" fillId="0" borderId="21" xfId="203" applyNumberFormat="1" applyFont="1" applyBorder="1" applyAlignment="1">
      <alignment horizontal="center" vertical="top" wrapText="1"/>
    </xf>
    <xf numFmtId="0" fontId="6" fillId="0" borderId="29" xfId="203" applyFont="1" applyBorder="1" applyAlignment="1">
      <alignment horizontal="center" vertical="top" wrapText="1"/>
    </xf>
    <xf numFmtId="0" fontId="6" fillId="0" borderId="21" xfId="203" applyFont="1" applyBorder="1" applyAlignment="1">
      <alignment horizontal="center" vertical="top" wrapText="1"/>
    </xf>
    <xf numFmtId="0" fontId="6" fillId="0" borderId="33" xfId="203" applyFont="1" applyBorder="1" applyAlignment="1">
      <alignment horizontal="center" vertical="top" wrapText="1"/>
    </xf>
    <xf numFmtId="0" fontId="6" fillId="0" borderId="20" xfId="203" applyFont="1" applyBorder="1" applyAlignment="1">
      <alignment horizontal="center"/>
    </xf>
    <xf numFmtId="0" fontId="6" fillId="0" borderId="19" xfId="203" applyFont="1" applyBorder="1" applyAlignment="1">
      <alignment horizontal="center"/>
    </xf>
    <xf numFmtId="0" fontId="6" fillId="0" borderId="28" xfId="203" applyFont="1" applyBorder="1" applyAlignment="1">
      <alignment horizontal="center"/>
    </xf>
    <xf numFmtId="0" fontId="8" fillId="0" borderId="31" xfId="203" applyBorder="1" applyAlignment="1">
      <alignment horizontal="center"/>
    </xf>
    <xf numFmtId="0" fontId="6" fillId="0" borderId="30" xfId="203" applyFont="1" applyBorder="1" applyAlignment="1">
      <alignment horizontal="center"/>
    </xf>
    <xf numFmtId="0" fontId="6" fillId="0" borderId="14" xfId="203" applyFont="1" applyBorder="1" applyAlignment="1">
      <alignment horizontal="center"/>
    </xf>
    <xf numFmtId="0" fontId="6" fillId="0" borderId="31" xfId="203" applyFont="1" applyBorder="1" applyAlignment="1">
      <alignment horizontal="center"/>
    </xf>
    <xf numFmtId="0" fontId="6" fillId="0" borderId="0" xfId="203" applyFont="1" applyAlignment="1">
      <alignment horizontal="center"/>
    </xf>
    <xf numFmtId="3" fontId="65" fillId="0" borderId="20" xfId="203" applyNumberFormat="1" applyFont="1" applyFill="1" applyBorder="1" applyAlignment="1">
      <alignment horizontal="center"/>
    </xf>
    <xf numFmtId="3" fontId="65" fillId="0" borderId="14" xfId="203" applyNumberFormat="1" applyFont="1" applyFill="1" applyBorder="1" applyAlignment="1">
      <alignment horizontal="center"/>
    </xf>
    <xf numFmtId="3" fontId="65" fillId="0" borderId="28" xfId="203" applyNumberFormat="1" applyFont="1" applyFill="1" applyBorder="1" applyAlignment="1">
      <alignment horizontal="center"/>
    </xf>
    <xf numFmtId="3" fontId="65" fillId="0" borderId="31" xfId="203" applyNumberFormat="1" applyFont="1" applyFill="1" applyBorder="1" applyAlignment="1">
      <alignment horizontal="center"/>
    </xf>
    <xf numFmtId="0" fontId="7" fillId="0" borderId="29" xfId="203" applyFont="1" applyFill="1" applyBorder="1" applyAlignment="1">
      <alignment horizontal="center" vertical="top" wrapText="1"/>
    </xf>
    <xf numFmtId="0" fontId="7" fillId="0" borderId="21" xfId="203" applyFont="1" applyFill="1" applyBorder="1" applyAlignment="1">
      <alignment horizontal="center" vertical="top" wrapText="1"/>
    </xf>
    <xf numFmtId="0" fontId="6" fillId="0" borderId="20" xfId="203" applyFont="1" applyFill="1" applyBorder="1" applyAlignment="1">
      <alignment horizontal="center"/>
    </xf>
    <xf numFmtId="0" fontId="6" fillId="0" borderId="14" xfId="203" applyFont="1" applyFill="1" applyBorder="1" applyAlignment="1">
      <alignment horizontal="center"/>
    </xf>
    <xf numFmtId="0" fontId="6" fillId="0" borderId="19" xfId="203" applyFont="1" applyFill="1" applyBorder="1" applyAlignment="1">
      <alignment horizontal="center"/>
    </xf>
    <xf numFmtId="0" fontId="7" fillId="0" borderId="33" xfId="203" applyFont="1" applyFill="1" applyBorder="1" applyAlignment="1">
      <alignment horizontal="center" vertical="top" wrapText="1"/>
    </xf>
    <xf numFmtId="0" fontId="6" fillId="0" borderId="30" xfId="203" applyFont="1" applyFill="1" applyBorder="1" applyAlignment="1">
      <alignment horizontal="center" vertical="top"/>
    </xf>
    <xf numFmtId="0" fontId="6" fillId="0" borderId="31" xfId="203" applyFont="1" applyFill="1" applyBorder="1" applyAlignment="1">
      <alignment horizontal="center" vertical="top"/>
    </xf>
    <xf numFmtId="0" fontId="6" fillId="0" borderId="23" xfId="203" applyFont="1" applyFill="1" applyBorder="1" applyAlignment="1">
      <alignment horizontal="center" vertical="top"/>
    </xf>
    <xf numFmtId="0" fontId="6" fillId="0" borderId="24" xfId="203" applyFont="1" applyFill="1" applyBorder="1" applyAlignment="1">
      <alignment horizontal="center" vertical="top"/>
    </xf>
    <xf numFmtId="0" fontId="7" fillId="0" borderId="30" xfId="203" applyFont="1" applyFill="1" applyBorder="1" applyAlignment="1">
      <alignment horizontal="center" vertical="top" wrapText="1"/>
    </xf>
    <xf numFmtId="0" fontId="7" fillId="0" borderId="28" xfId="203" applyFont="1" applyFill="1" applyBorder="1" applyAlignment="1">
      <alignment horizontal="center" vertical="top" wrapText="1"/>
    </xf>
    <xf numFmtId="0" fontId="7" fillId="0" borderId="31" xfId="203" applyFont="1" applyFill="1" applyBorder="1" applyAlignment="1">
      <alignment horizontal="center" vertical="top" wrapText="1"/>
    </xf>
    <xf numFmtId="0" fontId="7" fillId="0" borderId="23" xfId="203" applyFont="1" applyFill="1" applyBorder="1" applyAlignment="1">
      <alignment horizontal="center" vertical="top" wrapText="1"/>
    </xf>
    <xf numFmtId="0" fontId="7" fillId="0" borderId="17" xfId="203" applyFont="1" applyFill="1" applyBorder="1" applyAlignment="1">
      <alignment horizontal="center" vertical="top" wrapText="1"/>
    </xf>
    <xf numFmtId="0" fontId="7" fillId="0" borderId="24" xfId="203" applyFont="1" applyFill="1" applyBorder="1" applyAlignment="1">
      <alignment horizontal="center" vertical="top" wrapText="1"/>
    </xf>
    <xf numFmtId="0" fontId="6" fillId="0" borderId="34" xfId="203" applyFont="1" applyFill="1" applyBorder="1" applyAlignment="1">
      <alignment horizontal="center" vertical="top"/>
    </xf>
    <xf numFmtId="0" fontId="6" fillId="0" borderId="29" xfId="203" applyFont="1" applyFill="1" applyBorder="1" applyAlignment="1">
      <alignment horizontal="center" vertical="top"/>
    </xf>
    <xf numFmtId="0" fontId="6" fillId="0" borderId="33" xfId="203" applyFont="1" applyFill="1" applyBorder="1" applyAlignment="1">
      <alignment horizontal="center" vertical="top"/>
    </xf>
    <xf numFmtId="0" fontId="6" fillId="0" borderId="21" xfId="203" applyFont="1" applyFill="1" applyBorder="1" applyAlignment="1">
      <alignment horizontal="center" vertical="top"/>
    </xf>
    <xf numFmtId="0" fontId="6" fillId="33" borderId="20" xfId="203" applyFont="1" applyFill="1" applyBorder="1" applyAlignment="1">
      <alignment horizontal="center" vertical="top" wrapText="1"/>
    </xf>
    <xf numFmtId="0" fontId="6" fillId="33" borderId="14" xfId="203" applyFont="1" applyFill="1" applyBorder="1" applyAlignment="1">
      <alignment horizontal="center" vertical="top" wrapText="1"/>
    </xf>
    <xf numFmtId="0" fontId="6" fillId="33" borderId="19" xfId="203" applyFont="1" applyFill="1" applyBorder="1" applyAlignment="1">
      <alignment horizontal="center" vertical="top" wrapText="1"/>
    </xf>
    <xf numFmtId="0" fontId="7" fillId="33" borderId="54" xfId="203" applyFont="1" applyFill="1" applyBorder="1" applyAlignment="1">
      <alignment horizontal="center" vertical="top"/>
    </xf>
    <xf numFmtId="0" fontId="7" fillId="33" borderId="57" xfId="203" applyFont="1" applyFill="1" applyBorder="1" applyAlignment="1">
      <alignment horizontal="center" vertical="top"/>
    </xf>
    <xf numFmtId="0" fontId="7" fillId="33" borderId="54" xfId="203" applyFont="1" applyFill="1" applyBorder="1" applyAlignment="1">
      <alignment horizontal="center" vertical="top" wrapText="1"/>
    </xf>
    <xf numFmtId="0" fontId="7" fillId="33" borderId="57" xfId="203" applyFont="1" applyFill="1" applyBorder="1" applyAlignment="1">
      <alignment horizontal="center" vertical="top" wrapText="1"/>
    </xf>
    <xf numFmtId="0" fontId="7" fillId="33" borderId="20" xfId="203" applyFont="1" applyFill="1" applyBorder="1" applyAlignment="1">
      <alignment horizontal="center" vertical="top" wrapText="1"/>
    </xf>
    <xf numFmtId="0" fontId="7" fillId="33" borderId="14" xfId="203" applyFont="1" applyFill="1" applyBorder="1" applyAlignment="1">
      <alignment horizontal="center" vertical="top" wrapText="1"/>
    </xf>
    <xf numFmtId="0" fontId="7" fillId="33" borderId="19" xfId="203" applyFont="1" applyFill="1" applyBorder="1" applyAlignment="1">
      <alignment horizontal="center" vertical="top" wrapText="1"/>
    </xf>
    <xf numFmtId="0" fontId="74" fillId="39" borderId="64" xfId="203" applyFont="1" applyFill="1" applyBorder="1" applyAlignment="1" applyProtection="1">
      <alignment horizontal="center" vertical="center" wrapText="1"/>
      <protection locked="0"/>
    </xf>
    <xf numFmtId="0" fontId="74" fillId="39" borderId="67" xfId="203" applyFont="1" applyFill="1" applyBorder="1" applyAlignment="1" applyProtection="1">
      <alignment horizontal="center" vertical="center" wrapText="1"/>
      <protection locked="0"/>
    </xf>
    <xf numFmtId="0" fontId="74" fillId="39" borderId="69" xfId="203" applyFont="1" applyFill="1" applyBorder="1" applyAlignment="1" applyProtection="1">
      <alignment horizontal="center" vertical="center" wrapText="1"/>
      <protection locked="0"/>
    </xf>
    <xf numFmtId="0" fontId="75" fillId="33" borderId="77" xfId="203" applyFont="1" applyFill="1" applyBorder="1" applyAlignment="1">
      <alignment horizontal="center"/>
    </xf>
    <xf numFmtId="0" fontId="75" fillId="33" borderId="78" xfId="203" applyFont="1" applyFill="1" applyBorder="1" applyAlignment="1">
      <alignment horizontal="center"/>
    </xf>
    <xf numFmtId="0" fontId="75" fillId="33" borderId="79" xfId="203" applyFont="1" applyFill="1" applyBorder="1" applyAlignment="1">
      <alignment horizontal="center"/>
    </xf>
  </cellXfs>
  <cellStyles count="273">
    <cellStyle name="/h" xfId="2"/>
    <cellStyle name="/jour" xfId="3"/>
    <cellStyle name="/mois" xfId="4"/>
    <cellStyle name="20 % - Accent1" xfId="5" builtinId="30" customBuiltin="1"/>
    <cellStyle name="20 % - Accent2" xfId="6" builtinId="34" customBuiltin="1"/>
    <cellStyle name="20 % - Accent3" xfId="7" builtinId="38" customBuiltin="1"/>
    <cellStyle name="20 % - Accent4" xfId="8" builtinId="42" customBuiltin="1"/>
    <cellStyle name="20 % - Accent5" xfId="9" builtinId="46" customBuiltin="1"/>
    <cellStyle name="20 % - Accent6" xfId="10" builtinId="50" customBuiltin="1"/>
    <cellStyle name="40 % - Accent1" xfId="11" builtinId="31" customBuiltin="1"/>
    <cellStyle name="40 % - Accent2" xfId="12" builtinId="35" customBuiltin="1"/>
    <cellStyle name="40 % - Accent3" xfId="13" builtinId="39" customBuiltin="1"/>
    <cellStyle name="40 % - Accent4" xfId="14" builtinId="43" customBuiltin="1"/>
    <cellStyle name="40 % - Accent5" xfId="15" builtinId="47" customBuiltin="1"/>
    <cellStyle name="40 % - Accent6" xfId="16" builtinId="51" customBuiltin="1"/>
    <cellStyle name="60 % - Accent1" xfId="17" builtinId="32" customBuiltin="1"/>
    <cellStyle name="60 % - Accent2" xfId="18" builtinId="36" customBuiltin="1"/>
    <cellStyle name="60 % - Accent3" xfId="19" builtinId="40" customBuiltin="1"/>
    <cellStyle name="60 % - Accent4" xfId="20" builtinId="44" customBuiltin="1"/>
    <cellStyle name="60 % - Accent5" xfId="21" builtinId="48" customBuiltin="1"/>
    <cellStyle name="60 % - Accent6" xfId="22" builtinId="52" customBuiltin="1"/>
    <cellStyle name="A" xfId="23"/>
    <cellStyle name="A_Les Rivages" xfId="24"/>
    <cellStyle name="A_VITTORI LLS" xfId="25"/>
    <cellStyle name="A_VITTORI LLTS+com" xfId="228"/>
    <cellStyle name="AA" xfId="26"/>
    <cellStyle name="Accent1" xfId="27" builtinId="29" customBuiltin="1"/>
    <cellStyle name="Accent2" xfId="28" builtinId="33" customBuiltin="1"/>
    <cellStyle name="Accent3" xfId="29" builtinId="37" customBuiltin="1"/>
    <cellStyle name="Accent4" xfId="30" builtinId="41" customBuiltin="1"/>
    <cellStyle name="Accent5" xfId="31" builtinId="45" customBuiltin="1"/>
    <cellStyle name="Accent6" xfId="32" builtinId="49" customBuiltin="1"/>
    <cellStyle name="Avertissement" xfId="33" builtinId="11" customBuiltin="1"/>
    <cellStyle name="B" xfId="34"/>
    <cellStyle name="B_3.1 Prix de revient P'tit Canal" xfId="35"/>
    <cellStyle name="B_Bdgt APD mars12 déposé DEAL-LLS" xfId="36"/>
    <cellStyle name="B_Bdgt Lavoir PRO" xfId="37"/>
    <cellStyle name="B_Bdgt Lavoir PRO_3.3 Devis total" xfId="38"/>
    <cellStyle name="B_Bdgt Lavoir PRO_Bdg  DCE" xfId="39"/>
    <cellStyle name="B_Bdgt Lavoir PRO_Bdg  DCE inserts marchés" xfId="40"/>
    <cellStyle name="B_Bdgt Lavoir PRO_Bdgt APD mars12 déposé DEAL-LLS" xfId="41"/>
    <cellStyle name="B_Bdgt Lavoir PRO_Bdgt GOURDE" xfId="42"/>
    <cellStyle name="B_Bdgt Lavoir PRO_Bdgt PRO estim MOE" xfId="43"/>
    <cellStyle name="B_Bdgt Lavoir PRO_Budget APD Défisc avec portage" xfId="44"/>
    <cellStyle name="B_Bdgt Lavoir PRO_Budget APD Défisc ratios modifiés" xfId="45"/>
    <cellStyle name="B_Bdgt Lavoir PRO_Budget faisa Bethanie" xfId="46"/>
    <cellStyle name="B_Bdgt Lavoir PRO_Classeur1" xfId="47"/>
    <cellStyle name="B_Bdgt Lavoir PRO_DRAGON LLTS+Com v261112" xfId="258"/>
    <cellStyle name="B_Bdgt Lavoir PRO_INGEPAR Bdgt APD mars12-LLS" xfId="48"/>
    <cellStyle name="B_Bdgt Lavoir PRO_LLTS+Com" xfId="229"/>
    <cellStyle name="B_Bdgt Lavoir PRO_Matrice Bdgt Défisc" xfId="49"/>
    <cellStyle name="B_Bdgt Lavoir PRO_VITTORI LLS" xfId="50"/>
    <cellStyle name="B_Bdgt Lavoir PRO_VITTORI LLTS+com" xfId="230"/>
    <cellStyle name="B_Bilan FRAFU" xfId="51"/>
    <cellStyle name="B_Bilan FRAFU_3.3 Devis total" xfId="52"/>
    <cellStyle name="B_Bilan FRAFU_Bdg  DCE" xfId="53"/>
    <cellStyle name="B_Bilan FRAFU_Bdg  DCE inserts marchés" xfId="54"/>
    <cellStyle name="B_Bilan FRAFU_Bdgt APD mars12 déposé DEAL-LLS" xfId="55"/>
    <cellStyle name="B_Bilan FRAFU_Bdgt GOURDE" xfId="56"/>
    <cellStyle name="B_Bilan FRAFU_Bdgt PRO estim MOE" xfId="57"/>
    <cellStyle name="B_Bilan FRAFU_Budget APD" xfId="58"/>
    <cellStyle name="B_Bilan FRAFU_Budget APD Défisc avec portage" xfId="59"/>
    <cellStyle name="B_Bilan FRAFU_Budget APD Défisc ratios modifiés" xfId="60"/>
    <cellStyle name="B_Bilan FRAFU_Budget faisa Bethanie" xfId="61"/>
    <cellStyle name="B_Bilan FRAFU_Classeur1" xfId="62"/>
    <cellStyle name="B_Bilan FRAFU_DRAGON LLTS+Com v261112" xfId="259"/>
    <cellStyle name="B_Bilan FRAFU_INGEPAR Bdgt APD mars12-LLS" xfId="63"/>
    <cellStyle name="B_Bilan FRAFU_Les Rivages" xfId="64"/>
    <cellStyle name="B_Bilan FRAFU_LLTS+Com" xfId="231"/>
    <cellStyle name="B_Bilan FRAFU_Matrice Bdgt Défisc" xfId="65"/>
    <cellStyle name="B_Bilan FRAFU_VITTORI LLS" xfId="66"/>
    <cellStyle name="B_Bilan FRAFU_VITTORI LLTS+com" xfId="232"/>
    <cellStyle name="B_Budget FB défisc" xfId="67"/>
    <cellStyle name="B_INGEPAR Bdgt APD mars12-LLS" xfId="68"/>
    <cellStyle name="B_Pgr Palissandre APS" xfId="69"/>
    <cellStyle name="B_Pgr SCI Letchis" xfId="70"/>
    <cellStyle name="B_PRLC 0090 Poker d'As APS" xfId="71"/>
    <cellStyle name="B_Tableau comparatif" xfId="72"/>
    <cellStyle name="B_Tableau comparatif APS" xfId="73"/>
    <cellStyle name="B_Tableau comparatif_3.3 Devis total" xfId="74"/>
    <cellStyle name="B_Tableau comparatif_Bdg  DCE" xfId="75"/>
    <cellStyle name="B_Tableau comparatif_Bdg  DCE inserts marchés" xfId="76"/>
    <cellStyle name="B_Tableau comparatif_Bdgt APD mars12 déposé DEAL-LLS" xfId="77"/>
    <cellStyle name="B_Tableau comparatif_Bdgt GOURDE" xfId="78"/>
    <cellStyle name="B_Tableau comparatif_Bdgt PRO estim MOE" xfId="79"/>
    <cellStyle name="B_Tableau comparatif_Budget APD" xfId="80"/>
    <cellStyle name="B_Tableau comparatif_Budget APD Défisc avec portage" xfId="81"/>
    <cellStyle name="B_Tableau comparatif_Budget APD Défisc ratios modifiés" xfId="82"/>
    <cellStyle name="B_Tableau comparatif_Budget faisa Bethanie" xfId="83"/>
    <cellStyle name="B_Tableau comparatif_Classeur1" xfId="84"/>
    <cellStyle name="B_Tableau comparatif_DRAGON LLTS+Com v261112" xfId="260"/>
    <cellStyle name="B_Tableau comparatif_INGEPAR Bdgt APD mars12-LLS" xfId="85"/>
    <cellStyle name="B_Tableau comparatif_Les Rivages" xfId="86"/>
    <cellStyle name="B_Tableau comparatif_LLTS+Com" xfId="233"/>
    <cellStyle name="B_Tableau comparatif_Matrice Bdgt Défisc" xfId="87"/>
    <cellStyle name="B_Tableau comparatif_VITTORI LLS" xfId="88"/>
    <cellStyle name="B_Tableau comparatif_VITTORI LLTS+com" xfId="234"/>
    <cellStyle name="C" xfId="89"/>
    <cellStyle name="C_3.1 Prix de revient P'tit Canal" xfId="90"/>
    <cellStyle name="C_Bdgt APD mars12 déposé DEAL-LLS" xfId="91"/>
    <cellStyle name="C_Bdgt Lavoir PRO" xfId="92"/>
    <cellStyle name="C_Bdgt Lavoir PRO_3.3 Devis total" xfId="93"/>
    <cellStyle name="C_Bdgt Lavoir PRO_Bdg  DCE" xfId="94"/>
    <cellStyle name="C_Bdgt Lavoir PRO_Bdg  DCE inserts marchés" xfId="95"/>
    <cellStyle name="C_Bdgt Lavoir PRO_Bdgt APD mars12 déposé DEAL-LLS" xfId="96"/>
    <cellStyle name="C_Bdgt Lavoir PRO_Bdgt GOURDE" xfId="97"/>
    <cellStyle name="C_Bdgt Lavoir PRO_Bdgt PRO estim MOE" xfId="98"/>
    <cellStyle name="C_Bdgt Lavoir PRO_Budget APD Défisc avec portage" xfId="99"/>
    <cellStyle name="C_Bdgt Lavoir PRO_Budget APD Défisc ratios modifiés" xfId="100"/>
    <cellStyle name="C_Bdgt Lavoir PRO_Budget faisa Bethanie" xfId="101"/>
    <cellStyle name="C_Bdgt Lavoir PRO_Classeur1" xfId="102"/>
    <cellStyle name="C_Bdgt Lavoir PRO_DRAGON LLTS+Com v261112" xfId="261"/>
    <cellStyle name="C_Bdgt Lavoir PRO_INGEPAR Bdgt APD mars12-LLS" xfId="103"/>
    <cellStyle name="C_Bdgt Lavoir PRO_LLTS+Com" xfId="235"/>
    <cellStyle name="C_Bdgt Lavoir PRO_Matrice Bdgt Défisc" xfId="104"/>
    <cellStyle name="C_Bdgt Lavoir PRO_VITTORI LLS" xfId="105"/>
    <cellStyle name="C_Bdgt Lavoir PRO_VITTORI LLTS+com" xfId="236"/>
    <cellStyle name="C_Bilan FRAFU" xfId="106"/>
    <cellStyle name="C_Bilan FRAFU_3.3 Devis total" xfId="107"/>
    <cellStyle name="C_Bilan FRAFU_Bdg  DCE" xfId="108"/>
    <cellStyle name="C_Bilan FRAFU_Bdg  DCE inserts marchés" xfId="109"/>
    <cellStyle name="C_Bilan FRAFU_Bdgt APD mars12 déposé DEAL-LLS" xfId="110"/>
    <cellStyle name="C_Bilan FRAFU_Bdgt GOURDE" xfId="111"/>
    <cellStyle name="C_Bilan FRAFU_Bdgt PRO estim MOE" xfId="112"/>
    <cellStyle name="C_Bilan FRAFU_Budget APD" xfId="113"/>
    <cellStyle name="C_Bilan FRAFU_Budget APD Défisc avec portage" xfId="114"/>
    <cellStyle name="C_Bilan FRAFU_Budget APD Défisc ratios modifiés" xfId="115"/>
    <cellStyle name="C_Bilan FRAFU_Budget faisa Bethanie" xfId="116"/>
    <cellStyle name="C_Bilan FRAFU_Classeur1" xfId="117"/>
    <cellStyle name="C_Bilan FRAFU_DRAGON LLTS+Com v261112" xfId="262"/>
    <cellStyle name="C_Bilan FRAFU_INGEPAR Bdgt APD mars12-LLS" xfId="118"/>
    <cellStyle name="C_Bilan FRAFU_Les Rivages" xfId="119"/>
    <cellStyle name="C_Bilan FRAFU_LLTS+Com" xfId="237"/>
    <cellStyle name="C_Bilan FRAFU_Matrice Bdgt Défisc" xfId="120"/>
    <cellStyle name="C_Bilan FRAFU_VITTORI LLS" xfId="121"/>
    <cellStyle name="C_Bilan FRAFU_VITTORI LLTS+com" xfId="238"/>
    <cellStyle name="C_Budget FB défisc" xfId="122"/>
    <cellStyle name="C_INGEPAR Bdgt APD mars12-LLS" xfId="123"/>
    <cellStyle name="C_Pgr Palissandre APS" xfId="124"/>
    <cellStyle name="C_Pgr SCI Letchis" xfId="125"/>
    <cellStyle name="C_PRLC 0090 Poker d'As APS" xfId="126"/>
    <cellStyle name="C_Tableau comparatif" xfId="127"/>
    <cellStyle name="C_Tableau comparatif APS" xfId="128"/>
    <cellStyle name="C_Tableau comparatif_3.3 Devis total" xfId="129"/>
    <cellStyle name="C_Tableau comparatif_Bdg  DCE" xfId="130"/>
    <cellStyle name="C_Tableau comparatif_Bdg  DCE inserts marchés" xfId="131"/>
    <cellStyle name="C_Tableau comparatif_Bdgt APD mars12 déposé DEAL-LLS" xfId="132"/>
    <cellStyle name="C_Tableau comparatif_Bdgt GOURDE" xfId="133"/>
    <cellStyle name="C_Tableau comparatif_Bdgt PRO estim MOE" xfId="134"/>
    <cellStyle name="C_Tableau comparatif_Budget APD" xfId="135"/>
    <cellStyle name="C_Tableau comparatif_Budget APD Défisc avec portage" xfId="136"/>
    <cellStyle name="C_Tableau comparatif_Budget APD Défisc ratios modifiés" xfId="137"/>
    <cellStyle name="C_Tableau comparatif_Budget faisa Bethanie" xfId="138"/>
    <cellStyle name="C_Tableau comparatif_Classeur1" xfId="139"/>
    <cellStyle name="C_Tableau comparatif_DRAGON LLTS+Com v261112" xfId="263"/>
    <cellStyle name="C_Tableau comparatif_INGEPAR Bdgt APD mars12-LLS" xfId="140"/>
    <cellStyle name="C_Tableau comparatif_Les Rivages" xfId="141"/>
    <cellStyle name="C_Tableau comparatif_LLTS+Com" xfId="239"/>
    <cellStyle name="C_Tableau comparatif_Matrice Bdgt Défisc" xfId="142"/>
    <cellStyle name="C_Tableau comparatif_VITTORI LLS" xfId="143"/>
    <cellStyle name="C_Tableau comparatif_VITTORI LLTS+com" xfId="240"/>
    <cellStyle name="Calcul" xfId="144" builtinId="22" customBuiltin="1"/>
    <cellStyle name="Cellule liée" xfId="145" builtinId="24" customBuiltin="1"/>
    <cellStyle name="Comma [0]_Erection.lot5" xfId="146"/>
    <cellStyle name="Comma_Erection.lot5" xfId="147"/>
    <cellStyle name="Commentaire" xfId="148" builtinId="10" customBuiltin="1"/>
    <cellStyle name="Currency [0]_Erection.lot5" xfId="149"/>
    <cellStyle name="Currency_Erection.lot5" xfId="150"/>
    <cellStyle name="D" xfId="151"/>
    <cellStyle name="D_Les Rivages" xfId="152"/>
    <cellStyle name="D_VITTORI LLS" xfId="153"/>
    <cellStyle name="D_VITTORI LLTS+com" xfId="241"/>
    <cellStyle name="Date" xfId="272"/>
    <cellStyle name="données" xfId="154"/>
    <cellStyle name="E" xfId="155"/>
    <cellStyle name="E_Les Rivages" xfId="156"/>
    <cellStyle name="E_VITTORI LLS" xfId="157"/>
    <cellStyle name="E_VITTORI LLTS+com" xfId="242"/>
    <cellStyle name="Entrée" xfId="158" builtinId="20" customBuiltin="1"/>
    <cellStyle name="Euro" xfId="159"/>
    <cellStyle name="Euro 2" xfId="160"/>
    <cellStyle name="Euro 3" xfId="243"/>
    <cellStyle name="Euro 4" xfId="249"/>
    <cellStyle name="Euro 5" xfId="257"/>
    <cellStyle name="Euro_3.1 Prix de revient P'tit Canal" xfId="161"/>
    <cellStyle name="F" xfId="162"/>
    <cellStyle name="F_Les Rivages" xfId="163"/>
    <cellStyle name="F_VITTORI LLS" xfId="164"/>
    <cellStyle name="F_VITTORI LLTS+com" xfId="244"/>
    <cellStyle name="G" xfId="165"/>
    <cellStyle name="G_Les Rivages" xfId="166"/>
    <cellStyle name="G_VITTORI LLS" xfId="167"/>
    <cellStyle name="G_VITTORI LLTS+com" xfId="245"/>
    <cellStyle name="gris" xfId="168"/>
    <cellStyle name="H" xfId="169"/>
    <cellStyle name="h/mois" xfId="170"/>
    <cellStyle name="H_Les Rivages" xfId="171"/>
    <cellStyle name="H_VITTORI LLS" xfId="172"/>
    <cellStyle name="H_VITTORI LLTS+com" xfId="246"/>
    <cellStyle name="heures" xfId="173"/>
    <cellStyle name="Insatisfaisant" xfId="174" builtinId="27" customBuiltin="1"/>
    <cellStyle name="jours" xfId="175"/>
    <cellStyle name="Lien hypertexte 2" xfId="256"/>
    <cellStyle name="Lien hypertexte visité" xfId="267" builtinId="9" hidden="1"/>
    <cellStyle name="Lien hypertexte visité" xfId="268" builtinId="9" hidden="1"/>
    <cellStyle name="Lien hypertexte visité" xfId="269" builtinId="9" hidden="1"/>
    <cellStyle name="Lien hypertexte visité" xfId="270" builtinId="9" hidden="1"/>
    <cellStyle name="Lien hypertexte visité" xfId="271" builtinId="9" hidden="1"/>
    <cellStyle name="Milliers 10" xfId="176"/>
    <cellStyle name="Milliers 11" xfId="177"/>
    <cellStyle name="Milliers 12" xfId="178"/>
    <cellStyle name="Milliers 13" xfId="264"/>
    <cellStyle name="Milliers 2" xfId="179"/>
    <cellStyle name="Milliers 3" xfId="180"/>
    <cellStyle name="Milliers 4" xfId="181"/>
    <cellStyle name="Milliers 5" xfId="182"/>
    <cellStyle name="Milliers 6" xfId="183"/>
    <cellStyle name="Milliers 7" xfId="184"/>
    <cellStyle name="Milliers 8" xfId="185"/>
    <cellStyle name="Milliers 9" xfId="186"/>
    <cellStyle name="mois" xfId="187"/>
    <cellStyle name="Monétaire 10" xfId="250"/>
    <cellStyle name="Monétaire 2" xfId="188"/>
    <cellStyle name="Monétaire 3" xfId="189"/>
    <cellStyle name="Monétaire 4" xfId="190"/>
    <cellStyle name="Monétaire 5" xfId="191"/>
    <cellStyle name="Monétaire 6" xfId="192"/>
    <cellStyle name="Monétaire 7" xfId="193"/>
    <cellStyle name="Monétaire 8" xfId="247"/>
    <cellStyle name="Monétaire 9" xfId="248"/>
    <cellStyle name="Neutre" xfId="194" builtinId="28" customBuiltin="1"/>
    <cellStyle name="NiveauColonne_1" xfId="1" builtinId="2" iLevel="0"/>
    <cellStyle name="Normal" xfId="0" builtinId="0"/>
    <cellStyle name="Normal - Style1" xfId="195"/>
    <cellStyle name="Normal - Style2" xfId="196"/>
    <cellStyle name="Normal - Style3" xfId="197"/>
    <cellStyle name="Normal - Style4" xfId="198"/>
    <cellStyle name="Normal - Style5" xfId="199"/>
    <cellStyle name="Normal - Style6" xfId="200"/>
    <cellStyle name="Normal - Style7" xfId="201"/>
    <cellStyle name="Normal - Style8" xfId="202"/>
    <cellStyle name="Normal 1" xfId="203"/>
    <cellStyle name="Normal 2" xfId="204"/>
    <cellStyle name="Normal 2 2" xfId="205"/>
    <cellStyle name="Normal 2 2 2" xfId="265"/>
    <cellStyle name="Normal 2 2_Matrice Bdgt Défisc" xfId="206"/>
    <cellStyle name="Normal 2 3" xfId="207"/>
    <cellStyle name="Normal 2_3.3 Devis total" xfId="208"/>
    <cellStyle name="Normal 3" xfId="209"/>
    <cellStyle name="Normal 3 2" xfId="210"/>
    <cellStyle name="Normal 3_3.1 Prix de revient P'tit Canal" xfId="211"/>
    <cellStyle name="Normal 4" xfId="251"/>
    <cellStyle name="Normal 5" xfId="252"/>
    <cellStyle name="Normal 6" xfId="253"/>
    <cellStyle name="Normal 7" xfId="254"/>
    <cellStyle name="Normal 8" xfId="255"/>
    <cellStyle name="Pourcentage" xfId="212" builtinId="5"/>
    <cellStyle name="Pourcentage 2" xfId="213"/>
    <cellStyle name="Pourcentage 2 2" xfId="214"/>
    <cellStyle name="Pourcentage 3" xfId="215"/>
    <cellStyle name="Pourcentage 4" xfId="266"/>
    <cellStyle name="QQQQ" xfId="216"/>
    <cellStyle name="rien" xfId="217"/>
    <cellStyle name="Satisfaisant" xfId="218" builtinId="26" customBuiltin="1"/>
    <cellStyle name="Sortie" xfId="219" builtinId="21" customBuiltin="1"/>
    <cellStyle name="Texte explicatif" xfId="220" builtinId="53" customBuiltin="1"/>
    <cellStyle name="Titre" xfId="221" builtinId="15" customBuiltin="1"/>
    <cellStyle name="Titre 1" xfId="222" builtinId="16" customBuiltin="1"/>
    <cellStyle name="Titre 2" xfId="223" builtinId="17" customBuiltin="1"/>
    <cellStyle name="Titre 3" xfId="224" builtinId="18" customBuiltin="1"/>
    <cellStyle name="Titre 4" xfId="225" builtinId="19" customBuiltin="1"/>
    <cellStyle name="Total" xfId="226" builtinId="25" customBuiltin="1"/>
    <cellStyle name="Vérification" xfId="227" builtinId="23" customBuiltin="1"/>
  </cellStyles>
  <dxfs count="11"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right style="thin">
          <color indexed="64"/>
        </right>
      </border>
    </dxf>
    <dxf>
      <numFmt numFmtId="3" formatCode="#,##0"/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fill>
        <patternFill>
          <bgColor theme="0"/>
        </patternFill>
      </fill>
    </dxf>
    <dxf>
      <font>
        <color auto="1"/>
      </font>
    </dxf>
    <dxf>
      <fill>
        <patternFill patternType="solid">
          <bgColor theme="4" tint="0.79998168889431442"/>
        </patternFill>
      </fill>
    </dxf>
    <dxf>
      <fill>
        <patternFill patternType="solid">
          <bgColor theme="4" tint="0.79998168889431442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26" Type="http://schemas.openxmlformats.org/officeDocument/2006/relationships/externalLink" Target="externalLinks/externalLink11.xml"/><Relationship Id="rId21" Type="http://schemas.openxmlformats.org/officeDocument/2006/relationships/externalLink" Target="externalLinks/externalLink6.xml"/><Relationship Id="rId42" Type="http://schemas.openxmlformats.org/officeDocument/2006/relationships/externalLink" Target="externalLinks/externalLink27.xml"/><Relationship Id="rId47" Type="http://schemas.openxmlformats.org/officeDocument/2006/relationships/externalLink" Target="externalLinks/externalLink32.xml"/><Relationship Id="rId63" Type="http://schemas.openxmlformats.org/officeDocument/2006/relationships/externalLink" Target="externalLinks/externalLink48.xml"/><Relationship Id="rId68" Type="http://schemas.openxmlformats.org/officeDocument/2006/relationships/externalLink" Target="externalLinks/externalLink53.xml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1.xml"/><Relationship Id="rId29" Type="http://schemas.openxmlformats.org/officeDocument/2006/relationships/externalLink" Target="externalLinks/externalLink14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9.xml"/><Relationship Id="rId32" Type="http://schemas.openxmlformats.org/officeDocument/2006/relationships/externalLink" Target="externalLinks/externalLink17.xml"/><Relationship Id="rId37" Type="http://schemas.openxmlformats.org/officeDocument/2006/relationships/externalLink" Target="externalLinks/externalLink22.xml"/><Relationship Id="rId40" Type="http://schemas.openxmlformats.org/officeDocument/2006/relationships/externalLink" Target="externalLinks/externalLink25.xml"/><Relationship Id="rId45" Type="http://schemas.openxmlformats.org/officeDocument/2006/relationships/externalLink" Target="externalLinks/externalLink30.xml"/><Relationship Id="rId53" Type="http://schemas.openxmlformats.org/officeDocument/2006/relationships/externalLink" Target="externalLinks/externalLink38.xml"/><Relationship Id="rId58" Type="http://schemas.openxmlformats.org/officeDocument/2006/relationships/externalLink" Target="externalLinks/externalLink43.xml"/><Relationship Id="rId66" Type="http://schemas.openxmlformats.org/officeDocument/2006/relationships/externalLink" Target="externalLinks/externalLink51.xml"/><Relationship Id="rId74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61" Type="http://schemas.openxmlformats.org/officeDocument/2006/relationships/externalLink" Target="externalLinks/externalLink46.xml"/><Relationship Id="rId19" Type="http://schemas.openxmlformats.org/officeDocument/2006/relationships/externalLink" Target="externalLinks/externalLink4.xml"/><Relationship Id="rId14" Type="http://schemas.openxmlformats.org/officeDocument/2006/relationships/worksheet" Target="worksheets/sheet14.xml"/><Relationship Id="rId22" Type="http://schemas.openxmlformats.org/officeDocument/2006/relationships/externalLink" Target="externalLinks/externalLink7.xml"/><Relationship Id="rId27" Type="http://schemas.openxmlformats.org/officeDocument/2006/relationships/externalLink" Target="externalLinks/externalLink12.xml"/><Relationship Id="rId30" Type="http://schemas.openxmlformats.org/officeDocument/2006/relationships/externalLink" Target="externalLinks/externalLink15.xml"/><Relationship Id="rId35" Type="http://schemas.openxmlformats.org/officeDocument/2006/relationships/externalLink" Target="externalLinks/externalLink20.xml"/><Relationship Id="rId43" Type="http://schemas.openxmlformats.org/officeDocument/2006/relationships/externalLink" Target="externalLinks/externalLink28.xml"/><Relationship Id="rId48" Type="http://schemas.openxmlformats.org/officeDocument/2006/relationships/externalLink" Target="externalLinks/externalLink33.xml"/><Relationship Id="rId56" Type="http://schemas.openxmlformats.org/officeDocument/2006/relationships/externalLink" Target="externalLinks/externalLink41.xml"/><Relationship Id="rId64" Type="http://schemas.openxmlformats.org/officeDocument/2006/relationships/externalLink" Target="externalLinks/externalLink49.xml"/><Relationship Id="rId69" Type="http://schemas.openxmlformats.org/officeDocument/2006/relationships/externalLink" Target="externalLinks/externalLink54.xml"/><Relationship Id="rId8" Type="http://schemas.openxmlformats.org/officeDocument/2006/relationships/worksheet" Target="worksheets/sheet8.xml"/><Relationship Id="rId51" Type="http://schemas.openxmlformats.org/officeDocument/2006/relationships/externalLink" Target="externalLinks/externalLink36.xml"/><Relationship Id="rId72" Type="http://schemas.openxmlformats.org/officeDocument/2006/relationships/theme" Target="theme/theme1.xml"/><Relationship Id="rId3" Type="http://schemas.openxmlformats.org/officeDocument/2006/relationships/worksheet" Target="worksheets/sheet3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2.xml"/><Relationship Id="rId25" Type="http://schemas.openxmlformats.org/officeDocument/2006/relationships/externalLink" Target="externalLinks/externalLink10.xml"/><Relationship Id="rId33" Type="http://schemas.openxmlformats.org/officeDocument/2006/relationships/externalLink" Target="externalLinks/externalLink18.xml"/><Relationship Id="rId38" Type="http://schemas.openxmlformats.org/officeDocument/2006/relationships/externalLink" Target="externalLinks/externalLink23.xml"/><Relationship Id="rId46" Type="http://schemas.openxmlformats.org/officeDocument/2006/relationships/externalLink" Target="externalLinks/externalLink31.xml"/><Relationship Id="rId59" Type="http://schemas.openxmlformats.org/officeDocument/2006/relationships/externalLink" Target="externalLinks/externalLink44.xml"/><Relationship Id="rId67" Type="http://schemas.openxmlformats.org/officeDocument/2006/relationships/externalLink" Target="externalLinks/externalLink52.xml"/><Relationship Id="rId20" Type="http://schemas.openxmlformats.org/officeDocument/2006/relationships/externalLink" Target="externalLinks/externalLink5.xml"/><Relationship Id="rId41" Type="http://schemas.openxmlformats.org/officeDocument/2006/relationships/externalLink" Target="externalLinks/externalLink26.xml"/><Relationship Id="rId54" Type="http://schemas.openxmlformats.org/officeDocument/2006/relationships/externalLink" Target="externalLinks/externalLink39.xml"/><Relationship Id="rId62" Type="http://schemas.openxmlformats.org/officeDocument/2006/relationships/externalLink" Target="externalLinks/externalLink47.xml"/><Relationship Id="rId70" Type="http://schemas.openxmlformats.org/officeDocument/2006/relationships/externalLink" Target="externalLinks/externalLink55.xml"/><Relationship Id="rId75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5" Type="http://schemas.openxmlformats.org/officeDocument/2006/relationships/worksheet" Target="worksheets/sheet15.xml"/><Relationship Id="rId23" Type="http://schemas.openxmlformats.org/officeDocument/2006/relationships/externalLink" Target="externalLinks/externalLink8.xml"/><Relationship Id="rId28" Type="http://schemas.openxmlformats.org/officeDocument/2006/relationships/externalLink" Target="externalLinks/externalLink13.xml"/><Relationship Id="rId36" Type="http://schemas.openxmlformats.org/officeDocument/2006/relationships/externalLink" Target="externalLinks/externalLink21.xml"/><Relationship Id="rId49" Type="http://schemas.openxmlformats.org/officeDocument/2006/relationships/externalLink" Target="externalLinks/externalLink34.xml"/><Relationship Id="rId57" Type="http://schemas.openxmlformats.org/officeDocument/2006/relationships/externalLink" Target="externalLinks/externalLink42.xml"/><Relationship Id="rId10" Type="http://schemas.openxmlformats.org/officeDocument/2006/relationships/worksheet" Target="worksheets/sheet10.xml"/><Relationship Id="rId31" Type="http://schemas.openxmlformats.org/officeDocument/2006/relationships/externalLink" Target="externalLinks/externalLink16.xml"/><Relationship Id="rId44" Type="http://schemas.openxmlformats.org/officeDocument/2006/relationships/externalLink" Target="externalLinks/externalLink29.xml"/><Relationship Id="rId52" Type="http://schemas.openxmlformats.org/officeDocument/2006/relationships/externalLink" Target="externalLinks/externalLink37.xml"/><Relationship Id="rId60" Type="http://schemas.openxmlformats.org/officeDocument/2006/relationships/externalLink" Target="externalLinks/externalLink45.xml"/><Relationship Id="rId65" Type="http://schemas.openxmlformats.org/officeDocument/2006/relationships/externalLink" Target="externalLinks/externalLink50.xml"/><Relationship Id="rId73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3" Type="http://schemas.openxmlformats.org/officeDocument/2006/relationships/worksheet" Target="worksheets/sheet13.xml"/><Relationship Id="rId18" Type="http://schemas.openxmlformats.org/officeDocument/2006/relationships/externalLink" Target="externalLinks/externalLink3.xml"/><Relationship Id="rId39" Type="http://schemas.openxmlformats.org/officeDocument/2006/relationships/externalLink" Target="externalLinks/externalLink24.xml"/><Relationship Id="rId34" Type="http://schemas.openxmlformats.org/officeDocument/2006/relationships/externalLink" Target="externalLinks/externalLink19.xml"/><Relationship Id="rId50" Type="http://schemas.openxmlformats.org/officeDocument/2006/relationships/externalLink" Target="externalLinks/externalLink35.xml"/><Relationship Id="rId55" Type="http://schemas.openxmlformats.org/officeDocument/2006/relationships/externalLink" Target="externalLinks/externalLink40.xml"/><Relationship Id="rId7" Type="http://schemas.openxmlformats.org/officeDocument/2006/relationships/worksheet" Target="worksheets/sheet7.xml"/><Relationship Id="rId71" Type="http://schemas.openxmlformats.org/officeDocument/2006/relationships/pivotCacheDefinition" Target="pivotCache/pivotCacheDefinition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ICS-01\Organisation\C\Direction%20du%20Patrimoine%20et%20du%20D&#233;veloppement\D&#233;partement%20Habitat\OPERATIONNEL%20HABITAT\02-%20Operations\Locatif\Jean-Emeric\&#164;%20A%20FAIRE%20&#164;\CA\CA%20(travail)\Fiche%20CA\SILOGA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ICS-01\Organisation\C\C\Direction%20du%20Patrimoine%20et%20du%20D&#233;veloppement\D&#233;partement%20Habitat\OPERATIONNEL%20HABITAT\02-%20Operations\Locatif\Jean-Emeric\&#164;%20A%20FAIRE%20&#164;\CA\CA%20(travail)\Fiche%20CA\SILOGA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ICS-01\Organisation\C\FJACQUES\Mes%20documents%20D\semader\defisc\PSLA-v6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ICS-01\Organisation\C\C\FJACQUES\Mes%20documents%20D\semader\defisc\PSLA-v6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ICS-01\Organisation\C\C\Documents%20and%20Settings\stern\Mes%20documents\Infi\SIDR\SCI%20Saint-Denis\Jean-Emeric%20MONSEAU\Cocos\Bilan%20DDE\BILAN%20DDE%20-%20Cocos.xls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ICS-01\Organisation\C\C\385_Financements_d'Actifs\LT-KS\FELL-Turkey\THY%202008\Pricing\THY%20Detailed%20Pricing%20MSN20071203%20-%20Boeing%20(for%20one%20aircraft).xls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ICS-01\Organisation\C\Documents%20and%20Settings\stern\Mes%20documents\Ateliers%20du%20Loft\Borloo.xls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ICS-01\Organisation\C\C\Documents%20and%20Settings\stern\Mes%20documents\Ateliers%20du%20Loft\Borloo.xls" TargetMode="External"/></Relationships>
</file>

<file path=xl/externalLinks/_rels/externalLink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ICS-01\Organisation\C\Documents%20and%20Settings\stern\Local%20Settings\Temporary%20Internet%20Files\OLK1E\BILAN%202008%20-%2015%20Ind.xls" TargetMode="External"/></Relationships>
</file>

<file path=xl/externalLinks/_rels/externalLink10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ICS-01\Organisation\C\C\Documents%20and%20Settings\stern\Local%20Settings\Temporary%20Internet%20Files\OLK1E\BILAN%202008%20-%2015%20Ind.xls" TargetMode="External"/></Relationships>
</file>

<file path=xl/externalLinks/_rels/externalLink1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ICS-01\Organisation\C\Users\nbl\AppData\Local\Microsoft\Windows\Temporary%20Internet%20Files\Content.Outlook\1AP4NIGP\filer002\303093$\DOCUME~1\140934\LOCALS~1\Temp\notesF20BA6\V4\2004-009-05_CSA_VFinale_WideBodiesVO.XLS" TargetMode="External"/></Relationships>
</file>

<file path=xl/externalLinks/_rels/externalLink1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ICS-01\Organisation\C\7%20-%20En-cours%20Anthony\SIDR\Documents%20programmes\Fidji\BILAN%202008%20-%2015%20Ind.xls" TargetMode="External"/></Relationships>
</file>

<file path=xl/externalLinks/_rels/externalLink1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ICS-01\Organisation\C\C\7%20-%20En-cours%20Anthony\SIDR\Documents%20programmes\Fidji\BILAN%202008%20-%2015%20Ind.xls" TargetMode="External"/></Relationships>
</file>

<file path=xl/externalLinks/_rels/externalLink1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ICS-01\Organisation\C\C\Habitat\OPERATIONNEL%20HABITAT\02-%20Operations\VEFA\Programmation%202010\SAPOTILLES%20-%2014%20LLS\E%20-%20Financement\DDE\SAPOTILLES%201&#8364;%20de%20LBU.xls" TargetMode="External"/></Relationships>
</file>

<file path=xl/externalLinks/_rels/externalLink1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ICS-01\Organisation\C\Habitat\OPERATIONNEL%20HABITAT\01%20-%20Pilotage\TDB%20habitat\TABLEAU%20DE%20BORD%20HABITAT.xls" TargetMode="External"/></Relationships>
</file>

<file path=xl/externalLinks/_rels/externalLink1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ICS-01\Organisation\C\C\Habitat\OPERATIONNEL%20HABITAT\01%20-%20Pilotage\TDB%20habitat\TABLEAU%20DE%20BORD%20HABITAT.xls" TargetMode="External"/></Relationships>
</file>

<file path=xl/externalLinks/_rels/externalLink1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ICS-01\Organisation\C\385_Financements_d'Actifs\TC-GP\CSA%202006%20-%20Done\C%20-%20Pricing\Pricing%20Final\Final\modele%20Avion%201%20-%20Amortissement%20Financier%20+%20CI%20Brut%20-%20FINAL.xls" TargetMode="External"/></Relationships>
</file>

<file path=xl/externalLinks/_rels/externalLink1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ICS-01\Organisation\C\C\385_Financements_d'Actifs\TC-GP\CSA%202006%20-%20Done\C%20-%20Pricing\Pricing%20Final\Final\modele%20Avion%201%20-%20Amortissement%20Financier%20+%20CI%20Brut%20-%20FINAL.xls" TargetMode="External"/></Relationships>
</file>

<file path=xl/externalLinks/_rels/externalLink1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ICS-01\Organisation\C\Habitat\OPERATIONNEL%20HABITAT\02-%20Operations\VEFA\Programmation%202010\SAPOTILLES%20-%2014%20LLS\E%20-%20Financement\DDE\SAPOTILLES%201&#8364;%20de%20LBU.xls" TargetMode="External"/></Relationships>
</file>

<file path=xl/externalLinks/_rels/externalLink20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udrey\Documents\Donn&#233;es%20utilisateurs%20Microsoft\Office%202011%20AutoRecovery\Saisie" TargetMode="External"/></Relationships>
</file>

<file path=xl/externalLinks/_rels/externalLink2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ICS-01\Organisation\C\Users\nbl\AppData\Local\Microsoft\Windows\Temporary%20Internet%20Files\Content.Outlook\1AP4NIGP\Fsprod1\Utilisateurs$\Documents\zimberger\Temporaire\Calcul%20base%20&#233;ligible.xls" TargetMode="External"/></Relationships>
</file>

<file path=xl/externalLinks/_rels/externalLink2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ICS-01\Organisation\C\Saint%20Andre%20&amp;%20Pierre\Demande%20d'agr&#233;ment%20et%20suites\Demande%20d'infos%2020-02-09\Saint-Pierre\Simulations\Corossol\Corossol%20defisc%20et%20%20loyers%20minor&#233;s%2040%20et%2050.xls" TargetMode="External"/></Relationships>
</file>

<file path=xl/externalLinks/_rels/externalLink2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ICS-01\Organisation\C\C\Saint%20Andre%20&amp;%20Pierre\Demande%20d'agr&#233;ment%20et%20suites\Demande%20d'infos%2020-02-09\Saint-Pierre\Simulations\Corossol\Corossol%20defisc%20et%20%20loyers%20minor&#233;s%2040%20et%2050.xls" TargetMode="External"/></Relationships>
</file>

<file path=xl/externalLinks/_rels/externalLink2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ICS-01\Organisation\C\Documents%20and%20Settings\stern\Mes%20documents\Infi\SIDR\Salazie\Simulations\R&#233;ponse%20Demande%20d'infos\H&#233;brides\SILOGA%20&amp;%20BILAN%20DDE%20SIDR%20-%20HEBRIDES\Loyers.xls" TargetMode="External"/></Relationships>
</file>

<file path=xl/externalLinks/_rels/externalLink2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ICS-01\Organisation\C\C\Documents%20and%20Settings\stern\Mes%20documents\Infi\SIDR\Salazie\Simulations\R&#233;ponse%20Demande%20d'infos\H&#233;brides\SILOGA%20&amp;%20BILAN%20DDE%20SIDR%20-%20HEBRIDES\Loyers.xls" TargetMode="External"/></Relationships>
</file>

<file path=xl/externalLinks/_rels/externalLink2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ICS-01\Organisation\C\385_Financements_d'Actifs\LT-MB\Turquie\Pricing\THY%20-%202x37%20MEUR%20-25-10-2006%20ECA%20-%20IRR%20revised.xls" TargetMode="External"/></Relationships>
</file>

<file path=xl/externalLinks/_rels/externalLink27.xml.rels><?xml version="1.0" encoding="UTF-8" standalone="yes"?>
<Relationships xmlns="http://schemas.openxmlformats.org/package/2006/relationships"><Relationship Id="rId1" Type="http://schemas.openxmlformats.org/officeDocument/2006/relationships/externalLinkPath" Target="/4%20-%20DOP/42%20-%20P&#244;le%20Construction%20Immobili&#232;re/P&#244;le%20Immobilier/PRLC/Programmation%202017/0184-Odyss&#233;e%20-%20Tevelave%20AD%20133/3.%20Budget/Budget%20APD.xlsx" TargetMode="External"/></Relationships>
</file>

<file path=xl/externalLinks/_rels/externalLink2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ICS-01\Organisation\C\Habitat\Ressources%20Habitat\01%20-%20Documents%20types%20et%20procedures%20operationnelles\VEFA\Op&#233;rations%20VEFA\9749%20-%20Le%20Florentin%20-%2065%20LLS%20VEFA\A%20-%20Promoteur\Bilan\Bilan%20FLORENTIN%20LLS%20_18fev09%20_BZ.xls" TargetMode="External"/></Relationships>
</file>

<file path=xl/externalLinks/_rels/externalLink2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ICS-01\Organisation\C\Habitat\Ressources%20Habitat\01%20-%20Documents%20types%20et%20procedures%20operationnelles\VEFA\Fiche%20op&#233;ration%20Promoteurs%20_%20V6.xls" TargetMode="External"/></Relationships>
</file>

<file path=xl/externalLinks/_rels/externalLink30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ICS-01\Organisation\C\Documents%20and%20Settings\stern\Mes%20documents\Infi\SIDR\SCI%20Saint-Denis\Jean-Emeric%20MONSEAU\Cocos\Bilan%20DDE\BILAN%20DDE%20-%20Cocos.xls" TargetMode="External"/></Relationships>
</file>

<file path=xl/externalLinks/_rels/externalLink3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ICS-01\Organisation\C\Montages\Commun%20JBU%20SA\Plan%20de%20tr&#233;sorerie\Locatif%20&amp;%20R&#233;habilitation\11%20Novembre\Tr&#233;sorerie%20-%20Novembre%202009%20VEFA%20CA%20122009%20V2.xls" TargetMode="External"/></Relationships>
</file>

<file path=xl/externalLinks/_rels/externalLink3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ICS-01\Organisation\C\385_Financements_d'Actifs\LT-KS\FELL-Turkey\THY%202008\Pricing\MODELE%20GF_test%20avion%202008%20-%20V4.xls" TargetMode="External"/></Relationships>
</file>

<file path=xl/externalLinks/_rels/externalLink3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ICS-01\Organisation\SODEGIS%20Report\Gestion%20comptable%20et%20financi&#232;re\Exercice%202010\Analyse\SF%20Pr&#233;visio\BFC%202%202009.xls" TargetMode="External"/></Relationships>
</file>

<file path=xl/externalLinks/_rels/externalLink3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ICS-01\Organisation\C\385_Financements_d'Actifs\KHALID\Elyo\PRONY%202004\N%20-%20FINANCE\2004-09-01-PRONY-GF.xls" TargetMode="External"/></Relationships>
</file>

<file path=xl/externalLinks/_rels/externalLink3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ICS-01\Organisation\C\Documents%20and%20Settings\stern\Mes%20documents\Infi\Simulateur%20Logement%202007.xls" TargetMode="External"/></Relationships>
</file>

<file path=xl/externalLinks/_rels/externalLink3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ICS-01\Organisation\C\385_Financements_d'Actifs\LT-KS\FELL-Turkey\THY%202008\Pricing\Mod&#232;le%20Diff&#233;r&#233;s%20GOL%20GF.xls" TargetMode="External"/></Relationships>
</file>

<file path=xl/externalLinks/_rels/externalLink3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ICS-01\Organisation\C\Montages\Commun%20JBU%20SA\Plan%20de%20tr&#233;sorerie\Locatif%20&amp;%20R&#233;habilitation\11%20Novembre\Tr&#233;sorerie%20-%20Novembre%202009%20CA%20122009%20-%20Sc&#233;nario%202%20(optimiste).xls" TargetMode="External"/></Relationships>
</file>

<file path=xl/externalLinks/_rels/externalLink3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ICS-01\Organisation\C\FJACQUES\Mes%20documents%20D\semader\defisc\op&#233;ration%20log%20social\semader%20-%20defisc%20gestion%20locative%20en%20Ir%20V1%20bis.xls" TargetMode="External"/></Relationships>
</file>

<file path=xl/externalLinks/_rels/externalLink3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ICS-01\Organisation\C\Habitat\OPERATIONNEL%20HABITAT\02-%20Operations\Locatif\Laure\9642%20-%209643%20-%20Wallis%20&amp;%20Futuna\E%20-%20Financement\Bilan%20-%20Wallis%2003.09.xls" TargetMode="External"/></Relationships>
</file>

<file path=xl/externalLinks/_rels/externalLink40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ICS-01\Organisation\C\Documents%20and%20Settings\stern\Mes%20documents\Infi\7-%20En-cours%20Anthony\SIDR\Simul%20-%2041%25%2022-10-07.xls" TargetMode="External"/></Relationships>
</file>

<file path=xl/externalLinks/_rels/externalLink4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ICS-01\Organisation\C\Users\nbl\AppData\Local\Microsoft\Windows\Temporary%20Internet%20Files\Content.Outlook\1AP4NIGP\filer002\303093$\DOCUME~1\140934\LOCALS~1\Temp\notesF20BA6\V4\Air%20Tahiti\PricerAirTahitiINT2004-1AA.xls" TargetMode="External"/></Relationships>
</file>

<file path=xl/externalLinks/_rels/externalLink4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ICS-01\Organisation\C\Users\nbl\AppData\Local\Microsoft\Windows\Temporary%20Internet%20Files\Content.Outlook\1AP4NIGP\Fsprod1\Utilisateurs$\Documents\zimberger\Procedures\BILAN2007.xls" TargetMode="External"/></Relationships>
</file>

<file path=xl/externalLinks/_rels/externalLink4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ICS-01\Organisation\C\385_Financements_d'Actifs\LT-KS\FELL-Turkey\THY%202008\Pricing\Z_Poubelle\MODELE%20GF_test%20avion%202008%20-%20V4.xls" TargetMode="External"/></Relationships>
</file>

<file path=xl/externalLinks/_rels/externalLink4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ICS-01\Organisation\3%20-%20D&#233;partement%20Administratif%20&amp;%20Financier\30%20-%20Responsable%20DAF\302%20-%20Gestion%20budgetaire\2013\PMT%20NOVEMBRE\Projet%20siege%20sodegis\Montage%20financier%20nouveau%20si&#232;ge%20VD.xls" TargetMode="External"/></Relationships>
</file>

<file path=xl/externalLinks/_rels/externalLink4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ICS-01\Organisation\C\Users\nbl\AppData\Local\Microsoft\Windows\Temporary%20Internet%20Files\Content.Outlook\1AP4NIGP\Fsprod1\Utilisateurs$\Documents\zimberger\Temporaire\Bilan%20-%20Beta2.xls" TargetMode="External"/></Relationships>
</file>

<file path=xl/externalLinks/_rels/externalLink4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ICS-01\Organisation\C\Users\nbl\AppData\Local\Microsoft\Windows\Temporary%20Internet%20Files\Content.Outlook\1AP4NIGP\S3E116\partage\Affaires\116%20E%207453\116%20C%203678\Etudes%20-%20Chantiers%20SAUVChantiers%20clotur&#233;s\116%20C%203646\A%20faire%20116%20C%203646" TargetMode="External"/></Relationships>
</file>

<file path=xl/externalLinks/_rels/externalLink4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ICS-01\Organisation\C\4%20-%20D&#233;partement%20Op&#233;ration%20et%20Programme\42%20-%20P&#244;le%20Construction%20Immobili&#232;re\P&#244;le%20Immobilier\PRLC\Programmation%202011\Philidor%20Techer\Financement\DEFISC\Dossier%20agr&#233;ment\IM\Bilan%20FRAFU.xls" TargetMode="External"/></Relationships>
</file>

<file path=xl/externalLinks/_rels/externalLink4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ICS-01\Organisation\C\__Work\TER%20SM%20v3.xls" TargetMode="External"/></Relationships>
</file>

<file path=xl/externalLinks/_rels/externalLink49.xml.rels><?xml version="1.0" encoding="UTF-8" standalone="yes"?>
<Relationships xmlns="http://schemas.openxmlformats.org/package/2006/relationships"><Relationship Id="rId1" Type="http://schemas.openxmlformats.org/officeDocument/2006/relationships/externalLinkPath" Target="Montage%20financier%20%2040%20ans.xls" TargetMode="External"/></Relationships>
</file>

<file path=xl/externalLinks/_rels/externalLink50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ICS-01\Organisation\C\Users\nbl\AppData\Local\Microsoft\Windows\Temporary%20Internet%20Files\Content.Outlook\1AP4NIGP\filer002\303093$\385_Financements_d'Actifs\DJ-LP\TRAVAIL\Calculs\refin\REFINANC.XLS" TargetMode="External"/></Relationships>
</file>

<file path=xl/externalLinks/_rels/externalLink5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ICS-01\Organisation\C\Users\nbl\AppData\Local\Microsoft\Windows\Temporary%20Internet%20Files\Content.Outlook\1AP4NIGP\Sodegis2\users\Mes%20documents\76%20LA%20CRESSONNIERE%2014%20LLTS%203\076%20La%20Cressonni&#232;re%202.xls" TargetMode="External"/></Relationships>
</file>

<file path=xl/externalLinks/_rels/externalLink5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ICS-01\Organisation\C\Users\nbl\AppData\Local\Microsoft\Windows\Temporary%20Internet%20Files\Content.Outlook\1AP4NIGP\Infisrvdc02\infi\Saint%20Andre%20&amp;%20Pierre\SILOGA\Saint-Pierre\Corossol\Source\COROSSOL%20(ex%20chagos1)-%20Bilan.xls" TargetMode="External"/></Relationships>
</file>

<file path=xl/externalLinks/_rels/externalLink5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ICS-01\Organisation\C\Users\nbl\AppData\Local\Microsoft\Windows\Temporary%20Internet%20Files\Content.Outlook\1AP4NIGP\filer002\303093$\385_Financements_d'Actifs\Laurent\LDA-Cetam\Mod&#233;lisation\Alda0001-%20Livraison%20-%20v7final%20DGI.xls" TargetMode="External"/></Relationships>
</file>

<file path=xl/externalLinks/_rels/externalLink5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ICS-01\Organisation\C\Documents%20and%20Settings\stern\Mes%20documents\Infi\7-%20En-cours%20Anthony\SIDR\SALAZIE\ADF\SIDR%20ADF%206%20ans%20VFidji%20V03-02-2009%20AS.xls" TargetMode="External"/></Relationships>
</file>

<file path=xl/externalLinks/_rels/externalLink55.xml.rels><?xml version="1.0" encoding="UTF-8" standalone="yes"?>
<Relationships xmlns="http://schemas.openxmlformats.org/package/2006/relationships"><Relationship Id="rId1" Type="http://schemas.openxmlformats.org/officeDocument/2006/relationships/externalLinkPath" Target="/4%20-%20DOP/42%20-%20P&#244;le%20Construction%20Immobili&#232;re/P&#244;le%20Immobilier/PRLC/Programmation%202017/0193%20-%20CROUS%20St%20Pierre/1.%20Administratif/CROUS/Archives/Consultation/Offres%20SODEGIS-OCIDIM/Nouvelle%20r&#233;ponse/07.08.17/Budget%20CROUS%20Saint-Pierre%20-%20Mai%2017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aisie"/>
      <sheetName val="Graphique"/>
      <sheetName val="Résultats"/>
      <sheetName val="Synthèse VAN TRI TRFP"/>
      <sheetName val="Saisie_Données_Obligatoires"/>
      <sheetName val="Calcul VAN TRI TRFP"/>
      <sheetName val="Saisie_Données_Facultatives"/>
    </sheetNames>
    <sheetDataSet>
      <sheetData sheetId="0" refreshError="1">
        <row r="17">
          <cell r="F17" t="str">
            <v xml:space="preserve"> LLTS</v>
          </cell>
        </row>
        <row r="26">
          <cell r="D26">
            <v>847437.92295999988</v>
          </cell>
          <cell r="F26">
            <v>830007.76</v>
          </cell>
        </row>
        <row r="29">
          <cell r="C29">
            <v>0.01</v>
          </cell>
        </row>
        <row r="31">
          <cell r="D31">
            <v>45893.759999999995</v>
          </cell>
        </row>
        <row r="38">
          <cell r="C38">
            <v>19</v>
          </cell>
        </row>
        <row r="39">
          <cell r="C39">
            <v>2</v>
          </cell>
        </row>
        <row r="40">
          <cell r="C40">
            <v>322.5</v>
          </cell>
        </row>
        <row r="41">
          <cell r="C41">
            <v>432.96</v>
          </cell>
        </row>
        <row r="48">
          <cell r="E48" t="e">
            <v>#NAME?</v>
          </cell>
          <cell r="F48">
            <v>1084926</v>
          </cell>
        </row>
        <row r="49">
          <cell r="F49">
            <v>1105968</v>
          </cell>
        </row>
        <row r="57">
          <cell r="D57">
            <v>0</v>
          </cell>
        </row>
        <row r="60">
          <cell r="F60">
            <v>-255496.92295999988</v>
          </cell>
        </row>
        <row r="61">
          <cell r="F61">
            <v>378596</v>
          </cell>
        </row>
        <row r="62">
          <cell r="F62">
            <v>0</v>
          </cell>
        </row>
        <row r="63">
          <cell r="F63">
            <v>0</v>
          </cell>
        </row>
        <row r="64">
          <cell r="C64">
            <v>3.3</v>
          </cell>
          <cell r="D64">
            <v>50</v>
          </cell>
        </row>
        <row r="70">
          <cell r="D70">
            <v>16796</v>
          </cell>
        </row>
        <row r="72">
          <cell r="D72">
            <v>41</v>
          </cell>
        </row>
        <row r="78">
          <cell r="C78">
            <v>39918</v>
          </cell>
        </row>
        <row r="79">
          <cell r="C79">
            <v>14</v>
          </cell>
        </row>
        <row r="84">
          <cell r="C84">
            <v>3.3</v>
          </cell>
        </row>
        <row r="85">
          <cell r="C85">
            <v>5.0000000000000001E-3</v>
          </cell>
        </row>
        <row r="86">
          <cell r="C86">
            <v>40</v>
          </cell>
        </row>
        <row r="87">
          <cell r="D87">
            <v>900</v>
          </cell>
        </row>
        <row r="88">
          <cell r="D88">
            <v>250</v>
          </cell>
        </row>
        <row r="89">
          <cell r="C89">
            <v>0.6</v>
          </cell>
          <cell r="D89">
            <v>5</v>
          </cell>
        </row>
        <row r="90">
          <cell r="C90">
            <v>1.5</v>
          </cell>
        </row>
        <row r="91">
          <cell r="C91">
            <v>1.5</v>
          </cell>
        </row>
        <row r="92">
          <cell r="C92">
            <v>25</v>
          </cell>
          <cell r="D92">
            <v>500</v>
          </cell>
        </row>
        <row r="93">
          <cell r="C93">
            <v>2.5</v>
          </cell>
        </row>
        <row r="94">
          <cell r="C94">
            <v>2.5</v>
          </cell>
        </row>
        <row r="95">
          <cell r="C95">
            <v>2</v>
          </cell>
        </row>
        <row r="99">
          <cell r="F99">
            <v>0.03</v>
          </cell>
        </row>
        <row r="100">
          <cell r="F100">
            <v>26033.29</v>
          </cell>
        </row>
        <row r="101">
          <cell r="F101">
            <v>0.05</v>
          </cell>
        </row>
        <row r="102">
          <cell r="F102">
            <v>43388.82</v>
          </cell>
        </row>
        <row r="104">
          <cell r="F104">
            <v>43389</v>
          </cell>
        </row>
      </sheetData>
      <sheetData sheetId="1" refreshError="1"/>
      <sheetData sheetId="2" refreshError="1">
        <row r="1">
          <cell r="R1">
            <v>40359</v>
          </cell>
        </row>
        <row r="9">
          <cell r="ET9">
            <v>0</v>
          </cell>
        </row>
        <row r="10">
          <cell r="ET10">
            <v>0.44176134875766382</v>
          </cell>
        </row>
        <row r="11">
          <cell r="ET11">
            <v>0</v>
          </cell>
        </row>
        <row r="12">
          <cell r="ET12">
            <v>0</v>
          </cell>
        </row>
        <row r="13">
          <cell r="G13">
            <v>3.4500000000000003E-2</v>
          </cell>
          <cell r="O13">
            <v>0</v>
          </cell>
          <cell r="ET13">
            <v>0</v>
          </cell>
        </row>
        <row r="14">
          <cell r="G14">
            <v>3.3000000000000002E-2</v>
          </cell>
          <cell r="O14">
            <v>40451</v>
          </cell>
        </row>
        <row r="18">
          <cell r="G18">
            <v>3.3000000000000002E-2</v>
          </cell>
          <cell r="O18">
            <v>40451</v>
          </cell>
        </row>
        <row r="19">
          <cell r="G19">
            <v>2.9499999999999998E-2</v>
          </cell>
          <cell r="O19">
            <v>0</v>
          </cell>
        </row>
        <row r="26">
          <cell r="J26">
            <v>0.02</v>
          </cell>
        </row>
        <row r="30">
          <cell r="H30">
            <v>262.65625</v>
          </cell>
          <cell r="J30">
            <v>2.5000000000000001E-2</v>
          </cell>
          <cell r="K30">
            <v>2.5000000000000001E-2</v>
          </cell>
        </row>
        <row r="31">
          <cell r="H31">
            <v>945.56249999999989</v>
          </cell>
        </row>
        <row r="32">
          <cell r="H32">
            <v>525.3125</v>
          </cell>
          <cell r="J32">
            <v>2.5000000000000001E-2</v>
          </cell>
          <cell r="K32">
            <v>2.5000000000000001E-2</v>
          </cell>
        </row>
        <row r="34">
          <cell r="H34">
            <v>6.0000000000000001E-3</v>
          </cell>
          <cell r="J34">
            <v>2.5000000000000001E-2</v>
          </cell>
        </row>
        <row r="39">
          <cell r="C39">
            <v>40359</v>
          </cell>
        </row>
        <row r="43">
          <cell r="H43">
            <v>45141.9156</v>
          </cell>
        </row>
        <row r="50">
          <cell r="AT50">
            <v>-813.82538903505076</v>
          </cell>
        </row>
        <row r="51">
          <cell r="AV51">
            <v>-492.67131086069423</v>
          </cell>
          <cell r="AX51">
            <v>37</v>
          </cell>
          <cell r="AY51">
            <v>-683.17332408760808</v>
          </cell>
          <cell r="BA51">
            <v>37</v>
          </cell>
        </row>
        <row r="61">
          <cell r="BV61">
            <v>49840</v>
          </cell>
          <cell r="BW61">
            <v>42551</v>
          </cell>
        </row>
      </sheetData>
      <sheetData sheetId="3" refreshError="1"/>
      <sheetData sheetId="4" refreshError="1"/>
      <sheetData sheetId="5" refreshError="1"/>
      <sheetData sheetId="6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aisie"/>
      <sheetName val="Graphique"/>
      <sheetName val="Résultats"/>
      <sheetName val="Synthèse VAN TRI TRFP"/>
      <sheetName val="Saisie_Données_Obligatoires"/>
      <sheetName val="Calcul VAN TRI TRFP"/>
      <sheetName val="Saisie_Données_Facultatives"/>
    </sheetNames>
    <sheetDataSet>
      <sheetData sheetId="0" refreshError="1">
        <row r="17">
          <cell r="F17" t="str">
            <v xml:space="preserve"> LLTS</v>
          </cell>
        </row>
        <row r="48">
          <cell r="E48" t="e">
            <v>#NAME?</v>
          </cell>
        </row>
        <row r="50">
          <cell r="E50" t="e">
            <v>#NAME?</v>
          </cell>
        </row>
        <row r="56">
          <cell r="F56">
            <v>847437.92295999988</v>
          </cell>
        </row>
        <row r="57">
          <cell r="F57">
            <v>0</v>
          </cell>
        </row>
        <row r="59">
          <cell r="F59">
            <v>-255496.92295999988</v>
          </cell>
        </row>
        <row r="68">
          <cell r="E68">
            <v>6</v>
          </cell>
        </row>
        <row r="82">
          <cell r="C82">
            <v>40816</v>
          </cell>
        </row>
        <row r="109">
          <cell r="B109" t="str">
            <v>Résultats cumulés en fin de cycle (en euros)</v>
          </cell>
        </row>
        <row r="111">
          <cell r="B111" t="str">
            <v>dont déficits cumulés (en euros) =</v>
          </cell>
        </row>
        <row r="113">
          <cell r="B113" t="str">
            <v>Nombre d'années déficitaires...</v>
          </cell>
        </row>
      </sheetData>
      <sheetData sheetId="1" refreshError="1"/>
      <sheetData sheetId="2" refreshError="1">
        <row r="1">
          <cell r="R1">
            <v>40359</v>
          </cell>
        </row>
        <row r="9">
          <cell r="CS9">
            <v>2011</v>
          </cell>
          <cell r="FD9">
            <v>1901</v>
          </cell>
          <cell r="FE9">
            <v>1901</v>
          </cell>
          <cell r="FF9">
            <v>1901</v>
          </cell>
          <cell r="FG9">
            <v>2011</v>
          </cell>
          <cell r="FH9">
            <v>1901</v>
          </cell>
          <cell r="FI9">
            <v>1901</v>
          </cell>
          <cell r="FJ9">
            <v>2011</v>
          </cell>
        </row>
        <row r="33">
          <cell r="C33">
            <v>970.04700000000003</v>
          </cell>
        </row>
      </sheetData>
      <sheetData sheetId="3" refreshError="1"/>
      <sheetData sheetId="4" refreshError="1"/>
      <sheetData sheetId="5" refreshError="1"/>
      <sheetData sheetId="6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Mode d'emploi"/>
      <sheetName val="Lots"/>
      <sheetName val="Programme"/>
      <sheetName val="Ménage"/>
      <sheetName val="Résultats"/>
      <sheetName val="Paramètres"/>
      <sheetName val="Prêts"/>
      <sheetName val="Calculs"/>
    </sheetNames>
    <sheetDataSet>
      <sheetData sheetId="0"/>
      <sheetData sheetId="1"/>
      <sheetData sheetId="2"/>
      <sheetData sheetId="3">
        <row r="19">
          <cell r="B19">
            <v>153455</v>
          </cell>
        </row>
        <row r="25">
          <cell r="B25">
            <v>1207585</v>
          </cell>
        </row>
      </sheetData>
      <sheetData sheetId="4">
        <row r="15">
          <cell r="B15">
            <v>710.46077315111052</v>
          </cell>
        </row>
        <row r="19">
          <cell r="B19">
            <v>54.539226848889484</v>
          </cell>
        </row>
      </sheetData>
      <sheetData sheetId="5"/>
      <sheetData sheetId="6">
        <row r="4">
          <cell r="C4">
            <v>1.7500000000000002E-2</v>
          </cell>
        </row>
        <row r="5">
          <cell r="C5">
            <v>1.7500000000000002E-2</v>
          </cell>
        </row>
        <row r="8">
          <cell r="C8">
            <v>5</v>
          </cell>
        </row>
        <row r="9">
          <cell r="C9">
            <v>0.03</v>
          </cell>
        </row>
        <row r="10">
          <cell r="C10">
            <v>450</v>
          </cell>
        </row>
        <row r="15">
          <cell r="C15">
            <v>0.02</v>
          </cell>
        </row>
        <row r="16">
          <cell r="C16">
            <v>7.0000000000000007E-2</v>
          </cell>
        </row>
      </sheetData>
      <sheetData sheetId="7"/>
      <sheetData sheetId="8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Mode d'emploi"/>
      <sheetName val="Lots"/>
      <sheetName val="Programme"/>
      <sheetName val="Ménage"/>
      <sheetName val="Résultats"/>
      <sheetName val="Paramètres"/>
      <sheetName val="Prêts"/>
      <sheetName val="Calculs"/>
    </sheetNames>
    <sheetDataSet>
      <sheetData sheetId="0"/>
      <sheetData sheetId="1"/>
      <sheetData sheetId="2"/>
      <sheetData sheetId="3">
        <row r="19">
          <cell r="B19">
            <v>153455</v>
          </cell>
        </row>
        <row r="20">
          <cell r="F20">
            <v>0</v>
          </cell>
        </row>
        <row r="21">
          <cell r="F21">
            <v>0</v>
          </cell>
        </row>
        <row r="22">
          <cell r="F22">
            <v>0</v>
          </cell>
        </row>
        <row r="23">
          <cell r="F23">
            <v>0</v>
          </cell>
        </row>
        <row r="24">
          <cell r="F24">
            <v>0</v>
          </cell>
        </row>
      </sheetData>
      <sheetData sheetId="4">
        <row r="15">
          <cell r="B15">
            <v>710.46077315111052</v>
          </cell>
        </row>
      </sheetData>
      <sheetData sheetId="5"/>
      <sheetData sheetId="6">
        <row r="4">
          <cell r="C4">
            <v>1.7500000000000002E-2</v>
          </cell>
        </row>
      </sheetData>
      <sheetData sheetId="7"/>
      <sheetData sheetId="8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 communaux"/>
      <sheetName val="Param globaux"/>
      <sheetName val="Param opération"/>
      <sheetName val="Surfaces"/>
      <sheetName val="Présentations"/>
      <sheetName val="Fiche CA"/>
      <sheetName val="Prix rev.CE"/>
      <sheetName val="Bilan Simplifié DDE"/>
      <sheetName val="Bilan Détaillé DDE"/>
      <sheetName val="Attestations DDE"/>
      <sheetName val="Contingent DDE"/>
      <sheetName val="ODSDataSheet"/>
      <sheetName val="ODSTempDataSheet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>
        <row r="66">
          <cell r="K66">
            <v>5.6355242517010637</v>
          </cell>
        </row>
      </sheetData>
      <sheetData sheetId="9" refreshError="1"/>
      <sheetData sheetId="10" refreshError="1"/>
      <sheetData sheetId="11" refreshError="1"/>
      <sheetData sheetId="12" refreshError="1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ircraft 1 Lease"/>
      <sheetName val="Cash Statement"/>
      <sheetName val="Depreciation"/>
      <sheetName val="P&amp;L"/>
      <sheetName val="Balance Sheet"/>
      <sheetName val="RBT"/>
      <sheetName val="Lease Margin"/>
      <sheetName val="TVs"/>
      <sheetName val="IRRs"/>
      <sheetName val="ZCB"/>
      <sheetName val="Graph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 refreshError="1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ypothèses Investisseur"/>
      <sheetName val="Trésorerie Foncier"/>
      <sheetName val="Infos"/>
      <sheetName val="Grille des frais"/>
      <sheetName val="Hypothèses générales"/>
      <sheetName val="Echéancier d'emprunt foncier"/>
      <sheetName val="Echéancier d'emprunt travaux"/>
      <sheetName val="Tirage"/>
      <sheetName val="Flux ass-vie"/>
      <sheetName val="Loyers"/>
      <sheetName val="Amortissements ROBIEN"/>
    </sheetNames>
    <sheetDataSet>
      <sheetData sheetId="0" refreshError="1">
        <row r="9">
          <cell r="G9">
            <v>38231</v>
          </cell>
        </row>
        <row r="11">
          <cell r="N11" t="str">
            <v>Non</v>
          </cell>
        </row>
        <row r="12">
          <cell r="N12">
            <v>43647</v>
          </cell>
        </row>
        <row r="18">
          <cell r="G18">
            <v>0</v>
          </cell>
        </row>
        <row r="21">
          <cell r="N21">
            <v>180494.52267624476</v>
          </cell>
        </row>
        <row r="22">
          <cell r="G22">
            <v>38231</v>
          </cell>
        </row>
        <row r="45">
          <cell r="G45">
            <v>0</v>
          </cell>
          <cell r="N45">
            <v>0</v>
          </cell>
        </row>
      </sheetData>
      <sheetData sheetId="1" refreshError="1"/>
      <sheetData sheetId="2" refreshError="1">
        <row r="40">
          <cell r="C40">
            <v>2838.0119920000002</v>
          </cell>
        </row>
      </sheetData>
      <sheetData sheetId="3" refreshError="1"/>
      <sheetData sheetId="4" refreshError="1">
        <row r="13">
          <cell r="B13">
            <v>121000</v>
          </cell>
        </row>
        <row r="42">
          <cell r="B42">
            <v>1.32</v>
          </cell>
          <cell r="F42">
            <v>0.02</v>
          </cell>
        </row>
        <row r="44">
          <cell r="B44">
            <v>38231</v>
          </cell>
          <cell r="C44">
            <v>1</v>
          </cell>
        </row>
        <row r="53">
          <cell r="B53">
            <v>38231</v>
          </cell>
          <cell r="C53">
            <v>1</v>
          </cell>
        </row>
      </sheetData>
      <sheetData sheetId="5" refreshError="1">
        <row r="2">
          <cell r="I2">
            <v>38231</v>
          </cell>
        </row>
        <row r="3">
          <cell r="I3">
            <v>38261</v>
          </cell>
          <cell r="M3">
            <v>427.08333333333337</v>
          </cell>
        </row>
        <row r="4">
          <cell r="I4">
            <v>38292</v>
          </cell>
          <cell r="M4">
            <v>425.36200604799956</v>
          </cell>
        </row>
        <row r="5">
          <cell r="I5">
            <v>38322</v>
          </cell>
          <cell r="M5">
            <v>423.63479756110763</v>
          </cell>
        </row>
        <row r="6">
          <cell r="I6">
            <v>38353</v>
          </cell>
          <cell r="M6">
            <v>421.90168777855206</v>
          </cell>
        </row>
        <row r="7">
          <cell r="I7">
            <v>38384</v>
          </cell>
          <cell r="M7">
            <v>420.16265653757284</v>
          </cell>
        </row>
        <row r="8">
          <cell r="I8">
            <v>38412</v>
          </cell>
          <cell r="M8">
            <v>418.41768360652026</v>
          </cell>
        </row>
        <row r="9">
          <cell r="I9">
            <v>38443</v>
          </cell>
          <cell r="M9">
            <v>416.66674868461985</v>
          </cell>
        </row>
        <row r="10">
          <cell r="I10">
            <v>38473</v>
          </cell>
          <cell r="M10">
            <v>414.90983140173626</v>
          </cell>
        </row>
        <row r="11">
          <cell r="I11">
            <v>38504</v>
          </cell>
          <cell r="M11">
            <v>413.14691131813618</v>
          </cell>
        </row>
        <row r="12">
          <cell r="I12">
            <v>38534</v>
          </cell>
          <cell r="M12">
            <v>411.37796792425053</v>
          </cell>
        </row>
        <row r="13">
          <cell r="I13">
            <v>38565</v>
          </cell>
          <cell r="M13">
            <v>409.60298064043576</v>
          </cell>
        </row>
        <row r="14">
          <cell r="I14">
            <v>38596</v>
          </cell>
          <cell r="M14">
            <v>407.8219288167345</v>
          </cell>
        </row>
        <row r="15">
          <cell r="I15">
            <v>38626</v>
          </cell>
          <cell r="M15">
            <v>406.03479173263577</v>
          </cell>
        </row>
        <row r="16">
          <cell r="I16">
            <v>38657</v>
          </cell>
          <cell r="M16">
            <v>404.24154859683296</v>
          </cell>
        </row>
        <row r="17">
          <cell r="B17">
            <v>0</v>
          </cell>
          <cell r="I17">
            <v>38687</v>
          </cell>
          <cell r="M17">
            <v>402.44217854698286</v>
          </cell>
        </row>
        <row r="18">
          <cell r="B18">
            <v>0</v>
          </cell>
          <cell r="I18">
            <v>38718</v>
          </cell>
          <cell r="M18">
            <v>400.63666064946239</v>
          </cell>
        </row>
        <row r="19">
          <cell r="I19">
            <v>38749</v>
          </cell>
          <cell r="M19">
            <v>398.82497389912527</v>
          </cell>
        </row>
        <row r="20">
          <cell r="I20">
            <v>38777</v>
          </cell>
          <cell r="M20">
            <v>397.00709721905798</v>
          </cell>
        </row>
        <row r="21">
          <cell r="I21">
            <v>38808</v>
          </cell>
          <cell r="M21">
            <v>395.18300946033384</v>
          </cell>
        </row>
        <row r="22">
          <cell r="I22">
            <v>38838</v>
          </cell>
          <cell r="M22">
            <v>393.35268940176735</v>
          </cell>
        </row>
        <row r="23">
          <cell r="I23">
            <v>38869</v>
          </cell>
          <cell r="M23">
            <v>391.51611574966734</v>
          </cell>
        </row>
        <row r="24">
          <cell r="I24">
            <v>38899</v>
          </cell>
          <cell r="M24">
            <v>389.67326713758951</v>
          </cell>
        </row>
        <row r="25">
          <cell r="I25">
            <v>38930</v>
          </cell>
          <cell r="M25">
            <v>387.82412212608688</v>
          </cell>
        </row>
        <row r="26">
          <cell r="I26">
            <v>38961</v>
          </cell>
          <cell r="M26">
            <v>385.96865920246159</v>
          </cell>
        </row>
        <row r="27">
          <cell r="I27">
            <v>38991</v>
          </cell>
          <cell r="M27">
            <v>384.10685678051408</v>
          </cell>
        </row>
        <row r="28">
          <cell r="I28">
            <v>39022</v>
          </cell>
          <cell r="M28">
            <v>382.23869320029149</v>
          </cell>
        </row>
        <row r="29">
          <cell r="I29">
            <v>39052</v>
          </cell>
          <cell r="M29">
            <v>380.36414672783644</v>
          </cell>
        </row>
        <row r="30">
          <cell r="I30">
            <v>39083</v>
          </cell>
          <cell r="M30">
            <v>378.4831955549339</v>
          </cell>
        </row>
        <row r="31">
          <cell r="I31">
            <v>39114</v>
          </cell>
          <cell r="M31">
            <v>376.59581779885735</v>
          </cell>
        </row>
        <row r="32">
          <cell r="I32">
            <v>39142</v>
          </cell>
          <cell r="M32">
            <v>374.70199150211414</v>
          </cell>
        </row>
        <row r="33">
          <cell r="I33">
            <v>39173</v>
          </cell>
          <cell r="M33">
            <v>372.80169463219039</v>
          </cell>
        </row>
        <row r="34">
          <cell r="I34">
            <v>39203</v>
          </cell>
          <cell r="M34">
            <v>370.89490508129438</v>
          </cell>
        </row>
        <row r="35">
          <cell r="I35">
            <v>39234</v>
          </cell>
          <cell r="M35">
            <v>368.98160066609944</v>
          </cell>
        </row>
        <row r="36">
          <cell r="I36">
            <v>39264</v>
          </cell>
          <cell r="M36">
            <v>367.06175912748597</v>
          </cell>
        </row>
        <row r="37">
          <cell r="I37">
            <v>39295</v>
          </cell>
          <cell r="M37">
            <v>365.13535813028233</v>
          </cell>
        </row>
        <row r="38">
          <cell r="I38">
            <v>39326</v>
          </cell>
          <cell r="M38">
            <v>363.2023752630048</v>
          </cell>
        </row>
        <row r="39">
          <cell r="I39">
            <v>39356</v>
          </cell>
          <cell r="M39">
            <v>361.26278803759743</v>
          </cell>
        </row>
        <row r="40">
          <cell r="I40">
            <v>39387</v>
          </cell>
          <cell r="M40">
            <v>359.31657388916983</v>
          </cell>
        </row>
        <row r="41">
          <cell r="I41">
            <v>39417</v>
          </cell>
          <cell r="M41">
            <v>357.36371017573515</v>
          </cell>
        </row>
        <row r="42">
          <cell r="I42">
            <v>39448</v>
          </cell>
          <cell r="M42">
            <v>355.40417417794629</v>
          </cell>
        </row>
        <row r="43">
          <cell r="I43">
            <v>39479</v>
          </cell>
          <cell r="M43">
            <v>353.43794309883157</v>
          </cell>
        </row>
        <row r="44">
          <cell r="I44">
            <v>39508</v>
          </cell>
          <cell r="M44">
            <v>351.46499406352996</v>
          </cell>
        </row>
        <row r="45">
          <cell r="I45">
            <v>39539</v>
          </cell>
          <cell r="M45">
            <v>349.48530411902442</v>
          </cell>
        </row>
        <row r="46">
          <cell r="I46">
            <v>39569</v>
          </cell>
          <cell r="M46">
            <v>347.49885023387498</v>
          </cell>
        </row>
        <row r="47">
          <cell r="I47">
            <v>39600</v>
          </cell>
          <cell r="M47">
            <v>345.50560929795154</v>
          </cell>
        </row>
        <row r="48">
          <cell r="I48">
            <v>39630</v>
          </cell>
          <cell r="M48">
            <v>343.50555812216351</v>
          </cell>
        </row>
        <row r="49">
          <cell r="I49">
            <v>39661</v>
          </cell>
          <cell r="M49">
            <v>341.49867343819164</v>
          </cell>
        </row>
        <row r="50">
          <cell r="I50">
            <v>39692</v>
          </cell>
          <cell r="M50">
            <v>339.48493189821613</v>
          </cell>
        </row>
        <row r="51">
          <cell r="I51">
            <v>39722</v>
          </cell>
          <cell r="M51">
            <v>337.46431007464571</v>
          </cell>
        </row>
        <row r="52">
          <cell r="I52">
            <v>39753</v>
          </cell>
          <cell r="M52">
            <v>335.43678445984466</v>
          </cell>
        </row>
        <row r="53">
          <cell r="I53">
            <v>39783</v>
          </cell>
          <cell r="M53">
            <v>333.40233146585979</v>
          </cell>
        </row>
        <row r="54">
          <cell r="I54">
            <v>39814</v>
          </cell>
          <cell r="M54">
            <v>331.36092742414553</v>
          </cell>
        </row>
        <row r="55">
          <cell r="I55">
            <v>39845</v>
          </cell>
          <cell r="M55">
            <v>329.31254858528865</v>
          </cell>
        </row>
        <row r="56">
          <cell r="I56">
            <v>39873</v>
          </cell>
          <cell r="M56">
            <v>327.25717111873257</v>
          </cell>
        </row>
        <row r="57">
          <cell r="I57">
            <v>39904</v>
          </cell>
          <cell r="M57">
            <v>325.19477111249887</v>
          </cell>
        </row>
        <row r="58">
          <cell r="I58">
            <v>39934</v>
          </cell>
          <cell r="M58">
            <v>323.12532457291047</v>
          </cell>
        </row>
        <row r="59">
          <cell r="I59">
            <v>39965</v>
          </cell>
          <cell r="M59">
            <v>321.04880742431203</v>
          </cell>
        </row>
        <row r="60">
          <cell r="I60">
            <v>39995</v>
          </cell>
          <cell r="M60">
            <v>318.96519550878912</v>
          </cell>
        </row>
        <row r="61">
          <cell r="I61">
            <v>40026</v>
          </cell>
          <cell r="M61">
            <v>316.87446458588801</v>
          </cell>
        </row>
        <row r="62">
          <cell r="I62">
            <v>40057</v>
          </cell>
          <cell r="M62">
            <v>314.77659033233391</v>
          </cell>
        </row>
        <row r="63">
          <cell r="I63">
            <v>40087</v>
          </cell>
          <cell r="M63">
            <v>312.6715483417467</v>
          </cell>
        </row>
        <row r="64">
          <cell r="I64">
            <v>40118</v>
          </cell>
          <cell r="M64">
            <v>310.55931412435848</v>
          </cell>
        </row>
        <row r="65">
          <cell r="I65">
            <v>40148</v>
          </cell>
          <cell r="M65">
            <v>308.43986310672733</v>
          </cell>
        </row>
        <row r="66">
          <cell r="I66">
            <v>40179</v>
          </cell>
          <cell r="M66">
            <v>306.31317063145264</v>
          </cell>
        </row>
        <row r="67">
          <cell r="I67">
            <v>40210</v>
          </cell>
          <cell r="M67">
            <v>304.17921195688751</v>
          </cell>
        </row>
        <row r="68">
          <cell r="I68">
            <v>40238</v>
          </cell>
          <cell r="M68">
            <v>302.0379622568509</v>
          </cell>
        </row>
        <row r="69">
          <cell r="I69">
            <v>40269</v>
          </cell>
          <cell r="M69">
            <v>299.88939662033903</v>
          </cell>
        </row>
        <row r="70">
          <cell r="I70">
            <v>40299</v>
          </cell>
          <cell r="M70">
            <v>297.733490051236</v>
          </cell>
        </row>
        <row r="71">
          <cell r="I71">
            <v>40330</v>
          </cell>
          <cell r="M71">
            <v>295.57021746802178</v>
          </cell>
        </row>
        <row r="72">
          <cell r="I72">
            <v>40360</v>
          </cell>
          <cell r="M72">
            <v>293.3995537034815</v>
          </cell>
        </row>
        <row r="73">
          <cell r="I73">
            <v>40391</v>
          </cell>
          <cell r="M73">
            <v>291.22147350441236</v>
          </cell>
        </row>
        <row r="74">
          <cell r="I74">
            <v>40422</v>
          </cell>
          <cell r="M74">
            <v>289.03595153132983</v>
          </cell>
        </row>
        <row r="75">
          <cell r="I75">
            <v>40452</v>
          </cell>
          <cell r="M75">
            <v>286.8429623581726</v>
          </cell>
        </row>
        <row r="76">
          <cell r="I76">
            <v>40483</v>
          </cell>
          <cell r="M76">
            <v>284.64248047200709</v>
          </cell>
        </row>
        <row r="77">
          <cell r="I77">
            <v>40513</v>
          </cell>
          <cell r="M77">
            <v>282.43448027273041</v>
          </cell>
        </row>
        <row r="78">
          <cell r="I78">
            <v>40544</v>
          </cell>
          <cell r="M78">
            <v>280.21893607277281</v>
          </cell>
        </row>
        <row r="79">
          <cell r="I79">
            <v>40575</v>
          </cell>
          <cell r="M79">
            <v>277.99582209679886</v>
          </cell>
        </row>
        <row r="80">
          <cell r="I80">
            <v>40603</v>
          </cell>
          <cell r="M80">
            <v>275.76511248140696</v>
          </cell>
        </row>
        <row r="81">
          <cell r="I81">
            <v>40634</v>
          </cell>
          <cell r="M81">
            <v>273.52678127482915</v>
          </cell>
        </row>
        <row r="82">
          <cell r="I82">
            <v>40664</v>
          </cell>
          <cell r="M82">
            <v>271.28080243662885</v>
          </cell>
        </row>
        <row r="83">
          <cell r="I83">
            <v>40695</v>
          </cell>
          <cell r="M83">
            <v>269.02714983739799</v>
          </cell>
        </row>
        <row r="84">
          <cell r="I84">
            <v>40725</v>
          </cell>
          <cell r="M84">
            <v>266.76579725845306</v>
          </cell>
        </row>
        <row r="85">
          <cell r="I85">
            <v>40756</v>
          </cell>
          <cell r="M85">
            <v>264.49671839153012</v>
          </cell>
        </row>
        <row r="86">
          <cell r="I86">
            <v>40787</v>
          </cell>
          <cell r="M86">
            <v>262.21988683847854</v>
          </cell>
        </row>
        <row r="87">
          <cell r="I87">
            <v>40817</v>
          </cell>
          <cell r="M87">
            <v>259.93527611095408</v>
          </cell>
        </row>
        <row r="88">
          <cell r="I88">
            <v>40848</v>
          </cell>
          <cell r="M88">
            <v>257.64285963011054</v>
          </cell>
        </row>
        <row r="89">
          <cell r="I89">
            <v>40878</v>
          </cell>
          <cell r="M89">
            <v>255.34261072629079</v>
          </cell>
        </row>
        <row r="90">
          <cell r="I90">
            <v>40909</v>
          </cell>
          <cell r="M90">
            <v>253.03450263871611</v>
          </cell>
        </row>
        <row r="91">
          <cell r="I91">
            <v>40940</v>
          </cell>
          <cell r="M91">
            <v>250.71850851517576</v>
          </cell>
        </row>
        <row r="92">
          <cell r="I92">
            <v>40969</v>
          </cell>
          <cell r="M92">
            <v>248.39460141171338</v>
          </cell>
        </row>
        <row r="93">
          <cell r="I93">
            <v>41000</v>
          </cell>
          <cell r="M93">
            <v>246.06275429231388</v>
          </cell>
        </row>
        <row r="94">
          <cell r="I94">
            <v>41030</v>
          </cell>
          <cell r="M94">
            <v>243.72294002859005</v>
          </cell>
        </row>
        <row r="95">
          <cell r="I95">
            <v>41061</v>
          </cell>
          <cell r="M95">
            <v>241.37513139946512</v>
          </cell>
        </row>
        <row r="96">
          <cell r="I96">
            <v>41091</v>
          </cell>
          <cell r="M96">
            <v>239.0193010908574</v>
          </cell>
        </row>
        <row r="97">
          <cell r="I97">
            <v>41122</v>
          </cell>
          <cell r="M97">
            <v>236.65542169536192</v>
          </cell>
        </row>
        <row r="98">
          <cell r="I98">
            <v>41153</v>
          </cell>
          <cell r="M98">
            <v>234.28346571193174</v>
          </cell>
        </row>
        <row r="99">
          <cell r="I99">
            <v>41183</v>
          </cell>
          <cell r="M99">
            <v>231.9034055455582</v>
          </cell>
        </row>
        <row r="100">
          <cell r="I100">
            <v>41214</v>
          </cell>
          <cell r="M100">
            <v>229.51521350694941</v>
          </cell>
        </row>
        <row r="101">
          <cell r="I101">
            <v>41244</v>
          </cell>
          <cell r="M101">
            <v>227.11886181220899</v>
          </cell>
        </row>
        <row r="102">
          <cell r="I102">
            <v>41275</v>
          </cell>
          <cell r="M102">
            <v>224.71432258251136</v>
          </cell>
        </row>
        <row r="103">
          <cell r="I103">
            <v>41306</v>
          </cell>
          <cell r="M103">
            <v>222.30156784377894</v>
          </cell>
        </row>
        <row r="104">
          <cell r="I104">
            <v>41334</v>
          </cell>
          <cell r="M104">
            <v>219.8805695263558</v>
          </cell>
        </row>
        <row r="105">
          <cell r="I105">
            <v>41365</v>
          </cell>
          <cell r="M105">
            <v>217.4512994646816</v>
          </cell>
        </row>
        <row r="106">
          <cell r="I106">
            <v>41395</v>
          </cell>
          <cell r="M106">
            <v>215.01372939696336</v>
          </cell>
        </row>
        <row r="107">
          <cell r="I107">
            <v>41426</v>
          </cell>
          <cell r="M107">
            <v>212.56783096484691</v>
          </cell>
        </row>
        <row r="108">
          <cell r="I108">
            <v>41456</v>
          </cell>
          <cell r="M108">
            <v>210.11357571308744</v>
          </cell>
        </row>
        <row r="109">
          <cell r="I109">
            <v>41487</v>
          </cell>
          <cell r="M109">
            <v>207.65093508921797</v>
          </cell>
        </row>
        <row r="110">
          <cell r="I110">
            <v>41518</v>
          </cell>
          <cell r="M110">
            <v>205.17988044321663</v>
          </cell>
        </row>
        <row r="111">
          <cell r="I111">
            <v>41548</v>
          </cell>
          <cell r="M111">
            <v>202.70038302717506</v>
          </cell>
        </row>
        <row r="112">
          <cell r="I112">
            <v>41579</v>
          </cell>
          <cell r="M112">
            <v>200.21241399496202</v>
          </cell>
        </row>
        <row r="113">
          <cell r="I113">
            <v>41609</v>
          </cell>
          <cell r="M113">
            <v>197.71594440188892</v>
          </cell>
        </row>
        <row r="114">
          <cell r="I114">
            <v>41640</v>
          </cell>
          <cell r="M114">
            <v>195.21094520437259</v>
          </cell>
        </row>
        <row r="115">
          <cell r="I115">
            <v>41671</v>
          </cell>
          <cell r="M115">
            <v>192.69738725959814</v>
          </cell>
        </row>
        <row r="116">
          <cell r="I116">
            <v>41699</v>
          </cell>
          <cell r="M116">
            <v>190.17524132517917</v>
          </cell>
        </row>
        <row r="117">
          <cell r="I117">
            <v>41730</v>
          </cell>
          <cell r="M117">
            <v>187.64447805881747</v>
          </cell>
        </row>
        <row r="118">
          <cell r="I118">
            <v>41760</v>
          </cell>
          <cell r="M118">
            <v>185.10506801796257</v>
          </cell>
        </row>
        <row r="119">
          <cell r="I119">
            <v>41791</v>
          </cell>
          <cell r="M119">
            <v>182.55698165946777</v>
          </cell>
        </row>
        <row r="120">
          <cell r="I120">
            <v>41821</v>
          </cell>
          <cell r="M120">
            <v>180.00018933924858</v>
          </cell>
        </row>
        <row r="121">
          <cell r="I121">
            <v>41852</v>
          </cell>
          <cell r="M121">
            <v>177.43466131193492</v>
          </cell>
        </row>
        <row r="122">
          <cell r="I122">
            <v>41883</v>
          </cell>
          <cell r="M122">
            <v>174.86036773052797</v>
          </cell>
        </row>
        <row r="123">
          <cell r="I123">
            <v>41913</v>
          </cell>
          <cell r="M123">
            <v>172.27727864605129</v>
          </cell>
        </row>
        <row r="124">
          <cell r="I124">
            <v>41944</v>
          </cell>
          <cell r="M124">
            <v>169.68536400720271</v>
          </cell>
        </row>
        <row r="125">
          <cell r="I125">
            <v>41974</v>
          </cell>
          <cell r="M125">
            <v>167.08459366000454</v>
          </cell>
        </row>
        <row r="126">
          <cell r="I126">
            <v>42005</v>
          </cell>
          <cell r="M126">
            <v>164.47493734745365</v>
          </cell>
        </row>
        <row r="127">
          <cell r="I127">
            <v>42036</v>
          </cell>
          <cell r="M127">
            <v>161.85636470916816</v>
          </cell>
        </row>
        <row r="128">
          <cell r="I128">
            <v>42064</v>
          </cell>
          <cell r="M128">
            <v>159.22884528103521</v>
          </cell>
        </row>
        <row r="129">
          <cell r="I129">
            <v>42095</v>
          </cell>
          <cell r="M129">
            <v>156.5923484948562</v>
          </cell>
        </row>
        <row r="130">
          <cell r="I130">
            <v>42125</v>
          </cell>
          <cell r="M130">
            <v>153.94684367799087</v>
          </cell>
        </row>
        <row r="131">
          <cell r="I131">
            <v>42156</v>
          </cell>
          <cell r="M131">
            <v>151.29230005300147</v>
          </cell>
        </row>
        <row r="132">
          <cell r="I132">
            <v>42186</v>
          </cell>
          <cell r="M132">
            <v>148.62868673729312</v>
          </cell>
        </row>
        <row r="133">
          <cell r="I133">
            <v>42217</v>
          </cell>
          <cell r="M133">
            <v>145.95597274275624</v>
          </cell>
        </row>
        <row r="134">
          <cell r="I134">
            <v>42248</v>
          </cell>
          <cell r="M134">
            <v>143.27412697540467</v>
          </cell>
        </row>
        <row r="135">
          <cell r="I135">
            <v>42278</v>
          </cell>
          <cell r="M135">
            <v>140.58311823501472</v>
          </cell>
        </row>
        <row r="136">
          <cell r="I136">
            <v>42309</v>
          </cell>
          <cell r="M136">
            <v>137.88291521476162</v>
          </cell>
        </row>
        <row r="137">
          <cell r="I137">
            <v>42339</v>
          </cell>
          <cell r="M137">
            <v>135.17348650085626</v>
          </cell>
        </row>
        <row r="138">
          <cell r="I138">
            <v>42370</v>
          </cell>
          <cell r="M138">
            <v>132.45480057217813</v>
          </cell>
        </row>
        <row r="139">
          <cell r="I139">
            <v>42401</v>
          </cell>
          <cell r="M139">
            <v>129.72682579991044</v>
          </cell>
        </row>
        <row r="140">
          <cell r="I140">
            <v>42430</v>
          </cell>
          <cell r="M140">
            <v>126.98953044717074</v>
          </cell>
        </row>
        <row r="141">
          <cell r="I141">
            <v>42461</v>
          </cell>
          <cell r="M141">
            <v>124.24288266864259</v>
          </cell>
        </row>
        <row r="142">
          <cell r="I142">
            <v>42491</v>
          </cell>
          <cell r="M142">
            <v>121.4868505102045</v>
          </cell>
        </row>
        <row r="143">
          <cell r="I143">
            <v>42522</v>
          </cell>
          <cell r="M143">
            <v>118.72140190855849</v>
          </cell>
        </row>
        <row r="144">
          <cell r="I144">
            <v>42552</v>
          </cell>
          <cell r="M144">
            <v>115.94650469085664</v>
          </cell>
        </row>
        <row r="145">
          <cell r="I145">
            <v>42583</v>
          </cell>
          <cell r="M145">
            <v>113.16212657432796</v>
          </cell>
        </row>
        <row r="146">
          <cell r="I146">
            <v>42614</v>
          </cell>
          <cell r="M146">
            <v>110.3682351659009</v>
          </cell>
        </row>
        <row r="147">
          <cell r="I147">
            <v>42644</v>
          </cell>
          <cell r="M147">
            <v>107.56479796182819</v>
          </cell>
        </row>
        <row r="148">
          <cell r="I148">
            <v>42675</v>
          </cell>
          <cell r="M148">
            <v>104.75178234730843</v>
          </cell>
        </row>
        <row r="149">
          <cell r="I149">
            <v>42705</v>
          </cell>
          <cell r="M149">
            <v>101.92915559610584</v>
          </cell>
        </row>
        <row r="150">
          <cell r="I150">
            <v>42736</v>
          </cell>
          <cell r="M150">
            <v>99.096884870169944</v>
          </cell>
        </row>
        <row r="151">
          <cell r="I151">
            <v>42767</v>
          </cell>
          <cell r="M151">
            <v>96.254937219253733</v>
          </cell>
        </row>
        <row r="152">
          <cell r="I152">
            <v>42795</v>
          </cell>
          <cell r="M152">
            <v>93.403279580530224</v>
          </cell>
        </row>
        <row r="153">
          <cell r="I153">
            <v>42826</v>
          </cell>
          <cell r="M153">
            <v>90.541878778207703</v>
          </cell>
        </row>
        <row r="154">
          <cell r="I154">
            <v>42856</v>
          </cell>
          <cell r="M154">
            <v>87.670701523143791</v>
          </cell>
        </row>
        <row r="155">
          <cell r="I155">
            <v>42887</v>
          </cell>
          <cell r="M155">
            <v>84.789714412458636</v>
          </cell>
        </row>
        <row r="156">
          <cell r="I156">
            <v>42917</v>
          </cell>
          <cell r="M156">
            <v>81.898883929145271</v>
          </cell>
        </row>
        <row r="157">
          <cell r="I157">
            <v>42948</v>
          </cell>
          <cell r="M157">
            <v>78.998176441680371</v>
          </cell>
        </row>
        <row r="158">
          <cell r="I158">
            <v>42979</v>
          </cell>
          <cell r="M158">
            <v>76.087558203633549</v>
          </cell>
        </row>
        <row r="159">
          <cell r="I159">
            <v>43009</v>
          </cell>
          <cell r="M159">
            <v>73.166995353273435</v>
          </cell>
        </row>
        <row r="160">
          <cell r="I160">
            <v>43040</v>
          </cell>
          <cell r="M160">
            <v>70.236453913174458</v>
          </cell>
        </row>
        <row r="161">
          <cell r="I161">
            <v>43070</v>
          </cell>
          <cell r="M161">
            <v>67.295899789821846</v>
          </cell>
        </row>
        <row r="162">
          <cell r="I162">
            <v>43101</v>
          </cell>
          <cell r="M162">
            <v>64.345298773214381</v>
          </cell>
        </row>
        <row r="163">
          <cell r="I163">
            <v>43132</v>
          </cell>
          <cell r="M163">
            <v>61.384616536466844</v>
          </cell>
        </row>
        <row r="164">
          <cell r="I164">
            <v>43160</v>
          </cell>
          <cell r="M164">
            <v>58.413818635410465</v>
          </cell>
        </row>
        <row r="165">
          <cell r="I165">
            <v>43191</v>
          </cell>
          <cell r="M165">
            <v>55.432870508192281</v>
          </cell>
        </row>
        <row r="166">
          <cell r="I166">
            <v>43221</v>
          </cell>
          <cell r="M166">
            <v>52.441737474872561</v>
          </cell>
        </row>
        <row r="167">
          <cell r="I167">
            <v>43252</v>
          </cell>
          <cell r="M167">
            <v>49.440384737022399</v>
          </cell>
        </row>
        <row r="168">
          <cell r="I168">
            <v>43282</v>
          </cell>
          <cell r="M168">
            <v>46.428777377317878</v>
          </cell>
        </row>
        <row r="169">
          <cell r="I169">
            <v>43313</v>
          </cell>
          <cell r="M169">
            <v>43.406880359134526</v>
          </cell>
        </row>
        <row r="170">
          <cell r="I170">
            <v>43344</v>
          </cell>
          <cell r="M170">
            <v>40.37465852613883</v>
          </cell>
        </row>
        <row r="171">
          <cell r="I171">
            <v>43374</v>
          </cell>
          <cell r="M171">
            <v>37.332076601880544</v>
          </cell>
        </row>
        <row r="172">
          <cell r="I172">
            <v>43405</v>
          </cell>
          <cell r="M172">
            <v>34.279099189380915</v>
          </cell>
        </row>
        <row r="173">
          <cell r="I173">
            <v>43435</v>
          </cell>
          <cell r="M173">
            <v>31.215690770722002</v>
          </cell>
        </row>
        <row r="174">
          <cell r="I174">
            <v>43466</v>
          </cell>
          <cell r="M174">
            <v>28.141815706632418</v>
          </cell>
        </row>
        <row r="175">
          <cell r="I175">
            <v>43497</v>
          </cell>
          <cell r="M175">
            <v>25.057438236074265</v>
          </cell>
        </row>
        <row r="176">
          <cell r="I176">
            <v>43525</v>
          </cell>
          <cell r="M176">
            <v>21.962522475824986</v>
          </cell>
        </row>
        <row r="177">
          <cell r="I177">
            <v>43556</v>
          </cell>
          <cell r="M177">
            <v>18.857032420061543</v>
          </cell>
        </row>
        <row r="178">
          <cell r="I178">
            <v>43586</v>
          </cell>
          <cell r="M178">
            <v>15.740931939940655</v>
          </cell>
        </row>
        <row r="179">
          <cell r="I179">
            <v>43617</v>
          </cell>
          <cell r="M179">
            <v>12.614184783179587</v>
          </cell>
        </row>
        <row r="180">
          <cell r="I180">
            <v>43647</v>
          </cell>
          <cell r="M180">
            <v>9.476754573632741</v>
          </cell>
        </row>
        <row r="181">
          <cell r="I181">
            <v>43678</v>
          </cell>
          <cell r="M181">
            <v>6.3286048108698312</v>
          </cell>
        </row>
        <row r="182">
          <cell r="I182">
            <v>43709</v>
          </cell>
          <cell r="M182">
            <v>3.1696988697511941</v>
          </cell>
        </row>
        <row r="183">
          <cell r="I183" t="str">
            <v/>
          </cell>
          <cell r="M183" t="str">
            <v/>
          </cell>
        </row>
        <row r="184">
          <cell r="I184" t="str">
            <v/>
          </cell>
          <cell r="M184" t="str">
            <v/>
          </cell>
        </row>
        <row r="185">
          <cell r="I185" t="str">
            <v/>
          </cell>
          <cell r="M185" t="str">
            <v/>
          </cell>
        </row>
        <row r="186">
          <cell r="I186" t="str">
            <v/>
          </cell>
          <cell r="M186" t="str">
            <v/>
          </cell>
        </row>
        <row r="187">
          <cell r="I187" t="str">
            <v/>
          </cell>
          <cell r="M187" t="str">
            <v/>
          </cell>
        </row>
        <row r="188">
          <cell r="I188" t="str">
            <v/>
          </cell>
          <cell r="M188" t="str">
            <v/>
          </cell>
        </row>
        <row r="189">
          <cell r="I189" t="str">
            <v/>
          </cell>
          <cell r="M189" t="str">
            <v/>
          </cell>
        </row>
        <row r="190">
          <cell r="I190" t="str">
            <v/>
          </cell>
          <cell r="M190" t="str">
            <v/>
          </cell>
        </row>
        <row r="191">
          <cell r="I191" t="str">
            <v/>
          </cell>
          <cell r="M191" t="str">
            <v/>
          </cell>
        </row>
        <row r="192">
          <cell r="I192" t="str">
            <v/>
          </cell>
          <cell r="M192" t="str">
            <v/>
          </cell>
        </row>
        <row r="193">
          <cell r="I193" t="str">
            <v/>
          </cell>
          <cell r="M193" t="str">
            <v/>
          </cell>
        </row>
        <row r="194">
          <cell r="I194" t="str">
            <v/>
          </cell>
          <cell r="M194" t="str">
            <v/>
          </cell>
        </row>
        <row r="195">
          <cell r="I195" t="str">
            <v/>
          </cell>
          <cell r="M195" t="str">
            <v/>
          </cell>
        </row>
        <row r="196">
          <cell r="I196" t="str">
            <v/>
          </cell>
          <cell r="M196" t="str">
            <v/>
          </cell>
        </row>
        <row r="197">
          <cell r="I197" t="str">
            <v/>
          </cell>
          <cell r="M197" t="str">
            <v/>
          </cell>
        </row>
        <row r="198">
          <cell r="I198" t="str">
            <v/>
          </cell>
          <cell r="M198" t="str">
            <v/>
          </cell>
        </row>
        <row r="199">
          <cell r="I199" t="str">
            <v/>
          </cell>
          <cell r="M199" t="str">
            <v/>
          </cell>
        </row>
        <row r="200">
          <cell r="I200" t="str">
            <v/>
          </cell>
          <cell r="M200" t="str">
            <v/>
          </cell>
        </row>
        <row r="201">
          <cell r="I201" t="str">
            <v/>
          </cell>
          <cell r="M201" t="str">
            <v/>
          </cell>
        </row>
        <row r="202">
          <cell r="I202" t="str">
            <v/>
          </cell>
          <cell r="M202" t="str">
            <v/>
          </cell>
        </row>
        <row r="203">
          <cell r="I203" t="str">
            <v/>
          </cell>
          <cell r="M203" t="str">
            <v/>
          </cell>
        </row>
        <row r="204">
          <cell r="I204" t="str">
            <v/>
          </cell>
          <cell r="M204" t="str">
            <v/>
          </cell>
        </row>
        <row r="205">
          <cell r="I205" t="str">
            <v/>
          </cell>
          <cell r="M205" t="str">
            <v/>
          </cell>
        </row>
        <row r="206">
          <cell r="I206" t="str">
            <v/>
          </cell>
          <cell r="M206" t="str">
            <v/>
          </cell>
        </row>
        <row r="207">
          <cell r="I207" t="str">
            <v/>
          </cell>
          <cell r="M207" t="str">
            <v/>
          </cell>
        </row>
        <row r="208">
          <cell r="I208" t="str">
            <v/>
          </cell>
          <cell r="M208" t="str">
            <v/>
          </cell>
        </row>
        <row r="209">
          <cell r="I209" t="str">
            <v/>
          </cell>
          <cell r="M209" t="str">
            <v/>
          </cell>
        </row>
        <row r="210">
          <cell r="I210" t="str">
            <v/>
          </cell>
          <cell r="M210" t="str">
            <v/>
          </cell>
        </row>
        <row r="211">
          <cell r="I211" t="str">
            <v/>
          </cell>
          <cell r="M211" t="str">
            <v/>
          </cell>
        </row>
        <row r="212">
          <cell r="I212" t="str">
            <v/>
          </cell>
          <cell r="M212" t="str">
            <v/>
          </cell>
        </row>
        <row r="213">
          <cell r="I213" t="str">
            <v/>
          </cell>
          <cell r="M213" t="str">
            <v/>
          </cell>
        </row>
        <row r="214">
          <cell r="I214" t="str">
            <v/>
          </cell>
          <cell r="M214" t="str">
            <v/>
          </cell>
        </row>
        <row r="215">
          <cell r="I215" t="str">
            <v/>
          </cell>
          <cell r="M215" t="str">
            <v/>
          </cell>
        </row>
        <row r="216">
          <cell r="I216" t="str">
            <v/>
          </cell>
          <cell r="M216" t="str">
            <v/>
          </cell>
        </row>
        <row r="217">
          <cell r="I217" t="str">
            <v/>
          </cell>
          <cell r="M217" t="str">
            <v/>
          </cell>
        </row>
        <row r="218">
          <cell r="I218" t="str">
            <v/>
          </cell>
          <cell r="M218" t="str">
            <v/>
          </cell>
        </row>
        <row r="219">
          <cell r="I219" t="str">
            <v/>
          </cell>
          <cell r="M219" t="str">
            <v/>
          </cell>
        </row>
        <row r="220">
          <cell r="I220" t="str">
            <v/>
          </cell>
          <cell r="M220" t="str">
            <v/>
          </cell>
        </row>
        <row r="221">
          <cell r="I221" t="str">
            <v/>
          </cell>
          <cell r="M221" t="str">
            <v/>
          </cell>
        </row>
        <row r="222">
          <cell r="I222" t="str">
            <v/>
          </cell>
          <cell r="M222" t="str">
            <v/>
          </cell>
        </row>
        <row r="223">
          <cell r="I223" t="str">
            <v/>
          </cell>
          <cell r="M223" t="str">
            <v/>
          </cell>
        </row>
        <row r="224">
          <cell r="I224" t="str">
            <v/>
          </cell>
          <cell r="M224" t="str">
            <v/>
          </cell>
        </row>
        <row r="225">
          <cell r="I225" t="str">
            <v/>
          </cell>
          <cell r="M225" t="str">
            <v/>
          </cell>
        </row>
        <row r="226">
          <cell r="I226" t="str">
            <v/>
          </cell>
          <cell r="M226" t="str">
            <v/>
          </cell>
        </row>
        <row r="227">
          <cell r="I227" t="str">
            <v/>
          </cell>
          <cell r="M227" t="str">
            <v/>
          </cell>
        </row>
        <row r="228">
          <cell r="I228" t="str">
            <v/>
          </cell>
          <cell r="M228" t="str">
            <v/>
          </cell>
        </row>
        <row r="229">
          <cell r="I229" t="str">
            <v/>
          </cell>
          <cell r="M229" t="str">
            <v/>
          </cell>
        </row>
        <row r="230">
          <cell r="I230" t="str">
            <v/>
          </cell>
          <cell r="M230" t="str">
            <v/>
          </cell>
        </row>
        <row r="231">
          <cell r="I231" t="str">
            <v/>
          </cell>
          <cell r="M231" t="str">
            <v/>
          </cell>
        </row>
        <row r="232">
          <cell r="I232" t="str">
            <v/>
          </cell>
          <cell r="M232" t="str">
            <v/>
          </cell>
        </row>
        <row r="233">
          <cell r="I233" t="str">
            <v/>
          </cell>
          <cell r="M233" t="str">
            <v/>
          </cell>
        </row>
        <row r="234">
          <cell r="I234" t="str">
            <v/>
          </cell>
          <cell r="M234" t="str">
            <v/>
          </cell>
        </row>
        <row r="235">
          <cell r="I235" t="str">
            <v/>
          </cell>
          <cell r="M235" t="str">
            <v/>
          </cell>
        </row>
        <row r="236">
          <cell r="I236" t="str">
            <v/>
          </cell>
          <cell r="M236" t="str">
            <v/>
          </cell>
        </row>
        <row r="237">
          <cell r="I237" t="str">
            <v/>
          </cell>
          <cell r="M237" t="str">
            <v/>
          </cell>
        </row>
        <row r="238">
          <cell r="I238" t="str">
            <v/>
          </cell>
          <cell r="M238" t="str">
            <v/>
          </cell>
        </row>
        <row r="239">
          <cell r="I239" t="str">
            <v/>
          </cell>
          <cell r="M239" t="str">
            <v/>
          </cell>
        </row>
        <row r="240">
          <cell r="I240" t="str">
            <v/>
          </cell>
          <cell r="M240" t="str">
            <v/>
          </cell>
        </row>
        <row r="241">
          <cell r="I241" t="str">
            <v/>
          </cell>
          <cell r="M241" t="str">
            <v/>
          </cell>
        </row>
        <row r="242">
          <cell r="I242" t="str">
            <v/>
          </cell>
          <cell r="M242" t="str">
            <v/>
          </cell>
        </row>
        <row r="243">
          <cell r="I243" t="str">
            <v/>
          </cell>
          <cell r="M243" t="str">
            <v/>
          </cell>
        </row>
        <row r="244">
          <cell r="I244" t="str">
            <v/>
          </cell>
          <cell r="M244" t="str">
            <v/>
          </cell>
        </row>
        <row r="245">
          <cell r="I245" t="str">
            <v/>
          </cell>
          <cell r="M245" t="str">
            <v/>
          </cell>
        </row>
        <row r="246">
          <cell r="I246" t="str">
            <v/>
          </cell>
          <cell r="M246" t="str">
            <v/>
          </cell>
        </row>
        <row r="247">
          <cell r="I247" t="str">
            <v/>
          </cell>
          <cell r="M247" t="str">
            <v/>
          </cell>
        </row>
        <row r="248">
          <cell r="I248" t="str">
            <v/>
          </cell>
          <cell r="M248" t="str">
            <v/>
          </cell>
        </row>
        <row r="249">
          <cell r="I249" t="str">
            <v/>
          </cell>
          <cell r="M249" t="str">
            <v/>
          </cell>
        </row>
        <row r="250">
          <cell r="I250" t="str">
            <v/>
          </cell>
          <cell r="M250" t="str">
            <v/>
          </cell>
        </row>
        <row r="251">
          <cell r="I251" t="str">
            <v/>
          </cell>
          <cell r="M251" t="str">
            <v/>
          </cell>
        </row>
        <row r="252">
          <cell r="I252" t="str">
            <v/>
          </cell>
          <cell r="M252" t="str">
            <v/>
          </cell>
        </row>
        <row r="253">
          <cell r="I253" t="str">
            <v/>
          </cell>
          <cell r="M253" t="str">
            <v/>
          </cell>
        </row>
        <row r="254">
          <cell r="I254" t="str">
            <v/>
          </cell>
          <cell r="M254" t="str">
            <v/>
          </cell>
        </row>
      </sheetData>
      <sheetData sheetId="6" refreshError="1">
        <row r="2">
          <cell r="I2">
            <v>38231</v>
          </cell>
        </row>
        <row r="3">
          <cell r="I3">
            <v>38261</v>
          </cell>
          <cell r="M3">
            <v>0</v>
          </cell>
        </row>
        <row r="4">
          <cell r="I4">
            <v>38292</v>
          </cell>
          <cell r="M4">
            <v>0</v>
          </cell>
        </row>
        <row r="5">
          <cell r="I5">
            <v>38322</v>
          </cell>
          <cell r="M5">
            <v>0</v>
          </cell>
        </row>
        <row r="6">
          <cell r="I6">
            <v>38353</v>
          </cell>
          <cell r="M6">
            <v>0</v>
          </cell>
        </row>
        <row r="7">
          <cell r="I7">
            <v>38384</v>
          </cell>
          <cell r="M7">
            <v>0</v>
          </cell>
        </row>
        <row r="8">
          <cell r="I8">
            <v>38412</v>
          </cell>
          <cell r="M8">
            <v>0</v>
          </cell>
        </row>
        <row r="9">
          <cell r="I9">
            <v>38443</v>
          </cell>
          <cell r="M9">
            <v>0</v>
          </cell>
        </row>
        <row r="10">
          <cell r="I10">
            <v>38473</v>
          </cell>
          <cell r="M10">
            <v>0</v>
          </cell>
        </row>
        <row r="11">
          <cell r="I11">
            <v>38504</v>
          </cell>
          <cell r="M11">
            <v>0</v>
          </cell>
        </row>
        <row r="12">
          <cell r="I12">
            <v>38534</v>
          </cell>
          <cell r="M12">
            <v>0</v>
          </cell>
        </row>
        <row r="13">
          <cell r="I13">
            <v>38565</v>
          </cell>
          <cell r="M13">
            <v>0</v>
          </cell>
        </row>
        <row r="14">
          <cell r="I14">
            <v>38596</v>
          </cell>
          <cell r="M14">
            <v>0</v>
          </cell>
        </row>
        <row r="15">
          <cell r="I15">
            <v>38626</v>
          </cell>
          <cell r="M15">
            <v>0</v>
          </cell>
        </row>
        <row r="16">
          <cell r="I16">
            <v>38657</v>
          </cell>
          <cell r="M16">
            <v>0</v>
          </cell>
        </row>
        <row r="17">
          <cell r="B17">
            <v>0</v>
          </cell>
          <cell r="I17">
            <v>38687</v>
          </cell>
          <cell r="M17">
            <v>0</v>
          </cell>
        </row>
        <row r="18">
          <cell r="B18">
            <v>0</v>
          </cell>
          <cell r="I18">
            <v>38718</v>
          </cell>
          <cell r="M18">
            <v>0</v>
          </cell>
        </row>
        <row r="19">
          <cell r="I19">
            <v>38749</v>
          </cell>
          <cell r="M19">
            <v>0</v>
          </cell>
        </row>
        <row r="20">
          <cell r="I20">
            <v>38777</v>
          </cell>
          <cell r="M20">
            <v>0</v>
          </cell>
        </row>
        <row r="21">
          <cell r="I21">
            <v>38808</v>
          </cell>
          <cell r="M21">
            <v>0</v>
          </cell>
        </row>
        <row r="22">
          <cell r="I22">
            <v>38838</v>
          </cell>
          <cell r="M22">
            <v>0</v>
          </cell>
        </row>
        <row r="23">
          <cell r="I23">
            <v>38869</v>
          </cell>
          <cell r="M23">
            <v>0</v>
          </cell>
        </row>
        <row r="24">
          <cell r="I24">
            <v>38899</v>
          </cell>
          <cell r="M24">
            <v>0</v>
          </cell>
        </row>
        <row r="25">
          <cell r="I25">
            <v>38930</v>
          </cell>
          <cell r="M25">
            <v>0</v>
          </cell>
        </row>
        <row r="26">
          <cell r="I26">
            <v>38961</v>
          </cell>
          <cell r="M26">
            <v>0</v>
          </cell>
        </row>
        <row r="27">
          <cell r="I27">
            <v>38991</v>
          </cell>
          <cell r="M27">
            <v>0</v>
          </cell>
        </row>
        <row r="28">
          <cell r="I28">
            <v>39022</v>
          </cell>
          <cell r="M28">
            <v>0</v>
          </cell>
        </row>
        <row r="29">
          <cell r="I29">
            <v>39052</v>
          </cell>
          <cell r="M29">
            <v>0</v>
          </cell>
        </row>
        <row r="30">
          <cell r="I30">
            <v>39083</v>
          </cell>
          <cell r="M30">
            <v>0</v>
          </cell>
        </row>
        <row r="31">
          <cell r="I31">
            <v>39114</v>
          </cell>
          <cell r="M31">
            <v>0</v>
          </cell>
        </row>
        <row r="32">
          <cell r="I32">
            <v>39142</v>
          </cell>
          <cell r="M32">
            <v>0</v>
          </cell>
        </row>
        <row r="33">
          <cell r="I33">
            <v>39173</v>
          </cell>
          <cell r="M33">
            <v>0</v>
          </cell>
        </row>
        <row r="34">
          <cell r="I34">
            <v>39203</v>
          </cell>
          <cell r="M34">
            <v>0</v>
          </cell>
        </row>
        <row r="35">
          <cell r="I35">
            <v>39234</v>
          </cell>
          <cell r="M35">
            <v>0</v>
          </cell>
        </row>
        <row r="36">
          <cell r="I36">
            <v>39264</v>
          </cell>
          <cell r="M36">
            <v>0</v>
          </cell>
        </row>
        <row r="37">
          <cell r="I37">
            <v>39295</v>
          </cell>
          <cell r="M37">
            <v>0</v>
          </cell>
        </row>
        <row r="38">
          <cell r="I38">
            <v>39326</v>
          </cell>
          <cell r="M38">
            <v>0</v>
          </cell>
        </row>
        <row r="39">
          <cell r="I39">
            <v>39356</v>
          </cell>
          <cell r="M39">
            <v>0</v>
          </cell>
        </row>
        <row r="40">
          <cell r="I40">
            <v>39387</v>
          </cell>
          <cell r="M40">
            <v>0</v>
          </cell>
        </row>
        <row r="41">
          <cell r="I41">
            <v>39417</v>
          </cell>
          <cell r="M41">
            <v>0</v>
          </cell>
        </row>
        <row r="42">
          <cell r="I42">
            <v>39448</v>
          </cell>
          <cell r="M42">
            <v>0</v>
          </cell>
        </row>
        <row r="43">
          <cell r="I43">
            <v>39479</v>
          </cell>
          <cell r="M43">
            <v>0</v>
          </cell>
        </row>
        <row r="44">
          <cell r="I44">
            <v>39508</v>
          </cell>
          <cell r="M44">
            <v>0</v>
          </cell>
        </row>
        <row r="45">
          <cell r="I45">
            <v>39539</v>
          </cell>
          <cell r="M45">
            <v>0</v>
          </cell>
        </row>
        <row r="46">
          <cell r="I46">
            <v>39569</v>
          </cell>
          <cell r="M46">
            <v>0</v>
          </cell>
        </row>
        <row r="47">
          <cell r="I47">
            <v>39600</v>
          </cell>
          <cell r="M47">
            <v>0</v>
          </cell>
        </row>
        <row r="48">
          <cell r="I48">
            <v>39630</v>
          </cell>
          <cell r="M48">
            <v>0</v>
          </cell>
        </row>
        <row r="49">
          <cell r="I49">
            <v>39661</v>
          </cell>
          <cell r="M49">
            <v>0</v>
          </cell>
        </row>
        <row r="50">
          <cell r="I50">
            <v>39692</v>
          </cell>
          <cell r="M50">
            <v>0</v>
          </cell>
        </row>
        <row r="51">
          <cell r="I51">
            <v>39722</v>
          </cell>
          <cell r="M51">
            <v>0</v>
          </cell>
        </row>
        <row r="52">
          <cell r="I52">
            <v>39753</v>
          </cell>
          <cell r="M52">
            <v>0</v>
          </cell>
        </row>
        <row r="53">
          <cell r="I53">
            <v>39783</v>
          </cell>
          <cell r="M53">
            <v>0</v>
          </cell>
        </row>
        <row r="54">
          <cell r="I54">
            <v>39814</v>
          </cell>
          <cell r="M54">
            <v>0</v>
          </cell>
        </row>
        <row r="55">
          <cell r="I55">
            <v>39845</v>
          </cell>
          <cell r="M55">
            <v>0</v>
          </cell>
        </row>
        <row r="56">
          <cell r="I56">
            <v>39873</v>
          </cell>
          <cell r="M56">
            <v>0</v>
          </cell>
        </row>
        <row r="57">
          <cell r="I57">
            <v>39904</v>
          </cell>
          <cell r="M57">
            <v>0</v>
          </cell>
        </row>
        <row r="58">
          <cell r="I58">
            <v>39934</v>
          </cell>
          <cell r="M58">
            <v>0</v>
          </cell>
        </row>
        <row r="59">
          <cell r="I59">
            <v>39965</v>
          </cell>
          <cell r="M59">
            <v>0</v>
          </cell>
        </row>
        <row r="60">
          <cell r="I60">
            <v>39995</v>
          </cell>
          <cell r="M60">
            <v>0</v>
          </cell>
        </row>
        <row r="61">
          <cell r="I61">
            <v>40026</v>
          </cell>
          <cell r="M61">
            <v>0</v>
          </cell>
        </row>
        <row r="62">
          <cell r="I62">
            <v>40057</v>
          </cell>
          <cell r="M62">
            <v>0</v>
          </cell>
        </row>
        <row r="63">
          <cell r="I63">
            <v>40087</v>
          </cell>
          <cell r="M63">
            <v>0</v>
          </cell>
        </row>
        <row r="64">
          <cell r="I64">
            <v>40118</v>
          </cell>
          <cell r="M64">
            <v>0</v>
          </cell>
        </row>
        <row r="65">
          <cell r="I65">
            <v>40148</v>
          </cell>
          <cell r="M65">
            <v>0</v>
          </cell>
        </row>
        <row r="66">
          <cell r="I66">
            <v>40179</v>
          </cell>
          <cell r="M66">
            <v>0</v>
          </cell>
        </row>
        <row r="67">
          <cell r="I67">
            <v>40210</v>
          </cell>
          <cell r="M67">
            <v>0</v>
          </cell>
        </row>
        <row r="68">
          <cell r="I68">
            <v>40238</v>
          </cell>
          <cell r="M68">
            <v>0</v>
          </cell>
        </row>
        <row r="69">
          <cell r="I69">
            <v>40269</v>
          </cell>
          <cell r="M69">
            <v>0</v>
          </cell>
        </row>
        <row r="70">
          <cell r="I70">
            <v>40299</v>
          </cell>
          <cell r="M70">
            <v>0</v>
          </cell>
        </row>
        <row r="71">
          <cell r="I71">
            <v>40330</v>
          </cell>
          <cell r="M71">
            <v>0</v>
          </cell>
        </row>
        <row r="72">
          <cell r="I72">
            <v>40360</v>
          </cell>
          <cell r="M72">
            <v>0</v>
          </cell>
        </row>
        <row r="73">
          <cell r="I73">
            <v>40391</v>
          </cell>
          <cell r="M73">
            <v>0</v>
          </cell>
        </row>
        <row r="74">
          <cell r="I74">
            <v>40422</v>
          </cell>
          <cell r="M74">
            <v>0</v>
          </cell>
        </row>
        <row r="75">
          <cell r="I75">
            <v>40452</v>
          </cell>
          <cell r="M75">
            <v>0</v>
          </cell>
        </row>
        <row r="76">
          <cell r="I76">
            <v>40483</v>
          </cell>
          <cell r="M76">
            <v>0</v>
          </cell>
        </row>
        <row r="77">
          <cell r="I77">
            <v>40513</v>
          </cell>
          <cell r="M77">
            <v>0</v>
          </cell>
        </row>
        <row r="78">
          <cell r="I78">
            <v>40544</v>
          </cell>
          <cell r="M78">
            <v>0</v>
          </cell>
        </row>
        <row r="79">
          <cell r="I79">
            <v>40575</v>
          </cell>
          <cell r="M79">
            <v>0</v>
          </cell>
        </row>
        <row r="80">
          <cell r="I80">
            <v>40603</v>
          </cell>
          <cell r="M80">
            <v>0</v>
          </cell>
        </row>
        <row r="81">
          <cell r="I81">
            <v>40634</v>
          </cell>
          <cell r="M81">
            <v>0</v>
          </cell>
        </row>
        <row r="82">
          <cell r="I82">
            <v>40664</v>
          </cell>
          <cell r="M82">
            <v>0</v>
          </cell>
        </row>
        <row r="83">
          <cell r="I83">
            <v>40695</v>
          </cell>
          <cell r="M83">
            <v>0</v>
          </cell>
        </row>
        <row r="84">
          <cell r="I84">
            <v>40725</v>
          </cell>
          <cell r="M84">
            <v>0</v>
          </cell>
        </row>
        <row r="85">
          <cell r="I85">
            <v>40756</v>
          </cell>
          <cell r="M85">
            <v>0</v>
          </cell>
        </row>
        <row r="86">
          <cell r="I86">
            <v>40787</v>
          </cell>
          <cell r="M86">
            <v>0</v>
          </cell>
        </row>
        <row r="87">
          <cell r="I87">
            <v>40817</v>
          </cell>
          <cell r="M87">
            <v>0</v>
          </cell>
        </row>
        <row r="88">
          <cell r="I88">
            <v>40848</v>
          </cell>
          <cell r="M88">
            <v>0</v>
          </cell>
        </row>
        <row r="89">
          <cell r="I89">
            <v>40878</v>
          </cell>
          <cell r="M89">
            <v>0</v>
          </cell>
        </row>
        <row r="90">
          <cell r="I90">
            <v>40909</v>
          </cell>
          <cell r="M90">
            <v>0</v>
          </cell>
        </row>
        <row r="91">
          <cell r="I91">
            <v>40940</v>
          </cell>
          <cell r="M91">
            <v>0</v>
          </cell>
        </row>
        <row r="92">
          <cell r="I92">
            <v>40969</v>
          </cell>
          <cell r="M92">
            <v>0</v>
          </cell>
        </row>
        <row r="93">
          <cell r="I93">
            <v>41000</v>
          </cell>
          <cell r="M93">
            <v>0</v>
          </cell>
        </row>
        <row r="94">
          <cell r="I94">
            <v>41030</v>
          </cell>
          <cell r="M94">
            <v>0</v>
          </cell>
        </row>
        <row r="95">
          <cell r="I95">
            <v>41061</v>
          </cell>
          <cell r="M95">
            <v>0</v>
          </cell>
        </row>
        <row r="96">
          <cell r="I96">
            <v>41091</v>
          </cell>
          <cell r="M96">
            <v>0</v>
          </cell>
        </row>
        <row r="97">
          <cell r="I97">
            <v>41122</v>
          </cell>
          <cell r="M97">
            <v>0</v>
          </cell>
        </row>
        <row r="98">
          <cell r="I98">
            <v>41153</v>
          </cell>
          <cell r="M98">
            <v>0</v>
          </cell>
        </row>
        <row r="99">
          <cell r="I99">
            <v>41183</v>
          </cell>
          <cell r="M99">
            <v>0</v>
          </cell>
        </row>
        <row r="100">
          <cell r="I100">
            <v>41214</v>
          </cell>
          <cell r="M100">
            <v>0</v>
          </cell>
        </row>
        <row r="101">
          <cell r="I101">
            <v>41244</v>
          </cell>
          <cell r="M101">
            <v>0</v>
          </cell>
        </row>
        <row r="102">
          <cell r="I102">
            <v>41275</v>
          </cell>
          <cell r="M102">
            <v>0</v>
          </cell>
        </row>
        <row r="103">
          <cell r="I103">
            <v>41306</v>
          </cell>
          <cell r="M103">
            <v>0</v>
          </cell>
        </row>
        <row r="104">
          <cell r="I104">
            <v>41334</v>
          </cell>
          <cell r="M104">
            <v>0</v>
          </cell>
        </row>
        <row r="105">
          <cell r="I105">
            <v>41365</v>
          </cell>
          <cell r="M105">
            <v>0</v>
          </cell>
        </row>
        <row r="106">
          <cell r="I106">
            <v>41395</v>
          </cell>
          <cell r="M106">
            <v>0</v>
          </cell>
        </row>
        <row r="107">
          <cell r="I107">
            <v>41426</v>
          </cell>
          <cell r="M107">
            <v>0</v>
          </cell>
        </row>
        <row r="108">
          <cell r="I108">
            <v>41456</v>
          </cell>
          <cell r="M108">
            <v>0</v>
          </cell>
        </row>
        <row r="109">
          <cell r="I109">
            <v>41487</v>
          </cell>
          <cell r="M109">
            <v>0</v>
          </cell>
        </row>
        <row r="110">
          <cell r="I110">
            <v>41518</v>
          </cell>
          <cell r="M110">
            <v>0</v>
          </cell>
        </row>
        <row r="111">
          <cell r="I111">
            <v>41548</v>
          </cell>
          <cell r="M111">
            <v>0</v>
          </cell>
        </row>
        <row r="112">
          <cell r="I112">
            <v>41579</v>
          </cell>
          <cell r="M112">
            <v>0</v>
          </cell>
        </row>
        <row r="113">
          <cell r="I113">
            <v>41609</v>
          </cell>
          <cell r="M113">
            <v>0</v>
          </cell>
        </row>
        <row r="114">
          <cell r="I114">
            <v>41640</v>
          </cell>
          <cell r="M114">
            <v>0</v>
          </cell>
        </row>
        <row r="115">
          <cell r="I115">
            <v>41671</v>
          </cell>
          <cell r="M115">
            <v>0</v>
          </cell>
        </row>
        <row r="116">
          <cell r="I116">
            <v>41699</v>
          </cell>
          <cell r="M116">
            <v>0</v>
          </cell>
        </row>
        <row r="117">
          <cell r="I117">
            <v>41730</v>
          </cell>
          <cell r="M117">
            <v>0</v>
          </cell>
        </row>
        <row r="118">
          <cell r="I118">
            <v>41760</v>
          </cell>
          <cell r="M118">
            <v>0</v>
          </cell>
        </row>
        <row r="119">
          <cell r="I119">
            <v>41791</v>
          </cell>
          <cell r="M119">
            <v>0</v>
          </cell>
        </row>
        <row r="120">
          <cell r="I120">
            <v>41821</v>
          </cell>
          <cell r="M120">
            <v>0</v>
          </cell>
        </row>
        <row r="121">
          <cell r="I121">
            <v>41852</v>
          </cell>
          <cell r="M121">
            <v>0</v>
          </cell>
        </row>
        <row r="122">
          <cell r="I122">
            <v>41883</v>
          </cell>
          <cell r="M122">
            <v>0</v>
          </cell>
        </row>
        <row r="123">
          <cell r="I123">
            <v>41913</v>
          </cell>
          <cell r="M123">
            <v>0</v>
          </cell>
        </row>
        <row r="124">
          <cell r="I124">
            <v>41944</v>
          </cell>
          <cell r="M124">
            <v>0</v>
          </cell>
        </row>
        <row r="125">
          <cell r="I125">
            <v>41974</v>
          </cell>
          <cell r="M125">
            <v>0</v>
          </cell>
        </row>
        <row r="126">
          <cell r="I126">
            <v>42005</v>
          </cell>
          <cell r="M126">
            <v>0</v>
          </cell>
        </row>
        <row r="127">
          <cell r="I127">
            <v>42036</v>
          </cell>
          <cell r="M127">
            <v>0</v>
          </cell>
        </row>
        <row r="128">
          <cell r="I128">
            <v>42064</v>
          </cell>
          <cell r="M128">
            <v>0</v>
          </cell>
        </row>
        <row r="129">
          <cell r="I129">
            <v>42095</v>
          </cell>
          <cell r="M129">
            <v>0</v>
          </cell>
        </row>
        <row r="130">
          <cell r="I130">
            <v>42125</v>
          </cell>
          <cell r="M130">
            <v>0</v>
          </cell>
        </row>
        <row r="131">
          <cell r="I131">
            <v>42156</v>
          </cell>
          <cell r="M131">
            <v>0</v>
          </cell>
        </row>
        <row r="132">
          <cell r="I132">
            <v>42186</v>
          </cell>
          <cell r="M132">
            <v>0</v>
          </cell>
        </row>
        <row r="133">
          <cell r="I133">
            <v>42217</v>
          </cell>
          <cell r="M133">
            <v>0</v>
          </cell>
        </row>
        <row r="134">
          <cell r="I134">
            <v>42248</v>
          </cell>
          <cell r="M134">
            <v>0</v>
          </cell>
        </row>
        <row r="135">
          <cell r="I135">
            <v>42278</v>
          </cell>
          <cell r="M135">
            <v>0</v>
          </cell>
        </row>
        <row r="136">
          <cell r="I136">
            <v>42309</v>
          </cell>
          <cell r="M136">
            <v>0</v>
          </cell>
        </row>
        <row r="137">
          <cell r="I137">
            <v>42339</v>
          </cell>
          <cell r="M137">
            <v>0</v>
          </cell>
        </row>
        <row r="138">
          <cell r="I138">
            <v>42370</v>
          </cell>
          <cell r="M138">
            <v>0</v>
          </cell>
        </row>
        <row r="139">
          <cell r="I139">
            <v>42401</v>
          </cell>
          <cell r="M139">
            <v>0</v>
          </cell>
        </row>
        <row r="140">
          <cell r="I140">
            <v>42430</v>
          </cell>
          <cell r="M140">
            <v>0</v>
          </cell>
        </row>
        <row r="141">
          <cell r="I141">
            <v>42461</v>
          </cell>
          <cell r="M141">
            <v>0</v>
          </cell>
        </row>
        <row r="142">
          <cell r="I142">
            <v>42491</v>
          </cell>
          <cell r="M142">
            <v>0</v>
          </cell>
        </row>
        <row r="143">
          <cell r="I143">
            <v>42522</v>
          </cell>
          <cell r="M143">
            <v>0</v>
          </cell>
        </row>
        <row r="144">
          <cell r="I144">
            <v>42552</v>
          </cell>
          <cell r="M144">
            <v>0</v>
          </cell>
        </row>
        <row r="145">
          <cell r="I145">
            <v>42583</v>
          </cell>
          <cell r="M145">
            <v>0</v>
          </cell>
        </row>
        <row r="146">
          <cell r="I146">
            <v>42614</v>
          </cell>
          <cell r="M146">
            <v>0</v>
          </cell>
        </row>
        <row r="147">
          <cell r="I147">
            <v>42644</v>
          </cell>
          <cell r="M147">
            <v>0</v>
          </cell>
        </row>
        <row r="148">
          <cell r="I148">
            <v>42675</v>
          </cell>
          <cell r="M148">
            <v>0</v>
          </cell>
        </row>
        <row r="149">
          <cell r="I149">
            <v>42705</v>
          </cell>
          <cell r="M149">
            <v>0</v>
          </cell>
        </row>
        <row r="150">
          <cell r="I150">
            <v>42736</v>
          </cell>
          <cell r="M150">
            <v>0</v>
          </cell>
        </row>
        <row r="151">
          <cell r="I151">
            <v>42767</v>
          </cell>
          <cell r="M151">
            <v>0</v>
          </cell>
        </row>
        <row r="152">
          <cell r="I152">
            <v>42795</v>
          </cell>
          <cell r="M152">
            <v>0</v>
          </cell>
        </row>
        <row r="153">
          <cell r="I153">
            <v>42826</v>
          </cell>
          <cell r="M153">
            <v>0</v>
          </cell>
        </row>
        <row r="154">
          <cell r="I154">
            <v>42856</v>
          </cell>
          <cell r="M154">
            <v>0</v>
          </cell>
        </row>
        <row r="155">
          <cell r="I155">
            <v>42887</v>
          </cell>
          <cell r="M155">
            <v>0</v>
          </cell>
        </row>
        <row r="156">
          <cell r="I156">
            <v>42917</v>
          </cell>
          <cell r="M156">
            <v>0</v>
          </cell>
        </row>
        <row r="157">
          <cell r="I157">
            <v>42948</v>
          </cell>
          <cell r="M157">
            <v>0</v>
          </cell>
        </row>
        <row r="158">
          <cell r="I158">
            <v>42979</v>
          </cell>
          <cell r="M158">
            <v>0</v>
          </cell>
        </row>
        <row r="159">
          <cell r="I159">
            <v>43009</v>
          </cell>
          <cell r="M159">
            <v>0</v>
          </cell>
        </row>
        <row r="160">
          <cell r="I160">
            <v>43040</v>
          </cell>
          <cell r="M160">
            <v>0</v>
          </cell>
        </row>
        <row r="161">
          <cell r="I161">
            <v>43070</v>
          </cell>
          <cell r="M161">
            <v>0</v>
          </cell>
        </row>
        <row r="162">
          <cell r="I162">
            <v>43101</v>
          </cell>
          <cell r="M162">
            <v>0</v>
          </cell>
        </row>
        <row r="163">
          <cell r="I163">
            <v>43132</v>
          </cell>
          <cell r="M163">
            <v>0</v>
          </cell>
        </row>
        <row r="164">
          <cell r="I164">
            <v>43160</v>
          </cell>
          <cell r="M164">
            <v>0</v>
          </cell>
        </row>
        <row r="165">
          <cell r="I165">
            <v>43191</v>
          </cell>
          <cell r="M165">
            <v>0</v>
          </cell>
        </row>
        <row r="166">
          <cell r="I166">
            <v>43221</v>
          </cell>
          <cell r="M166">
            <v>0</v>
          </cell>
        </row>
        <row r="167">
          <cell r="I167">
            <v>43252</v>
          </cell>
          <cell r="M167">
            <v>0</v>
          </cell>
        </row>
        <row r="168">
          <cell r="I168">
            <v>43282</v>
          </cell>
          <cell r="M168">
            <v>0</v>
          </cell>
        </row>
        <row r="169">
          <cell r="I169">
            <v>43313</v>
          </cell>
          <cell r="M169">
            <v>0</v>
          </cell>
        </row>
        <row r="170">
          <cell r="I170">
            <v>43344</v>
          </cell>
          <cell r="M170">
            <v>0</v>
          </cell>
        </row>
        <row r="171">
          <cell r="I171">
            <v>43374</v>
          </cell>
          <cell r="M171">
            <v>0</v>
          </cell>
        </row>
        <row r="172">
          <cell r="I172">
            <v>43405</v>
          </cell>
          <cell r="M172">
            <v>0</v>
          </cell>
        </row>
        <row r="173">
          <cell r="I173">
            <v>43435</v>
          </cell>
          <cell r="M173">
            <v>0</v>
          </cell>
        </row>
        <row r="174">
          <cell r="I174">
            <v>43466</v>
          </cell>
          <cell r="M174">
            <v>0</v>
          </cell>
        </row>
        <row r="175">
          <cell r="I175">
            <v>43497</v>
          </cell>
          <cell r="M175">
            <v>0</v>
          </cell>
        </row>
        <row r="176">
          <cell r="I176">
            <v>43525</v>
          </cell>
          <cell r="M176">
            <v>0</v>
          </cell>
        </row>
        <row r="177">
          <cell r="I177">
            <v>43556</v>
          </cell>
          <cell r="M177">
            <v>0</v>
          </cell>
        </row>
        <row r="178">
          <cell r="I178">
            <v>43586</v>
          </cell>
          <cell r="M178">
            <v>0</v>
          </cell>
        </row>
        <row r="179">
          <cell r="I179">
            <v>43617</v>
          </cell>
          <cell r="M179">
            <v>0</v>
          </cell>
        </row>
        <row r="180">
          <cell r="I180">
            <v>43647</v>
          </cell>
          <cell r="M180">
            <v>0</v>
          </cell>
        </row>
        <row r="181">
          <cell r="I181">
            <v>43678</v>
          </cell>
          <cell r="M181">
            <v>0</v>
          </cell>
        </row>
        <row r="182">
          <cell r="I182">
            <v>43709</v>
          </cell>
          <cell r="M182">
            <v>0</v>
          </cell>
        </row>
        <row r="183">
          <cell r="I183" t="str">
            <v/>
          </cell>
          <cell r="M183" t="str">
            <v/>
          </cell>
        </row>
        <row r="184">
          <cell r="I184" t="str">
            <v/>
          </cell>
          <cell r="M184" t="str">
            <v/>
          </cell>
        </row>
        <row r="185">
          <cell r="I185" t="str">
            <v/>
          </cell>
          <cell r="M185" t="str">
            <v/>
          </cell>
        </row>
        <row r="186">
          <cell r="I186" t="str">
            <v/>
          </cell>
          <cell r="M186" t="str">
            <v/>
          </cell>
        </row>
        <row r="187">
          <cell r="I187" t="str">
            <v/>
          </cell>
          <cell r="M187" t="str">
            <v/>
          </cell>
        </row>
        <row r="188">
          <cell r="I188" t="str">
            <v/>
          </cell>
          <cell r="M188" t="str">
            <v/>
          </cell>
        </row>
        <row r="189">
          <cell r="I189" t="str">
            <v/>
          </cell>
          <cell r="M189" t="str">
            <v/>
          </cell>
        </row>
        <row r="190">
          <cell r="I190" t="str">
            <v/>
          </cell>
          <cell r="M190" t="str">
            <v/>
          </cell>
        </row>
        <row r="191">
          <cell r="I191" t="str">
            <v/>
          </cell>
          <cell r="M191" t="str">
            <v/>
          </cell>
        </row>
        <row r="192">
          <cell r="I192" t="str">
            <v/>
          </cell>
          <cell r="M192" t="str">
            <v/>
          </cell>
        </row>
        <row r="193">
          <cell r="I193" t="str">
            <v/>
          </cell>
          <cell r="M193" t="str">
            <v/>
          </cell>
        </row>
        <row r="194">
          <cell r="I194" t="str">
            <v/>
          </cell>
          <cell r="M194" t="str">
            <v/>
          </cell>
        </row>
        <row r="195">
          <cell r="I195" t="str">
            <v/>
          </cell>
          <cell r="M195" t="str">
            <v/>
          </cell>
        </row>
        <row r="196">
          <cell r="I196" t="str">
            <v/>
          </cell>
          <cell r="M196" t="str">
            <v/>
          </cell>
        </row>
        <row r="197">
          <cell r="I197" t="str">
            <v/>
          </cell>
          <cell r="M197" t="str">
            <v/>
          </cell>
        </row>
        <row r="198">
          <cell r="I198" t="str">
            <v/>
          </cell>
          <cell r="M198" t="str">
            <v/>
          </cell>
        </row>
        <row r="199">
          <cell r="I199" t="str">
            <v/>
          </cell>
          <cell r="M199" t="str">
            <v/>
          </cell>
        </row>
        <row r="200">
          <cell r="I200" t="str">
            <v/>
          </cell>
          <cell r="M200" t="str">
            <v/>
          </cell>
        </row>
        <row r="201">
          <cell r="I201" t="str">
            <v/>
          </cell>
          <cell r="M201" t="str">
            <v/>
          </cell>
        </row>
        <row r="202">
          <cell r="I202" t="str">
            <v/>
          </cell>
          <cell r="M202" t="str">
            <v/>
          </cell>
        </row>
        <row r="203">
          <cell r="I203" t="str">
            <v/>
          </cell>
          <cell r="M203" t="str">
            <v/>
          </cell>
        </row>
        <row r="204">
          <cell r="I204" t="str">
            <v/>
          </cell>
          <cell r="M204" t="str">
            <v/>
          </cell>
        </row>
        <row r="205">
          <cell r="I205" t="str">
            <v/>
          </cell>
          <cell r="M205" t="str">
            <v/>
          </cell>
        </row>
        <row r="206">
          <cell r="I206" t="str">
            <v/>
          </cell>
          <cell r="M206" t="str">
            <v/>
          </cell>
        </row>
        <row r="207">
          <cell r="I207" t="str">
            <v/>
          </cell>
          <cell r="M207" t="str">
            <v/>
          </cell>
        </row>
        <row r="208">
          <cell r="I208" t="str">
            <v/>
          </cell>
          <cell r="M208" t="str">
            <v/>
          </cell>
        </row>
        <row r="209">
          <cell r="I209" t="str">
            <v/>
          </cell>
          <cell r="M209" t="str">
            <v/>
          </cell>
        </row>
        <row r="210">
          <cell r="I210" t="str">
            <v/>
          </cell>
          <cell r="M210" t="str">
            <v/>
          </cell>
        </row>
        <row r="211">
          <cell r="I211" t="str">
            <v/>
          </cell>
          <cell r="M211" t="str">
            <v/>
          </cell>
        </row>
        <row r="212">
          <cell r="I212" t="str">
            <v/>
          </cell>
          <cell r="M212" t="str">
            <v/>
          </cell>
        </row>
        <row r="213">
          <cell r="I213" t="str">
            <v/>
          </cell>
          <cell r="M213" t="str">
            <v/>
          </cell>
        </row>
        <row r="214">
          <cell r="I214" t="str">
            <v/>
          </cell>
          <cell r="M214" t="str">
            <v/>
          </cell>
        </row>
        <row r="215">
          <cell r="I215" t="str">
            <v/>
          </cell>
          <cell r="M215" t="str">
            <v/>
          </cell>
        </row>
        <row r="216">
          <cell r="I216" t="str">
            <v/>
          </cell>
          <cell r="M216" t="str">
            <v/>
          </cell>
        </row>
        <row r="217">
          <cell r="I217" t="str">
            <v/>
          </cell>
          <cell r="M217" t="str">
            <v/>
          </cell>
        </row>
        <row r="218">
          <cell r="I218" t="str">
            <v/>
          </cell>
          <cell r="M218" t="str">
            <v/>
          </cell>
        </row>
        <row r="219">
          <cell r="I219" t="str">
            <v/>
          </cell>
          <cell r="M219" t="str">
            <v/>
          </cell>
        </row>
        <row r="220">
          <cell r="I220" t="str">
            <v/>
          </cell>
          <cell r="M220" t="str">
            <v/>
          </cell>
        </row>
        <row r="221">
          <cell r="I221" t="str">
            <v/>
          </cell>
          <cell r="M221" t="str">
            <v/>
          </cell>
        </row>
        <row r="222">
          <cell r="I222" t="str">
            <v/>
          </cell>
          <cell r="M222" t="str">
            <v/>
          </cell>
        </row>
        <row r="223">
          <cell r="I223" t="str">
            <v/>
          </cell>
          <cell r="M223" t="str">
            <v/>
          </cell>
        </row>
        <row r="224">
          <cell r="I224" t="str">
            <v/>
          </cell>
          <cell r="M224" t="str">
            <v/>
          </cell>
        </row>
        <row r="225">
          <cell r="I225" t="str">
            <v/>
          </cell>
          <cell r="M225" t="str">
            <v/>
          </cell>
        </row>
        <row r="226">
          <cell r="I226" t="str">
            <v/>
          </cell>
          <cell r="M226" t="str">
            <v/>
          </cell>
        </row>
        <row r="227">
          <cell r="I227" t="str">
            <v/>
          </cell>
          <cell r="M227" t="str">
            <v/>
          </cell>
        </row>
        <row r="228">
          <cell r="I228" t="str">
            <v/>
          </cell>
          <cell r="M228" t="str">
            <v/>
          </cell>
        </row>
        <row r="229">
          <cell r="I229" t="str">
            <v/>
          </cell>
          <cell r="M229" t="str">
            <v/>
          </cell>
        </row>
        <row r="230">
          <cell r="I230" t="str">
            <v/>
          </cell>
          <cell r="M230" t="str">
            <v/>
          </cell>
        </row>
        <row r="231">
          <cell r="I231" t="str">
            <v/>
          </cell>
          <cell r="M231" t="str">
            <v/>
          </cell>
        </row>
        <row r="232">
          <cell r="I232" t="str">
            <v/>
          </cell>
          <cell r="M232" t="str">
            <v/>
          </cell>
        </row>
        <row r="233">
          <cell r="I233" t="str">
            <v/>
          </cell>
          <cell r="M233" t="str">
            <v/>
          </cell>
        </row>
        <row r="234">
          <cell r="I234" t="str">
            <v/>
          </cell>
          <cell r="M234" t="str">
            <v/>
          </cell>
        </row>
        <row r="235">
          <cell r="I235" t="str">
            <v/>
          </cell>
          <cell r="M235" t="str">
            <v/>
          </cell>
        </row>
        <row r="236">
          <cell r="I236" t="str">
            <v/>
          </cell>
          <cell r="M236" t="str">
            <v/>
          </cell>
        </row>
        <row r="237">
          <cell r="I237" t="str">
            <v/>
          </cell>
          <cell r="M237" t="str">
            <v/>
          </cell>
        </row>
        <row r="238">
          <cell r="I238" t="str">
            <v/>
          </cell>
          <cell r="M238" t="str">
            <v/>
          </cell>
        </row>
        <row r="239">
          <cell r="I239" t="str">
            <v/>
          </cell>
          <cell r="M239" t="str">
            <v/>
          </cell>
        </row>
        <row r="240">
          <cell r="I240" t="str">
            <v/>
          </cell>
          <cell r="M240" t="str">
            <v/>
          </cell>
        </row>
        <row r="241">
          <cell r="I241" t="str">
            <v/>
          </cell>
          <cell r="M241" t="str">
            <v/>
          </cell>
        </row>
        <row r="242">
          <cell r="I242" t="str">
            <v/>
          </cell>
          <cell r="M242" t="str">
            <v/>
          </cell>
        </row>
        <row r="243">
          <cell r="I243" t="str">
            <v/>
          </cell>
          <cell r="M243" t="str">
            <v/>
          </cell>
        </row>
        <row r="244">
          <cell r="I244" t="str">
            <v/>
          </cell>
          <cell r="M244" t="str">
            <v/>
          </cell>
        </row>
        <row r="245">
          <cell r="I245" t="str">
            <v/>
          </cell>
          <cell r="M245" t="str">
            <v/>
          </cell>
        </row>
        <row r="246">
          <cell r="I246" t="str">
            <v/>
          </cell>
          <cell r="M246" t="str">
            <v/>
          </cell>
        </row>
        <row r="247">
          <cell r="I247" t="str">
            <v/>
          </cell>
          <cell r="M247" t="str">
            <v/>
          </cell>
        </row>
        <row r="248">
          <cell r="I248" t="str">
            <v/>
          </cell>
          <cell r="M248" t="str">
            <v/>
          </cell>
        </row>
        <row r="249">
          <cell r="I249" t="str">
            <v/>
          </cell>
          <cell r="M249" t="str">
            <v/>
          </cell>
        </row>
        <row r="250">
          <cell r="I250" t="str">
            <v/>
          </cell>
          <cell r="M250" t="str">
            <v/>
          </cell>
        </row>
        <row r="251">
          <cell r="I251" t="str">
            <v/>
          </cell>
          <cell r="M251" t="str">
            <v/>
          </cell>
        </row>
        <row r="252">
          <cell r="I252" t="str">
            <v/>
          </cell>
          <cell r="M252" t="str">
            <v/>
          </cell>
        </row>
        <row r="253">
          <cell r="I253" t="str">
            <v/>
          </cell>
          <cell r="M253" t="str">
            <v/>
          </cell>
        </row>
        <row r="254">
          <cell r="I254" t="str">
            <v/>
          </cell>
          <cell r="M254" t="str">
            <v/>
          </cell>
        </row>
      </sheetData>
      <sheetData sheetId="7" refreshError="1"/>
      <sheetData sheetId="8" refreshError="1"/>
      <sheetData sheetId="9" refreshError="1"/>
      <sheetData sheetId="10" refreshError="1"/>
    </sheetDataSet>
  </externalBook>
</externalLink>
</file>

<file path=xl/externalLinks/externalLink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ypothèses Investisseur"/>
      <sheetName val="Trésorerie Foncier"/>
      <sheetName val="Infos"/>
      <sheetName val="Grille des frais"/>
      <sheetName val="Hypothèses générales"/>
      <sheetName val="Echéancier d'emprunt foncier"/>
      <sheetName val="Echéancier d'emprunt travaux"/>
      <sheetName val="Tirage"/>
      <sheetName val="Flux ass-vie"/>
      <sheetName val="Loyers"/>
      <sheetName val="Amortissements ROBIEN"/>
    </sheetNames>
    <sheetDataSet>
      <sheetData sheetId="0" refreshError="1">
        <row r="9">
          <cell r="G9">
            <v>38231</v>
          </cell>
        </row>
        <row r="12">
          <cell r="G12" t="str">
            <v>oui</v>
          </cell>
        </row>
      </sheetData>
      <sheetData sheetId="1" refreshError="1"/>
      <sheetData sheetId="2" refreshError="1"/>
      <sheetData sheetId="3" refreshError="1"/>
      <sheetData sheetId="4" refreshError="1">
        <row r="13">
          <cell r="B13">
            <v>121000</v>
          </cell>
        </row>
        <row r="41">
          <cell r="B41">
            <v>915</v>
          </cell>
        </row>
      </sheetData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</sheetDataSet>
  </externalBook>
</externalLink>
</file>

<file path=xl/externalLinks/externalLink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 communaux"/>
      <sheetName val="Param globaux"/>
      <sheetName val="Param opération"/>
      <sheetName val="Surfaces"/>
      <sheetName val="Présentations"/>
      <sheetName val="Prix rev.CE"/>
      <sheetName val="Bilan Détaillé CE DDE"/>
      <sheetName val="Bilan Récap. CE DDE"/>
      <sheetName val="Attestations DDE"/>
      <sheetName val="Contingent CE DDE"/>
      <sheetName val="ODSDataSheet"/>
      <sheetName val="ODSTempDataSheet"/>
    </sheetNames>
    <sheetDataSet>
      <sheetData sheetId="0"/>
      <sheetData sheetId="1" refreshError="1">
        <row r="7">
          <cell r="J7">
            <v>595</v>
          </cell>
        </row>
        <row r="9">
          <cell r="J9">
            <v>6098</v>
          </cell>
        </row>
        <row r="34">
          <cell r="J34">
            <v>0.05</v>
          </cell>
        </row>
        <row r="35">
          <cell r="J35">
            <v>0.03</v>
          </cell>
        </row>
        <row r="36">
          <cell r="J36">
            <v>2.1000000000000001E-2</v>
          </cell>
        </row>
        <row r="37">
          <cell r="J37">
            <v>8.5000000000000006E-2</v>
          </cell>
        </row>
      </sheetData>
      <sheetData sheetId="2" refreshError="1">
        <row r="6">
          <cell r="F6" t="str">
            <v/>
          </cell>
        </row>
        <row r="38">
          <cell r="F38">
            <v>127500</v>
          </cell>
        </row>
        <row r="41">
          <cell r="F41">
            <v>246</v>
          </cell>
        </row>
        <row r="42">
          <cell r="F42">
            <v>672</v>
          </cell>
        </row>
        <row r="43">
          <cell r="F43">
            <v>0</v>
          </cell>
        </row>
        <row r="44">
          <cell r="F44">
            <v>3.0000000000000001E-3</v>
          </cell>
        </row>
        <row r="45">
          <cell r="F45">
            <v>0.02</v>
          </cell>
        </row>
        <row r="46">
          <cell r="F46">
            <v>800</v>
          </cell>
        </row>
        <row r="47">
          <cell r="F47">
            <v>304.89999999999998</v>
          </cell>
        </row>
        <row r="48">
          <cell r="F48">
            <v>0</v>
          </cell>
        </row>
        <row r="51">
          <cell r="F51">
            <v>0.32500000000000001</v>
          </cell>
        </row>
        <row r="53">
          <cell r="F53">
            <v>0</v>
          </cell>
        </row>
        <row r="54">
          <cell r="F54" t="str">
            <v>CAF</v>
          </cell>
        </row>
        <row r="55">
          <cell r="F55">
            <v>91470</v>
          </cell>
        </row>
        <row r="56">
          <cell r="F56">
            <v>0</v>
          </cell>
        </row>
        <row r="58">
          <cell r="F58">
            <v>0</v>
          </cell>
        </row>
        <row r="60">
          <cell r="F60">
            <v>0</v>
          </cell>
        </row>
        <row r="61">
          <cell r="F61">
            <v>0</v>
          </cell>
        </row>
        <row r="62">
          <cell r="F62" t="str">
            <v>Autre sub logement</v>
          </cell>
        </row>
        <row r="63">
          <cell r="F63">
            <v>0</v>
          </cell>
        </row>
        <row r="64">
          <cell r="F64" t="str">
            <v>Autre sub commerce</v>
          </cell>
        </row>
        <row r="65">
          <cell r="F65" t="str">
            <v>Région</v>
          </cell>
        </row>
        <row r="66">
          <cell r="F66">
            <v>0</v>
          </cell>
        </row>
        <row r="67">
          <cell r="F67">
            <v>0.75</v>
          </cell>
        </row>
        <row r="70">
          <cell r="F70">
            <v>0</v>
          </cell>
        </row>
        <row r="71">
          <cell r="F71" t="str">
            <v>OUI</v>
          </cell>
        </row>
        <row r="72">
          <cell r="F72" t="str">
            <v>NON</v>
          </cell>
        </row>
        <row r="73">
          <cell r="F73" t="str">
            <v/>
          </cell>
        </row>
        <row r="75">
          <cell r="F75">
            <v>18000</v>
          </cell>
        </row>
        <row r="78">
          <cell r="F78">
            <v>0</v>
          </cell>
        </row>
        <row r="83">
          <cell r="F83">
            <v>294468</v>
          </cell>
        </row>
        <row r="84">
          <cell r="F84">
            <v>0</v>
          </cell>
        </row>
        <row r="85">
          <cell r="F85">
            <v>0</v>
          </cell>
        </row>
        <row r="86">
          <cell r="F86">
            <v>0</v>
          </cell>
        </row>
        <row r="87">
          <cell r="F87">
            <v>0</v>
          </cell>
        </row>
        <row r="90">
          <cell r="F90">
            <v>0</v>
          </cell>
        </row>
        <row r="91">
          <cell r="F91">
            <v>0</v>
          </cell>
        </row>
      </sheetData>
      <sheetData sheetId="3" refreshError="1">
        <row r="53">
          <cell r="X53">
            <v>0</v>
          </cell>
          <cell r="AA53">
            <v>0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externalLinks/externalLink1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 communaux"/>
      <sheetName val="Param globaux"/>
      <sheetName val="Param opération"/>
      <sheetName val="Surfaces"/>
      <sheetName val="Présentations"/>
      <sheetName val="Prix rev.CE"/>
      <sheetName val="Bilan Détaillé CE DDE"/>
      <sheetName val="Bilan Récap. CE DDE"/>
      <sheetName val="Attestations DDE"/>
      <sheetName val="Contingent CE DDE"/>
      <sheetName val="ODSDataSheet"/>
      <sheetName val="ODSTempDataSheet"/>
    </sheetNames>
    <sheetDataSet>
      <sheetData sheetId="0"/>
      <sheetData sheetId="1" refreshError="1"/>
      <sheetData sheetId="2" refreshError="1">
        <row r="6">
          <cell r="F6" t="str">
            <v/>
          </cell>
        </row>
        <row r="39">
          <cell r="F39">
            <v>0</v>
          </cell>
        </row>
        <row r="52">
          <cell r="F52">
            <v>1149774.6459999999</v>
          </cell>
        </row>
      </sheetData>
      <sheetData sheetId="3" refreshError="1"/>
      <sheetData sheetId="4"/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externalLinks/externalLink1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odele"/>
    </sheetNames>
    <sheetDataSet>
      <sheetData sheetId="0" refreshError="1"/>
    </sheetDataSet>
  </externalBook>
</externalLink>
</file>

<file path=xl/externalLinks/externalLink1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 communaux"/>
      <sheetName val="Param globaux"/>
      <sheetName val="Param opération"/>
      <sheetName val="Surfaces"/>
      <sheetName val="Présentations"/>
      <sheetName val="Prix rev.CE"/>
      <sheetName val="Bilan Détaillé CE DDE"/>
      <sheetName val="Bilan Récap. CE DDE"/>
      <sheetName val="Attestations DDE"/>
      <sheetName val="Contingent CE DDE"/>
      <sheetName val="ODSDataSheet"/>
      <sheetName val="ODSTempDataSheet"/>
    </sheetNames>
    <sheetDataSet>
      <sheetData sheetId="0" refreshError="1"/>
      <sheetData sheetId="1" refreshError="1"/>
      <sheetData sheetId="2" refreshError="1">
        <row r="4">
          <cell r="F4" t="str">
            <v>FIDJI individuels</v>
          </cell>
        </row>
        <row r="5">
          <cell r="F5">
            <v>15</v>
          </cell>
        </row>
        <row r="7">
          <cell r="F7" t="str">
            <v>LLTS</v>
          </cell>
        </row>
        <row r="16">
          <cell r="F16" t="str">
            <v>LE PORT</v>
          </cell>
        </row>
        <row r="27">
          <cell r="F27" t="str">
            <v>Aménagement</v>
          </cell>
        </row>
        <row r="32">
          <cell r="F32" t="str">
            <v>Say Piscine</v>
          </cell>
        </row>
      </sheetData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</sheetDataSet>
  </externalBook>
</externalLink>
</file>

<file path=xl/externalLinks/externalLink1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 communaux"/>
      <sheetName val="Param globaux"/>
      <sheetName val="Param opération"/>
      <sheetName val="Surfaces"/>
      <sheetName val="Présentations"/>
      <sheetName val="Prix rev.CE"/>
      <sheetName val="Bilan Détaillé CE DDE"/>
      <sheetName val="Bilan Récap. CE DDE"/>
      <sheetName val="Attestations DDE"/>
      <sheetName val="Contingent CE DDE"/>
      <sheetName val="ODSDataSheet"/>
      <sheetName val="ODSTempDataSheet"/>
    </sheetNames>
    <sheetDataSet>
      <sheetData sheetId="0" refreshError="1"/>
      <sheetData sheetId="1" refreshError="1"/>
      <sheetData sheetId="2" refreshError="1">
        <row r="4">
          <cell r="F4" t="str">
            <v>FIDJI individuels</v>
          </cell>
        </row>
        <row r="25">
          <cell r="F25" t="str">
            <v/>
          </cell>
        </row>
      </sheetData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</sheetDataSet>
  </externalBook>
</externalLink>
</file>

<file path=xl/externalLinks/externalLink1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ommaire"/>
      <sheetName val="Par. com."/>
      <sheetName val="Par. glob."/>
      <sheetName val="Par. prêt"/>
      <sheetName val="Par. Op."/>
      <sheetName val="Surf."/>
      <sheetName val="Prix rev.CE"/>
      <sheetName val="Defisc"/>
      <sheetName val="CA"/>
      <sheetName val="Prés."/>
      <sheetName val="Financeurs"/>
      <sheetName val="DDE - B simpl."/>
      <sheetName val="DDE - B détail."/>
      <sheetName val="DDE - Attest."/>
      <sheetName val="DDE - Cont."/>
      <sheetName val="CEX - Recap"/>
      <sheetName val="CEX - Graph."/>
      <sheetName val="CEX - Résult."/>
      <sheetName val="ODSDataSheet"/>
      <sheetName val="ODSTempDataSheet"/>
    </sheetNames>
    <sheetDataSet>
      <sheetData sheetId="0"/>
      <sheetData sheetId="1"/>
      <sheetData sheetId="2" refreshError="1">
        <row r="14">
          <cell r="K14">
            <v>2247</v>
          </cell>
        </row>
      </sheetData>
      <sheetData sheetId="3"/>
      <sheetData sheetId="4" refreshError="1">
        <row r="145">
          <cell r="F145">
            <v>2010</v>
          </cell>
        </row>
      </sheetData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 refreshError="1"/>
      <sheetData sheetId="17"/>
      <sheetData sheetId="18"/>
      <sheetData sheetId="19"/>
    </sheetDataSet>
  </externalBook>
</externalLink>
</file>

<file path=xl/externalLinks/externalLink1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ées habitat social"/>
      <sheetName val="Saisie"/>
      <sheetName val="fiche opé"/>
      <sheetName val="Charges COP"/>
      <sheetName val="Charges CTX"/>
      <sheetName val="A.O."/>
      <sheetName val="O.S."/>
      <sheetName val="Livraisons"/>
      <sheetName val="Défisc"/>
      <sheetName val="VEFA"/>
      <sheetName val="ANRU"/>
      <sheetName val="Prets - garanties"/>
      <sheetName val="Suivi par intervenant"/>
      <sheetName val="Suivi par secteur"/>
      <sheetName val="Listes"/>
      <sheetName val="TABLEAU DE BORD HABITAT"/>
    </sheetNames>
    <sheetDataSet>
      <sheetData sheetId="0">
        <row r="11">
          <cell r="A11" t="str">
            <v>opération</v>
          </cell>
          <cell r="B11" t="str">
            <v>n° compt</v>
          </cell>
          <cell r="C11" t="str">
            <v>zone</v>
          </cell>
          <cell r="D11" t="str">
            <v>COMMUNES</v>
          </cell>
          <cell r="E11" t="str">
            <v>Localisation</v>
          </cell>
          <cell r="F11" t="str">
            <v>Nbre L</v>
          </cell>
          <cell r="G11" t="str">
            <v>produit</v>
          </cell>
          <cell r="H11" t="str">
            <v>Cgal</v>
          </cell>
          <cell r="I11" t="str">
            <v>type aide Cgal</v>
          </cell>
          <cell r="J11" t="str">
            <v>TYP</v>
          </cell>
          <cell r="K11" t="str">
            <v>foncier</v>
          </cell>
          <cell r="L11" t="str">
            <v>si CF</v>
          </cell>
          <cell r="M11" t="str">
            <v>Foncier</v>
          </cell>
          <cell r="N11" t="str">
            <v>COP</v>
          </cell>
          <cell r="O11" t="str">
            <v>CTX</v>
          </cell>
          <cell r="P11" t="str">
            <v>ASS</v>
          </cell>
          <cell r="Q11" t="str">
            <v>AMT</v>
          </cell>
          <cell r="R11" t="str">
            <v>LBU</v>
          </cell>
          <cell r="S11" t="str">
            <v>prob dépôt AO</v>
          </cell>
          <cell r="T11" t="str">
            <v>Remarques</v>
          </cell>
          <cell r="U11" t="str">
            <v>Maitrise d'œuvre</v>
          </cell>
          <cell r="V11" t="str">
            <v>AVANCEMENT</v>
          </cell>
          <cell r="W11" t="str">
            <v>Dépôt PC</v>
          </cell>
          <cell r="X11" t="str">
            <v>d</v>
          </cell>
          <cell r="Y11" t="str">
            <v>N° de permis de construire</v>
          </cell>
          <cell r="Z11" t="str">
            <v>Obtention PC</v>
          </cell>
          <cell r="AA11" t="str">
            <v>o</v>
          </cell>
          <cell r="AB11" t="str">
            <v>Comité Engt</v>
          </cell>
          <cell r="AC11" t="str">
            <v>v</v>
          </cell>
          <cell r="AD11" t="str">
            <v>CA du</v>
          </cell>
          <cell r="AE11" t="str">
            <v>Dépôt FINCT</v>
          </cell>
          <cell r="AF11" t="str">
            <v>f</v>
          </cell>
          <cell r="AG11" t="str">
            <v>Décision finct</v>
          </cell>
          <cell r="AH11" t="str">
            <v>lanct AO</v>
          </cell>
          <cell r="AI11" t="str">
            <v>ao</v>
          </cell>
          <cell r="AJ11" t="str">
            <v>OS</v>
          </cell>
          <cell r="AK11" t="str">
            <v>ch</v>
          </cell>
          <cell r="AL11" t="str">
            <v>ecart AO/OS</v>
          </cell>
          <cell r="AM11" t="str">
            <v>année OS</v>
          </cell>
          <cell r="AN11" t="str">
            <v>durée chantier</v>
          </cell>
          <cell r="AO11" t="str">
            <v>LIV technique</v>
          </cell>
          <cell r="AP11" t="str">
            <v>LIV reelle</v>
          </cell>
          <cell r="AQ11" t="str">
            <v>li</v>
          </cell>
          <cell r="AR11" t="str">
            <v>année LIV</v>
          </cell>
          <cell r="AS11" t="str">
            <v>t1bis</v>
          </cell>
          <cell r="AT11" t="str">
            <v>surf t1bis</v>
          </cell>
          <cell r="AU11" t="str">
            <v>T2</v>
          </cell>
          <cell r="AV11" t="str">
            <v>surf T2</v>
          </cell>
          <cell r="AW11" t="str">
            <v>T2/3</v>
          </cell>
          <cell r="AX11" t="str">
            <v>surf T2/3</v>
          </cell>
          <cell r="AY11" t="str">
            <v>T3</v>
          </cell>
          <cell r="AZ11" t="str">
            <v>surf T3</v>
          </cell>
          <cell r="BA11" t="str">
            <v>T3/4</v>
          </cell>
          <cell r="BB11" t="str">
            <v>surf T3/4</v>
          </cell>
          <cell r="BC11" t="str">
            <v>T4</v>
          </cell>
          <cell r="BD11" t="str">
            <v>surf T4</v>
          </cell>
          <cell r="BE11" t="str">
            <v>T4/5</v>
          </cell>
          <cell r="BF11" t="str">
            <v>surf T4/5</v>
          </cell>
          <cell r="BG11" t="str">
            <v>T5</v>
          </cell>
          <cell r="BH11" t="str">
            <v>surf T5</v>
          </cell>
          <cell r="BI11" t="str">
            <v>T5/6</v>
          </cell>
          <cell r="BJ11" t="str">
            <v>surf T5/6</v>
          </cell>
          <cell r="BK11" t="str">
            <v>verif N</v>
          </cell>
          <cell r="BL11" t="str">
            <v>loyer théorique</v>
          </cell>
          <cell r="BM11" t="str">
            <v>charges théoriques</v>
          </cell>
          <cell r="BN11" t="str">
            <v>CG</v>
          </cell>
          <cell r="BO11" t="str">
            <v>GAR EMP CG</v>
          </cell>
          <cell r="BP11" t="str">
            <v>commune</v>
          </cell>
          <cell r="BQ11" t="str">
            <v>GAR EMP COM</v>
          </cell>
          <cell r="BR11" t="str">
            <v>finct comp LLTS1</v>
          </cell>
          <cell r="BS11" t="str">
            <v>%age reservation</v>
          </cell>
          <cell r="BT11" t="str">
            <v>convention signée</v>
          </cell>
          <cell r="BU11" t="str">
            <v>finct comp LLTS2</v>
          </cell>
          <cell r="BV11" t="str">
            <v>%age reservation</v>
          </cell>
          <cell r="BW11" t="str">
            <v>convention signée</v>
          </cell>
          <cell r="BX11" t="str">
            <v>Prêt CDC ou autre</v>
          </cell>
          <cell r="BY11" t="str">
            <v>Shon</v>
          </cell>
          <cell r="BZ11" t="str">
            <v>Shob</v>
          </cell>
          <cell r="CA11" t="str">
            <v>Sfinançables</v>
          </cell>
          <cell r="CB11" t="str">
            <v>Shabitable</v>
          </cell>
          <cell r="CC11" t="str">
            <v>Sdéfisc</v>
          </cell>
          <cell r="CD11" t="str">
            <v>Sperficie terrain</v>
          </cell>
          <cell r="CE11" t="str">
            <v>centrale de production</v>
          </cell>
          <cell r="CF11" t="str">
            <v>lot solaire</v>
          </cell>
          <cell r="CG11" t="str">
            <v xml:space="preserve"> region</v>
          </cell>
          <cell r="CH11" t="str">
            <v xml:space="preserve"> Feder</v>
          </cell>
          <cell r="CI11" t="str">
            <v xml:space="preserve"> DRIRE</v>
          </cell>
          <cell r="CJ11" t="str">
            <v>Véhicule fiscal</v>
          </cell>
          <cell r="CK11" t="str">
            <v>Défiscalisateur</v>
          </cell>
          <cell r="CL11" t="str">
            <v>Dépôt agrement</v>
          </cell>
          <cell r="CM11" t="str">
            <v>Agrement</v>
          </cell>
          <cell r="CN11" t="str">
            <v>Montant défisc</v>
          </cell>
          <cell r="CO11" t="str">
            <v>montage défisc</v>
          </cell>
          <cell r="CP11" t="str">
            <v>Périmetre ANRU</v>
          </cell>
          <cell r="CQ11" t="str">
            <v>Opération cloturée</v>
          </cell>
          <cell r="CR11" t="str">
            <v>Charge foncière TTC</v>
          </cell>
          <cell r="CS11" t="str">
            <v>cout terrain TTC</v>
          </cell>
          <cell r="CT11" t="str">
            <v>Batiment TTC (hors solaire)</v>
          </cell>
          <cell r="CU11" t="str">
            <v>Eau chaude solaire TTC</v>
          </cell>
          <cell r="CV11" t="str">
            <v>Honoraires &amp; autres frais TTC</v>
          </cell>
          <cell r="CW11" t="str">
            <v>Interets de préfinancement</v>
          </cell>
          <cell r="CX11" t="str">
            <v>TOTAL</v>
          </cell>
          <cell r="CY11" t="str">
            <v>LBU</v>
          </cell>
          <cell r="CZ11" t="str">
            <v>LBU terrain</v>
          </cell>
          <cell r="DA11" t="str">
            <v>subvention complementaire LLTS</v>
          </cell>
          <cell r="DB11" t="str">
            <v>Subvention complémentaire paritaire</v>
          </cell>
          <cell r="DC11" t="str">
            <v>LBU surcharge foncière</v>
          </cell>
          <cell r="DD11" t="str">
            <v>Collectivité subvention surcharge fonciere</v>
          </cell>
          <cell r="DE11" t="str">
            <v>Suvention solaire</v>
          </cell>
          <cell r="DF11" t="str">
            <v>Autres subvention 1</v>
          </cell>
          <cell r="DG11" t="str">
            <v>Financeurs aute subvention 1</v>
          </cell>
          <cell r="DH11" t="str">
            <v>Autres subvention 2</v>
          </cell>
          <cell r="DI11" t="str">
            <v>Financeurs aute subvention 2</v>
          </cell>
          <cell r="DJ11" t="str">
            <v>TOTAL SUBVENTIONS</v>
          </cell>
          <cell r="DK11" t="str">
            <v>CDC</v>
          </cell>
          <cell r="DL11" t="str">
            <v>CDC foncier</v>
          </cell>
          <cell r="DM11" t="str">
            <v>Collecteur 1%</v>
          </cell>
          <cell r="DN11" t="str">
            <v>Complementaire</v>
          </cell>
          <cell r="DO11" t="str">
            <v>TOTAL PRÊT</v>
          </cell>
          <cell r="DP11" t="str">
            <v>F P surcharge foncières</v>
          </cell>
          <cell r="DQ11" t="str">
            <v>F P pour revision de prix</v>
          </cell>
          <cell r="DR11" t="str">
            <v>F P solaire</v>
          </cell>
          <cell r="DS11" t="str">
            <v>Autre</v>
          </cell>
          <cell r="DT11" t="str">
            <v>TOTAL FONDS PROPRES</v>
          </cell>
          <cell r="DU11" t="str">
            <v>Vérification Prix revient / financement</v>
          </cell>
          <cell r="DV11" t="str">
            <v>Vendeur VEFA</v>
          </cell>
          <cell r="DW11" t="str">
            <v xml:space="preserve">Charges foncières TTC aux logement </v>
          </cell>
          <cell r="DX11" t="str">
            <v>Cout Batiments au m² financable</v>
          </cell>
          <cell r="DY11" t="str">
            <v>Cout total TTC m² habitable</v>
          </cell>
          <cell r="DZ11" t="str">
            <v>Cout total TTC m² financable</v>
          </cell>
          <cell r="EA11" t="str">
            <v>COUT TOTAL TTC au logement</v>
          </cell>
          <cell r="EB11" t="str">
            <v>Fonds Propres au logement</v>
          </cell>
          <cell r="EC11" t="str">
            <v>Descriptif opération</v>
          </cell>
          <cell r="ED11" t="str">
            <v>Adresse image 1</v>
          </cell>
          <cell r="EE11" t="str">
            <v>Adresse image 2</v>
          </cell>
          <cell r="EF11" t="str">
            <v>Logement réservé CILR</v>
          </cell>
          <cell r="EG11" t="str">
            <v>Prêt CILR</v>
          </cell>
          <cell r="EH11" t="str">
            <v>Convention CILR</v>
          </cell>
          <cell r="EI11" t="str">
            <v>Logements réservé ACLPME</v>
          </cell>
          <cell r="EJ11" t="str">
            <v>Prêt ACLPME</v>
          </cell>
          <cell r="EK11" t="str">
            <v>Convention ACLPME</v>
          </cell>
          <cell r="EL11" t="str">
            <v>Logements reservés ACLPME</v>
          </cell>
          <cell r="EM11" t="str">
            <v>Logement réservé LAPOSTE</v>
          </cell>
          <cell r="EN11" t="str">
            <v>Subvention LAPOSTE</v>
          </cell>
          <cell r="EO11" t="str">
            <v>Convention LAPOSTE</v>
          </cell>
          <cell r="EP11" t="str">
            <v>Réservataires communes</v>
          </cell>
          <cell r="EQ11" t="str">
            <v>Réservataires prefectures</v>
          </cell>
          <cell r="ER11" t="str">
            <v>Nombre de logement autre reservataire</v>
          </cell>
          <cell r="ES11" t="str">
            <v>Subvention autre reservataire</v>
          </cell>
          <cell r="ET11" t="str">
            <v>Coinvention autre reservataire</v>
          </cell>
          <cell r="EU11" t="str">
            <v>DOC</v>
          </cell>
          <cell r="EV11" t="str">
            <v>DAT &amp; Conformité</v>
          </cell>
          <cell r="EW11" t="str">
            <v>Adresse de l'opération</v>
          </cell>
          <cell r="EX11" t="str">
            <v>Référence cadastrale</v>
          </cell>
        </row>
        <row r="12">
          <cell r="A12" t="str">
            <v xml:space="preserve"> A1 FLORES ex BERMUDES</v>
          </cell>
          <cell r="B12">
            <v>9690</v>
          </cell>
          <cell r="C12" t="str">
            <v>OUEST</v>
          </cell>
          <cell r="D12" t="str">
            <v>Port</v>
          </cell>
          <cell r="E12" t="str">
            <v>PRU MAIL DE L'OCEAN A1</v>
          </cell>
          <cell r="F12">
            <v>77</v>
          </cell>
          <cell r="G12" t="str">
            <v>LLS</v>
          </cell>
          <cell r="I12" t="str">
            <v>ETU</v>
          </cell>
          <cell r="J12" t="str">
            <v>COL</v>
          </cell>
          <cell r="K12" t="str">
            <v>CF</v>
          </cell>
          <cell r="L12" t="str">
            <v>SIDR</v>
          </cell>
          <cell r="M12" t="str">
            <v>maitrisé</v>
          </cell>
          <cell r="N12" t="str">
            <v>PC</v>
          </cell>
          <cell r="O12" t="str">
            <v>PC</v>
          </cell>
          <cell r="P12" t="str">
            <v>CS</v>
          </cell>
          <cell r="Q12" t="str">
            <v>SN</v>
          </cell>
          <cell r="R12">
            <v>2008</v>
          </cell>
          <cell r="S12">
            <v>0.75</v>
          </cell>
          <cell r="T12" t="str">
            <v>liberation foncier 2009?/126 000€ aclpme</v>
          </cell>
          <cell r="U12" t="str">
            <v>PERRAU</v>
          </cell>
          <cell r="V12" t="str">
            <v>K - OS TRAVAUX</v>
          </cell>
          <cell r="W12">
            <v>39630</v>
          </cell>
          <cell r="X12" t="str">
            <v>d</v>
          </cell>
          <cell r="Z12">
            <v>39751</v>
          </cell>
          <cell r="AA12" t="str">
            <v>o</v>
          </cell>
          <cell r="AB12">
            <v>39598</v>
          </cell>
          <cell r="AC12" t="str">
            <v>v</v>
          </cell>
          <cell r="AD12">
            <v>39729</v>
          </cell>
          <cell r="AE12">
            <v>39715</v>
          </cell>
          <cell r="AF12" t="str">
            <v>f</v>
          </cell>
          <cell r="AH12">
            <v>39751</v>
          </cell>
          <cell r="AI12" t="str">
            <v>ao</v>
          </cell>
          <cell r="AJ12">
            <v>39933</v>
          </cell>
          <cell r="AK12" t="str">
            <v/>
          </cell>
          <cell r="AL12">
            <v>5.9836927932667017</v>
          </cell>
          <cell r="AM12">
            <v>2009</v>
          </cell>
          <cell r="AN12">
            <v>23</v>
          </cell>
          <cell r="AO12">
            <v>40632</v>
          </cell>
          <cell r="AP12">
            <v>40647</v>
          </cell>
          <cell r="AQ12" t="str">
            <v/>
          </cell>
          <cell r="AR12">
            <v>2011</v>
          </cell>
          <cell r="BK12">
            <v>0</v>
          </cell>
          <cell r="BL12">
            <v>8.9700000000000006</v>
          </cell>
          <cell r="CJ12" t="str">
            <v>SCI Saint Denis</v>
          </cell>
          <cell r="CK12" t="str">
            <v>INFI</v>
          </cell>
          <cell r="CL12">
            <v>39801</v>
          </cell>
          <cell r="CM12" t="str">
            <v>-</v>
          </cell>
          <cell r="CN12">
            <v>0</v>
          </cell>
          <cell r="CO12" t="str">
            <v>199 undecies A</v>
          </cell>
          <cell r="CQ12" t="str">
            <v>non</v>
          </cell>
          <cell r="CX12">
            <v>0</v>
          </cell>
          <cell r="DE12">
            <v>0</v>
          </cell>
          <cell r="DJ12">
            <v>0</v>
          </cell>
          <cell r="DO12">
            <v>0</v>
          </cell>
          <cell r="DS12">
            <v>0</v>
          </cell>
          <cell r="DT12">
            <v>0</v>
          </cell>
          <cell r="DU12">
            <v>0</v>
          </cell>
          <cell r="ED12" t="str">
            <v>G:\Habitat\OPERATIONNEL HABITAT\02- Operations\Photothèque\images locatifs\Flores &amp; Malacca\Nouvelle Image (1).bmp</v>
          </cell>
          <cell r="EE12" t="str">
            <v>G:\Habitat\OPERATIONNEL HABITAT\02- Operations\Photothèque\image non disponible.jpg</v>
          </cell>
        </row>
        <row r="13">
          <cell r="A13" t="str">
            <v xml:space="preserve"> LE TEXTOR exCASCADES MV</v>
          </cell>
          <cell r="B13">
            <v>9648</v>
          </cell>
          <cell r="C13" t="str">
            <v>EST</v>
          </cell>
          <cell r="D13" t="str">
            <v>Plaine des Palmistes</v>
          </cell>
          <cell r="E13" t="str">
            <v>CENTRE VILLE</v>
          </cell>
          <cell r="F13">
            <v>12</v>
          </cell>
          <cell r="G13" t="str">
            <v>LLS</v>
          </cell>
          <cell r="H13" t="str">
            <v>déposé</v>
          </cell>
          <cell r="I13" t="str">
            <v>CG5</v>
          </cell>
          <cell r="J13" t="str">
            <v>MV</v>
          </cell>
          <cell r="K13" t="str">
            <v>CF</v>
          </cell>
          <cell r="L13" t="str">
            <v>SIDR</v>
          </cell>
          <cell r="M13" t="str">
            <v>maitrisé</v>
          </cell>
          <cell r="N13" t="str">
            <v>JPM</v>
          </cell>
          <cell r="O13" t="str">
            <v>JMO</v>
          </cell>
          <cell r="P13" t="str">
            <v>CC</v>
          </cell>
          <cell r="Q13" t="str">
            <v>SM</v>
          </cell>
          <cell r="R13">
            <v>2006</v>
          </cell>
          <cell r="S13">
            <v>0</v>
          </cell>
          <cell r="T13" t="str">
            <v>retard décision sidr pour os 2007</v>
          </cell>
          <cell r="U13" t="str">
            <v>ATELIER GAZUT</v>
          </cell>
          <cell r="V13" t="str">
            <v>L - CHANTIER EN COURS</v>
          </cell>
          <cell r="W13">
            <v>38855</v>
          </cell>
          <cell r="X13" t="str">
            <v>d</v>
          </cell>
          <cell r="Y13" t="str">
            <v>97441006A0072</v>
          </cell>
          <cell r="Z13">
            <v>39174</v>
          </cell>
          <cell r="AA13" t="str">
            <v>o</v>
          </cell>
          <cell r="AB13">
            <v>38974</v>
          </cell>
          <cell r="AC13" t="str">
            <v>v</v>
          </cell>
          <cell r="AD13">
            <v>38990</v>
          </cell>
          <cell r="AE13">
            <v>38904</v>
          </cell>
          <cell r="AF13" t="str">
            <v>f</v>
          </cell>
          <cell r="AG13">
            <v>39093</v>
          </cell>
          <cell r="AH13">
            <v>39042</v>
          </cell>
          <cell r="AI13" t="str">
            <v>ao</v>
          </cell>
          <cell r="AJ13">
            <v>39548</v>
          </cell>
          <cell r="AK13" t="str">
            <v>ch</v>
          </cell>
          <cell r="AL13">
            <v>16.635981062598631</v>
          </cell>
          <cell r="AM13">
            <v>2008</v>
          </cell>
          <cell r="AN13">
            <v>14</v>
          </cell>
          <cell r="AO13">
            <v>39974</v>
          </cell>
          <cell r="AP13">
            <v>39989</v>
          </cell>
          <cell r="AQ13" t="str">
            <v/>
          </cell>
          <cell r="AR13">
            <v>2009</v>
          </cell>
          <cell r="AS13">
            <v>4</v>
          </cell>
          <cell r="AT13">
            <v>34</v>
          </cell>
          <cell r="AW13">
            <v>8</v>
          </cell>
          <cell r="AX13">
            <v>54</v>
          </cell>
          <cell r="BK13">
            <v>12</v>
          </cell>
          <cell r="BL13">
            <v>7</v>
          </cell>
          <cell r="BM13">
            <v>0.31</v>
          </cell>
          <cell r="BO13" t="str">
            <v xml:space="preserve">transmis </v>
          </cell>
          <cell r="BQ13" t="str">
            <v xml:space="preserve">transmis </v>
          </cell>
          <cell r="BX13" t="str">
            <v>demande à faire</v>
          </cell>
          <cell r="BY13">
            <v>638.1</v>
          </cell>
          <cell r="BZ13">
            <v>702</v>
          </cell>
          <cell r="CA13">
            <v>638.1</v>
          </cell>
          <cell r="CE13" t="str">
            <v>ECS ind</v>
          </cell>
          <cell r="CF13">
            <v>44400</v>
          </cell>
          <cell r="CG13">
            <v>13320</v>
          </cell>
          <cell r="CH13">
            <v>19980</v>
          </cell>
          <cell r="CJ13" t="str">
            <v>-</v>
          </cell>
          <cell r="CK13" t="str">
            <v>-</v>
          </cell>
          <cell r="CL13" t="str">
            <v>-</v>
          </cell>
          <cell r="CM13" t="str">
            <v>-</v>
          </cell>
          <cell r="CN13">
            <v>0</v>
          </cell>
          <cell r="CQ13" t="str">
            <v>non</v>
          </cell>
          <cell r="CX13">
            <v>0</v>
          </cell>
          <cell r="DE13">
            <v>33300</v>
          </cell>
          <cell r="DJ13">
            <v>33300</v>
          </cell>
          <cell r="DO13">
            <v>0</v>
          </cell>
          <cell r="DQ13">
            <v>30764</v>
          </cell>
          <cell r="DR13">
            <v>12000</v>
          </cell>
          <cell r="DS13">
            <v>42764</v>
          </cell>
          <cell r="DT13">
            <v>85528</v>
          </cell>
          <cell r="DU13">
            <v>118828</v>
          </cell>
          <cell r="ED13" t="str">
            <v>G:\Habitat\OPERATIONNEL HABITAT\02- Operations\Photothèque\images locatifs\CASCADES\Cascades.jpg</v>
          </cell>
          <cell r="EE13" t="str">
            <v>G:\Habitat\OPERATIONNEL HABITAT\02- Operations\Photothèque\image non disponible.jpg</v>
          </cell>
        </row>
        <row r="14">
          <cell r="A14" t="str">
            <v xml:space="preserve"> LIFOU ex ARUBA </v>
          </cell>
          <cell r="B14">
            <v>9732</v>
          </cell>
          <cell r="C14" t="str">
            <v>EST</v>
          </cell>
          <cell r="D14" t="str">
            <v>Saint-Benoît</v>
          </cell>
          <cell r="E14" t="str">
            <v>ZAC ENTREE DE VILLE ST ANNE</v>
          </cell>
          <cell r="F14">
            <v>62</v>
          </cell>
          <cell r="G14" t="str">
            <v>LLTS</v>
          </cell>
          <cell r="J14" t="str">
            <v>COL</v>
          </cell>
          <cell r="K14" t="str">
            <v>CF</v>
          </cell>
          <cell r="L14" t="str">
            <v>SIDR</v>
          </cell>
          <cell r="M14" t="str">
            <v>maitrisé</v>
          </cell>
          <cell r="N14" t="str">
            <v>Cla</v>
          </cell>
          <cell r="O14" t="str">
            <v>JMO</v>
          </cell>
          <cell r="P14" t="str">
            <v>CC</v>
          </cell>
          <cell r="Q14" t="str">
            <v>AR</v>
          </cell>
          <cell r="R14">
            <v>2009</v>
          </cell>
          <cell r="S14">
            <v>0</v>
          </cell>
          <cell r="T14" t="str">
            <v>Problématique de la livraison de la station d'épuration (livraison annoncée octobre 2011) alors que l'opération doit se terminer courant 2011 !!!!</v>
          </cell>
          <cell r="U14" t="str">
            <v>DELCOURT</v>
          </cell>
          <cell r="V14" t="str">
            <v>B - ETUDE PRE-OP</v>
          </cell>
          <cell r="W14" t="str">
            <v>15/05/209</v>
          </cell>
          <cell r="X14" t="str">
            <v/>
          </cell>
          <cell r="AA14" t="str">
            <v/>
          </cell>
          <cell r="AC14" t="str">
            <v/>
          </cell>
          <cell r="AE14">
            <v>40071</v>
          </cell>
          <cell r="AF14" t="str">
            <v/>
          </cell>
          <cell r="AH14">
            <v>40071</v>
          </cell>
          <cell r="AI14" t="str">
            <v/>
          </cell>
          <cell r="AK14" t="str">
            <v/>
          </cell>
          <cell r="AL14">
            <v>-1317.4316149395056</v>
          </cell>
          <cell r="AM14" t="str">
            <v/>
          </cell>
          <cell r="AO14" t="str">
            <v/>
          </cell>
          <cell r="AP14" t="str">
            <v/>
          </cell>
          <cell r="AQ14" t="str">
            <v/>
          </cell>
          <cell r="AR14">
            <v>2012</v>
          </cell>
          <cell r="CJ14" t="str">
            <v>-</v>
          </cell>
          <cell r="CK14" t="str">
            <v>-</v>
          </cell>
          <cell r="CL14" t="str">
            <v>-</v>
          </cell>
          <cell r="CM14" t="str">
            <v>-</v>
          </cell>
          <cell r="CN14">
            <v>0</v>
          </cell>
          <cell r="CQ14" t="str">
            <v>non</v>
          </cell>
          <cell r="CX14">
            <v>0</v>
          </cell>
          <cell r="DE14">
            <v>0</v>
          </cell>
          <cell r="DJ14">
            <v>0</v>
          </cell>
          <cell r="DO14">
            <v>0</v>
          </cell>
          <cell r="DS14">
            <v>0</v>
          </cell>
          <cell r="DT14">
            <v>0</v>
          </cell>
          <cell r="DU14">
            <v>0</v>
          </cell>
          <cell r="ED14" t="str">
            <v>G:\Habitat\OPERATIONNEL HABITAT\02- Operations\Photothèque\image non disponible.jpg</v>
          </cell>
          <cell r="EE14" t="str">
            <v>G:\Habitat\OPERATIONNEL HABITAT\02- Operations\Photothèque\image non disponible.jpg</v>
          </cell>
        </row>
        <row r="15">
          <cell r="A15" t="str">
            <v xml:space="preserve"> STADE 2</v>
          </cell>
          <cell r="B15">
            <v>9681</v>
          </cell>
          <cell r="C15" t="str">
            <v>SUD</v>
          </cell>
          <cell r="D15" t="str">
            <v>Saint-Louis</v>
          </cell>
          <cell r="E15" t="str">
            <v>RHI DU STADE</v>
          </cell>
          <cell r="F15">
            <v>23</v>
          </cell>
          <cell r="G15" t="str">
            <v>LESG</v>
          </cell>
          <cell r="J15" t="str">
            <v>IND</v>
          </cell>
          <cell r="K15" t="str">
            <v>CF</v>
          </cell>
          <cell r="L15" t="str">
            <v>SIDR</v>
          </cell>
          <cell r="N15" t="str">
            <v>BS</v>
          </cell>
          <cell r="O15" t="str">
            <v>FG</v>
          </cell>
          <cell r="P15" t="str">
            <v>LV</v>
          </cell>
          <cell r="Q15" t="str">
            <v>HBM</v>
          </cell>
          <cell r="R15">
            <v>2006</v>
          </cell>
          <cell r="T15" t="str">
            <v>verif propriéte avec amenageur/temoin 02/2009</v>
          </cell>
          <cell r="U15" t="str">
            <v>SOAA MEUNIER</v>
          </cell>
          <cell r="V15" t="str">
            <v>L - CHANTIER EN COURS</v>
          </cell>
          <cell r="W15">
            <v>38961</v>
          </cell>
          <cell r="X15" t="str">
            <v>d</v>
          </cell>
          <cell r="Y15" t="str">
            <v>9741406a0394</v>
          </cell>
          <cell r="Z15">
            <v>39010</v>
          </cell>
          <cell r="AA15" t="str">
            <v>o</v>
          </cell>
          <cell r="AB15">
            <v>38974</v>
          </cell>
          <cell r="AC15" t="str">
            <v>v</v>
          </cell>
          <cell r="AD15">
            <v>0</v>
          </cell>
          <cell r="AE15">
            <v>38989</v>
          </cell>
          <cell r="AF15" t="str">
            <v>f</v>
          </cell>
          <cell r="AG15">
            <v>39080</v>
          </cell>
          <cell r="AH15">
            <v>39302</v>
          </cell>
          <cell r="AI15" t="str">
            <v>ao</v>
          </cell>
          <cell r="AJ15">
            <v>39622</v>
          </cell>
          <cell r="AK15" t="str">
            <v>ch</v>
          </cell>
          <cell r="AL15">
            <v>10.520778537611783</v>
          </cell>
          <cell r="AM15">
            <v>2008</v>
          </cell>
          <cell r="AN15">
            <v>18</v>
          </cell>
          <cell r="AO15">
            <v>40170</v>
          </cell>
          <cell r="AP15">
            <v>40185</v>
          </cell>
          <cell r="AQ15" t="str">
            <v/>
          </cell>
          <cell r="AR15">
            <v>2010</v>
          </cell>
          <cell r="CJ15" t="str">
            <v>-</v>
          </cell>
          <cell r="CK15" t="str">
            <v>-</v>
          </cell>
          <cell r="CL15" t="str">
            <v>-</v>
          </cell>
          <cell r="CM15" t="str">
            <v>-</v>
          </cell>
          <cell r="CN15">
            <v>0</v>
          </cell>
          <cell r="CQ15" t="str">
            <v>non</v>
          </cell>
          <cell r="CX15">
            <v>0</v>
          </cell>
          <cell r="DE15">
            <v>0</v>
          </cell>
          <cell r="DJ15">
            <v>0</v>
          </cell>
          <cell r="DO15">
            <v>0</v>
          </cell>
          <cell r="DS15">
            <v>0</v>
          </cell>
          <cell r="DT15">
            <v>0</v>
          </cell>
          <cell r="DU15">
            <v>0</v>
          </cell>
          <cell r="ED15" t="str">
            <v>G:\Habitat\OPERATIONNEL HABITAT\02- Operations\Photothèque\image non disponible.jpg</v>
          </cell>
          <cell r="EE15" t="str">
            <v>G:\Habitat\OPERATIONNEL HABITAT\02- Operations\Photothèque\image non disponible.jpg</v>
          </cell>
        </row>
        <row r="16">
          <cell r="A16" t="str">
            <v>A2 MALACCA ex MAJORQUE</v>
          </cell>
          <cell r="B16">
            <v>9693</v>
          </cell>
          <cell r="C16" t="str">
            <v>OUEST</v>
          </cell>
          <cell r="D16" t="str">
            <v>Port</v>
          </cell>
          <cell r="E16" t="str">
            <v>PRU MAIL DE L'OCEAN A2</v>
          </cell>
          <cell r="F16">
            <v>61</v>
          </cell>
          <cell r="G16" t="str">
            <v>PLS</v>
          </cell>
          <cell r="J16" t="str">
            <v>COL</v>
          </cell>
          <cell r="K16" t="str">
            <v>CF</v>
          </cell>
          <cell r="L16" t="str">
            <v>SIDR</v>
          </cell>
          <cell r="M16" t="str">
            <v>maitrisé</v>
          </cell>
          <cell r="N16" t="str">
            <v>PC</v>
          </cell>
          <cell r="O16" t="str">
            <v>PC</v>
          </cell>
          <cell r="P16" t="str">
            <v>CS</v>
          </cell>
          <cell r="Q16" t="str">
            <v>SN</v>
          </cell>
          <cell r="R16">
            <v>2008</v>
          </cell>
          <cell r="S16">
            <v>0.75</v>
          </cell>
          <cell r="T16" t="str">
            <v>piste financement PLS+</v>
          </cell>
          <cell r="U16" t="str">
            <v>PERRAU</v>
          </cell>
          <cell r="V16" t="str">
            <v>K - OS TRAVAUX</v>
          </cell>
          <cell r="W16">
            <v>39630</v>
          </cell>
          <cell r="X16" t="str">
            <v>d</v>
          </cell>
          <cell r="Z16">
            <v>39751</v>
          </cell>
          <cell r="AA16" t="str">
            <v>o</v>
          </cell>
          <cell r="AB16">
            <v>39598</v>
          </cell>
          <cell r="AC16" t="str">
            <v>v</v>
          </cell>
          <cell r="AD16">
            <v>39729</v>
          </cell>
          <cell r="AE16">
            <v>39715</v>
          </cell>
          <cell r="AF16" t="str">
            <v>f</v>
          </cell>
          <cell r="AH16">
            <v>39751</v>
          </cell>
          <cell r="AI16" t="str">
            <v>ao</v>
          </cell>
          <cell r="AJ16">
            <v>39933</v>
          </cell>
          <cell r="AK16" t="str">
            <v/>
          </cell>
          <cell r="AL16">
            <v>5.9836927932667017</v>
          </cell>
          <cell r="AM16">
            <v>2009</v>
          </cell>
          <cell r="AN16">
            <v>23</v>
          </cell>
          <cell r="AO16">
            <v>40632</v>
          </cell>
          <cell r="AP16">
            <v>40647</v>
          </cell>
          <cell r="AQ16" t="str">
            <v/>
          </cell>
          <cell r="AR16">
            <v>2011</v>
          </cell>
          <cell r="BK16">
            <v>0</v>
          </cell>
          <cell r="BL16">
            <v>8.5</v>
          </cell>
          <cell r="CJ16" t="str">
            <v>SCI Saint Denis</v>
          </cell>
          <cell r="CK16" t="str">
            <v>INFI</v>
          </cell>
          <cell r="CL16">
            <v>39801</v>
          </cell>
          <cell r="CM16" t="str">
            <v>-</v>
          </cell>
          <cell r="CN16">
            <v>0</v>
          </cell>
          <cell r="CO16" t="str">
            <v>199 undecies A</v>
          </cell>
          <cell r="CQ16" t="str">
            <v>non</v>
          </cell>
          <cell r="CX16">
            <v>0</v>
          </cell>
          <cell r="DE16">
            <v>0</v>
          </cell>
          <cell r="DJ16">
            <v>0</v>
          </cell>
          <cell r="DO16">
            <v>0</v>
          </cell>
          <cell r="DS16">
            <v>0</v>
          </cell>
          <cell r="DT16">
            <v>0</v>
          </cell>
          <cell r="DU16">
            <v>0</v>
          </cell>
          <cell r="ED16" t="str">
            <v>G:\Habitat\OPERATIONNEL HABITAT\02- Operations\Photothèque\images locatifs\Flores &amp; Malacca\Nouvelle Image (1).bmp</v>
          </cell>
          <cell r="EE16" t="str">
            <v>G:\Habitat\OPERATIONNEL HABITAT\02- Operations\Photothèque\image non disponible.jpg</v>
          </cell>
        </row>
        <row r="17">
          <cell r="A17" t="str">
            <v>ACORES</v>
          </cell>
          <cell r="B17">
            <v>9701</v>
          </cell>
          <cell r="C17" t="str">
            <v>EST</v>
          </cell>
          <cell r="D17" t="str">
            <v>Saint-Benoît</v>
          </cell>
          <cell r="E17" t="str">
            <v>ZAC ENTREE DE VILLE ST ANNE</v>
          </cell>
          <cell r="F17">
            <v>62</v>
          </cell>
          <cell r="G17" t="str">
            <v>LLTS</v>
          </cell>
          <cell r="J17" t="str">
            <v>COL</v>
          </cell>
          <cell r="K17" t="str">
            <v>CF</v>
          </cell>
          <cell r="L17" t="str">
            <v>SIDR</v>
          </cell>
          <cell r="M17" t="str">
            <v>maitrisé</v>
          </cell>
          <cell r="N17" t="str">
            <v>JPM</v>
          </cell>
          <cell r="O17" t="str">
            <v>JMO</v>
          </cell>
          <cell r="P17" t="str">
            <v>CC</v>
          </cell>
          <cell r="Q17" t="str">
            <v>AR</v>
          </cell>
          <cell r="R17">
            <v>2008</v>
          </cell>
          <cell r="S17">
            <v>0.5</v>
          </cell>
          <cell r="T17" t="str">
            <v>Problématique de la livraison de la station d'épuration (livraison annoncée octobre 2011) alors que l'opération doit se terminer en mars 2011 !!!!</v>
          </cell>
          <cell r="U17" t="str">
            <v>DELCOURT</v>
          </cell>
          <cell r="V17" t="str">
            <v>H - APPEL D'OFFRES</v>
          </cell>
          <cell r="W17">
            <v>39675</v>
          </cell>
          <cell r="X17" t="str">
            <v>d</v>
          </cell>
          <cell r="Y17" t="str">
            <v>0974100A0284</v>
          </cell>
          <cell r="Z17">
            <v>39706</v>
          </cell>
          <cell r="AA17" t="str">
            <v>o</v>
          </cell>
          <cell r="AB17">
            <v>39639</v>
          </cell>
          <cell r="AC17" t="str">
            <v>v</v>
          </cell>
          <cell r="AD17">
            <v>39710</v>
          </cell>
          <cell r="AE17">
            <v>39717</v>
          </cell>
          <cell r="AF17" t="str">
            <v>f</v>
          </cell>
          <cell r="AH17">
            <v>39873</v>
          </cell>
          <cell r="AI17" t="str">
            <v>ao</v>
          </cell>
          <cell r="AJ17">
            <v>40057</v>
          </cell>
          <cell r="AK17" t="str">
            <v/>
          </cell>
          <cell r="AL17">
            <v>6.0494476591267752</v>
          </cell>
          <cell r="AM17">
            <v>2009</v>
          </cell>
          <cell r="AN17">
            <v>18</v>
          </cell>
          <cell r="AO17">
            <v>40603</v>
          </cell>
          <cell r="AP17">
            <v>40618</v>
          </cell>
          <cell r="AQ17" t="str">
            <v/>
          </cell>
          <cell r="AR17">
            <v>2011</v>
          </cell>
          <cell r="BL17">
            <v>5</v>
          </cell>
          <cell r="CJ17" t="str">
            <v>A déterminer</v>
          </cell>
          <cell r="CK17" t="str">
            <v>INFI</v>
          </cell>
          <cell r="CL17" t="str">
            <v>-</v>
          </cell>
          <cell r="CM17" t="str">
            <v>-</v>
          </cell>
          <cell r="CN17">
            <v>0</v>
          </cell>
          <cell r="CQ17" t="str">
            <v>non</v>
          </cell>
          <cell r="CX17">
            <v>0</v>
          </cell>
          <cell r="DE17">
            <v>0</v>
          </cell>
          <cell r="DJ17">
            <v>0</v>
          </cell>
          <cell r="DO17">
            <v>0</v>
          </cell>
          <cell r="DS17">
            <v>0</v>
          </cell>
          <cell r="DT17">
            <v>0</v>
          </cell>
          <cell r="DU17">
            <v>0</v>
          </cell>
          <cell r="ED17" t="str">
            <v>G:\Habitat\OPERATIONNEL HABITAT\02- Operations\Photothèque\image non disponible.jpg</v>
          </cell>
          <cell r="EE17" t="str">
            <v>G:\Habitat\OPERATIONNEL HABITAT\02- Operations\Photothèque</v>
          </cell>
        </row>
        <row r="18">
          <cell r="A18" t="str">
            <v>AMBRE</v>
          </cell>
          <cell r="B18">
            <v>9716</v>
          </cell>
          <cell r="C18" t="str">
            <v>NORD</v>
          </cell>
          <cell r="D18" t="str">
            <v>Saint-Denis</v>
          </cell>
          <cell r="E18" t="str">
            <v>RHI HYACINTHE CARAMBOLES</v>
          </cell>
          <cell r="F18">
            <v>29</v>
          </cell>
          <cell r="G18" t="str">
            <v>LLTS</v>
          </cell>
          <cell r="J18" t="str">
            <v>MV</v>
          </cell>
          <cell r="K18" t="str">
            <v>CF</v>
          </cell>
          <cell r="L18" t="str">
            <v>SIDR</v>
          </cell>
          <cell r="M18" t="str">
            <v>maitrisé</v>
          </cell>
          <cell r="N18" t="str">
            <v>JEM</v>
          </cell>
          <cell r="O18" t="str">
            <v>PE</v>
          </cell>
          <cell r="P18" t="str">
            <v>CS</v>
          </cell>
          <cell r="Q18" t="str">
            <v>AR</v>
          </cell>
          <cell r="R18">
            <v>2009</v>
          </cell>
          <cell r="S18">
            <v>0.25</v>
          </cell>
          <cell r="T18" t="str">
            <v>reprise amenagement 100% - projet à présenter à la DDE</v>
          </cell>
          <cell r="U18" t="str">
            <v>GAZUT</v>
          </cell>
          <cell r="V18" t="str">
            <v>E - APS / PC</v>
          </cell>
          <cell r="W18">
            <v>39918</v>
          </cell>
          <cell r="X18" t="str">
            <v>d</v>
          </cell>
          <cell r="AA18" t="str">
            <v/>
          </cell>
          <cell r="AB18">
            <v>39889</v>
          </cell>
          <cell r="AC18" t="str">
            <v>v</v>
          </cell>
          <cell r="AE18">
            <v>40071</v>
          </cell>
          <cell r="AF18" t="str">
            <v/>
          </cell>
          <cell r="AH18">
            <v>40053</v>
          </cell>
          <cell r="AI18" t="str">
            <v/>
          </cell>
          <cell r="AJ18">
            <v>40237</v>
          </cell>
          <cell r="AK18" t="str">
            <v/>
          </cell>
          <cell r="AL18">
            <v>6.0494476591267752</v>
          </cell>
          <cell r="AM18">
            <v>2010</v>
          </cell>
          <cell r="AN18">
            <v>14</v>
          </cell>
          <cell r="AO18">
            <v>40661</v>
          </cell>
          <cell r="AP18">
            <v>40676</v>
          </cell>
          <cell r="AQ18" t="str">
            <v/>
          </cell>
          <cell r="AR18">
            <v>2011</v>
          </cell>
          <cell r="CJ18" t="str">
            <v>-</v>
          </cell>
          <cell r="CK18" t="str">
            <v>-</v>
          </cell>
          <cell r="CL18" t="str">
            <v>-</v>
          </cell>
          <cell r="CM18" t="str">
            <v>-</v>
          </cell>
          <cell r="CN18">
            <v>0</v>
          </cell>
          <cell r="CQ18" t="str">
            <v>non</v>
          </cell>
          <cell r="CX18">
            <v>0</v>
          </cell>
          <cell r="DE18">
            <v>0</v>
          </cell>
          <cell r="DJ18">
            <v>0</v>
          </cell>
          <cell r="DO18">
            <v>0</v>
          </cell>
          <cell r="DS18">
            <v>0</v>
          </cell>
          <cell r="DT18">
            <v>0</v>
          </cell>
          <cell r="DU18">
            <v>0</v>
          </cell>
          <cell r="ED18" t="str">
            <v>G:\Habitat\OPERATIONNEL HABITAT\02- Operations\Photothèque\image non disponible.jpg</v>
          </cell>
          <cell r="EE18" t="str">
            <v>G:\Habitat\OPERATIONNEL HABITAT\02- Operations\Photothèque\image non disponible.jpg</v>
          </cell>
          <cell r="EX18" t="str">
            <v>SECTION DS</v>
          </cell>
        </row>
        <row r="19">
          <cell r="A19" t="str">
            <v>AMIRANTES</v>
          </cell>
          <cell r="C19" t="str">
            <v>EST</v>
          </cell>
          <cell r="D19" t="str">
            <v>Saint-André</v>
          </cell>
          <cell r="E19" t="str">
            <v>RHI 2 LES MANGUIERS</v>
          </cell>
          <cell r="F19">
            <v>12</v>
          </cell>
          <cell r="G19" t="str">
            <v>LLS</v>
          </cell>
          <cell r="J19" t="str">
            <v>MV</v>
          </cell>
          <cell r="K19" t="str">
            <v>CF</v>
          </cell>
          <cell r="L19" t="str">
            <v>SIDR</v>
          </cell>
          <cell r="N19" t="str">
            <v>CLa</v>
          </cell>
          <cell r="P19" t="str">
            <v>CC</v>
          </cell>
          <cell r="Q19" t="str">
            <v>SPG</v>
          </cell>
          <cell r="R19">
            <v>2010</v>
          </cell>
          <cell r="T19" t="str">
            <v>LLS diffus attente libération pour montage complexe</v>
          </cell>
          <cell r="V19" t="str">
            <v>A - NON LANCE</v>
          </cell>
          <cell r="X19" t="str">
            <v/>
          </cell>
          <cell r="AA19" t="str">
            <v/>
          </cell>
          <cell r="AC19" t="str">
            <v/>
          </cell>
          <cell r="AF19" t="str">
            <v/>
          </cell>
          <cell r="AI19" t="str">
            <v/>
          </cell>
          <cell r="AK19" t="str">
            <v/>
          </cell>
          <cell r="AL19">
            <v>0</v>
          </cell>
          <cell r="AM19" t="str">
            <v/>
          </cell>
          <cell r="AO19" t="str">
            <v/>
          </cell>
          <cell r="AP19" t="str">
            <v/>
          </cell>
          <cell r="AQ19" t="str">
            <v/>
          </cell>
          <cell r="CJ19" t="str">
            <v>-</v>
          </cell>
          <cell r="CK19" t="str">
            <v>-</v>
          </cell>
          <cell r="CL19" t="str">
            <v>-</v>
          </cell>
          <cell r="CM19" t="str">
            <v>-</v>
          </cell>
          <cell r="CN19">
            <v>0</v>
          </cell>
          <cell r="CQ19" t="str">
            <v>non</v>
          </cell>
          <cell r="CX19">
            <v>0</v>
          </cell>
          <cell r="DE19">
            <v>0</v>
          </cell>
          <cell r="DJ19">
            <v>0</v>
          </cell>
          <cell r="DO19">
            <v>0</v>
          </cell>
          <cell r="DS19">
            <v>0</v>
          </cell>
          <cell r="DT19">
            <v>0</v>
          </cell>
          <cell r="DU19">
            <v>0</v>
          </cell>
          <cell r="ED19" t="str">
            <v>G:\Habitat\OPERATIONNEL HABITAT\02- Operations\Photothèque\image non disponible.jpg</v>
          </cell>
          <cell r="EE19" t="str">
            <v>G:\Habitat\OPERATIONNEL HABITAT\02- Operations\Photothèque\image non disponible.jpg</v>
          </cell>
        </row>
        <row r="20">
          <cell r="A20" t="str">
            <v>AMOUIexANTIGUA</v>
          </cell>
          <cell r="B20">
            <v>9718</v>
          </cell>
          <cell r="C20" t="str">
            <v>SUD</v>
          </cell>
          <cell r="D20" t="str">
            <v>Saint-Joseph</v>
          </cell>
          <cell r="E20" t="str">
            <v>RHI CENTRE VILLE</v>
          </cell>
          <cell r="F20">
            <v>13</v>
          </cell>
          <cell r="G20" t="str">
            <v>LLS</v>
          </cell>
          <cell r="J20" t="str">
            <v>MV</v>
          </cell>
          <cell r="K20" t="str">
            <v>CF</v>
          </cell>
          <cell r="L20" t="str">
            <v>SIDR</v>
          </cell>
          <cell r="M20" t="str">
            <v>maitrisé</v>
          </cell>
          <cell r="N20" t="str">
            <v>LC</v>
          </cell>
          <cell r="O20" t="str">
            <v>CA</v>
          </cell>
          <cell r="P20" t="str">
            <v>LV</v>
          </cell>
          <cell r="Q20" t="str">
            <v>HBM</v>
          </cell>
          <cell r="R20">
            <v>2009</v>
          </cell>
          <cell r="S20">
            <v>0.25</v>
          </cell>
          <cell r="U20" t="str">
            <v>2APMR</v>
          </cell>
          <cell r="V20" t="str">
            <v>D - ESQUISSES</v>
          </cell>
          <cell r="W20">
            <v>39736</v>
          </cell>
          <cell r="X20" t="str">
            <v>d</v>
          </cell>
          <cell r="Z20">
            <v>39620</v>
          </cell>
          <cell r="AA20" t="str">
            <v>o</v>
          </cell>
          <cell r="AB20">
            <v>39583</v>
          </cell>
          <cell r="AC20" t="str">
            <v>v</v>
          </cell>
          <cell r="AE20">
            <v>40082</v>
          </cell>
          <cell r="AF20" t="str">
            <v/>
          </cell>
          <cell r="AH20">
            <v>40084</v>
          </cell>
          <cell r="AI20" t="str">
            <v/>
          </cell>
          <cell r="AJ20">
            <v>40265</v>
          </cell>
          <cell r="AK20" t="str">
            <v/>
          </cell>
          <cell r="AL20">
            <v>5.9508153603366649</v>
          </cell>
          <cell r="AM20">
            <v>2010</v>
          </cell>
          <cell r="AN20">
            <v>14</v>
          </cell>
          <cell r="AO20">
            <v>40691</v>
          </cell>
          <cell r="AP20">
            <v>40706</v>
          </cell>
          <cell r="AQ20" t="str">
            <v/>
          </cell>
          <cell r="AR20">
            <v>2011</v>
          </cell>
          <cell r="BK20">
            <v>0</v>
          </cell>
          <cell r="CJ20" t="str">
            <v>-</v>
          </cell>
          <cell r="CK20" t="str">
            <v>-</v>
          </cell>
          <cell r="CL20" t="str">
            <v>-</v>
          </cell>
          <cell r="CM20" t="str">
            <v>-</v>
          </cell>
          <cell r="CN20">
            <v>0</v>
          </cell>
          <cell r="CQ20" t="str">
            <v>non</v>
          </cell>
          <cell r="CX20">
            <v>0</v>
          </cell>
          <cell r="DE20">
            <v>0</v>
          </cell>
          <cell r="DJ20">
            <v>0</v>
          </cell>
          <cell r="DO20">
            <v>0</v>
          </cell>
          <cell r="DS20">
            <v>0</v>
          </cell>
          <cell r="DT20">
            <v>0</v>
          </cell>
          <cell r="DU20">
            <v>0</v>
          </cell>
          <cell r="ED20" t="str">
            <v>G:\Habitat\OPERATIONNEL HABITAT\02- Operations\Photothèque\image non disponible.jpg</v>
          </cell>
          <cell r="EE20" t="str">
            <v>G:\Habitat\OPERATIONNEL HABITAT\02- Operations\Photothèque\image non disponible.jpg</v>
          </cell>
        </row>
        <row r="21">
          <cell r="A21" t="str">
            <v>AMSTERDAM</v>
          </cell>
          <cell r="B21">
            <v>9539</v>
          </cell>
          <cell r="C21" t="str">
            <v>OUEST</v>
          </cell>
          <cell r="D21" t="str">
            <v>Port</v>
          </cell>
          <cell r="E21" t="str">
            <v>RHI SAY PISCINE</v>
          </cell>
          <cell r="F21">
            <v>40</v>
          </cell>
          <cell r="G21" t="str">
            <v>LLTS</v>
          </cell>
          <cell r="J21" t="str">
            <v>COL</v>
          </cell>
          <cell r="K21" t="str">
            <v>CF</v>
          </cell>
          <cell r="L21" t="str">
            <v>SIDR</v>
          </cell>
          <cell r="N21" t="str">
            <v>CLa</v>
          </cell>
          <cell r="O21" t="str">
            <v>GG</v>
          </cell>
          <cell r="P21" t="str">
            <v>CC</v>
          </cell>
          <cell r="Q21" t="str">
            <v>OP</v>
          </cell>
          <cell r="R21">
            <v>2004</v>
          </cell>
          <cell r="U21" t="str">
            <v>DELCOURT</v>
          </cell>
          <cell r="V21" t="str">
            <v>M - LIVRE/GPA</v>
          </cell>
          <cell r="W21">
            <v>38181</v>
          </cell>
          <cell r="X21" t="str">
            <v>d</v>
          </cell>
          <cell r="Y21" t="str">
            <v>97440704A0060</v>
          </cell>
          <cell r="Z21">
            <v>38376</v>
          </cell>
          <cell r="AA21" t="str">
            <v>o</v>
          </cell>
          <cell r="AB21" t="str">
            <v>validé</v>
          </cell>
          <cell r="AC21" t="str">
            <v/>
          </cell>
          <cell r="AD21">
            <v>38265</v>
          </cell>
          <cell r="AE21">
            <v>38238</v>
          </cell>
          <cell r="AF21" t="str">
            <v>f</v>
          </cell>
          <cell r="AG21">
            <v>38419</v>
          </cell>
          <cell r="AH21">
            <v>38299</v>
          </cell>
          <cell r="AI21" t="str">
            <v>ao</v>
          </cell>
          <cell r="AJ21">
            <v>38467</v>
          </cell>
          <cell r="AK21" t="str">
            <v/>
          </cell>
          <cell r="AL21">
            <v>5.5234087322461862</v>
          </cell>
          <cell r="AM21">
            <v>2005</v>
          </cell>
          <cell r="AN21">
            <v>18</v>
          </cell>
          <cell r="AO21">
            <v>39015</v>
          </cell>
          <cell r="AP21">
            <v>39055</v>
          </cell>
          <cell r="AQ21" t="str">
            <v>li</v>
          </cell>
          <cell r="AR21">
            <v>2006</v>
          </cell>
          <cell r="AU21">
            <v>3</v>
          </cell>
          <cell r="AV21">
            <v>49</v>
          </cell>
          <cell r="AW21">
            <v>13</v>
          </cell>
          <cell r="AX21">
            <v>57</v>
          </cell>
          <cell r="AY21">
            <v>1</v>
          </cell>
          <cell r="AZ21">
            <v>59</v>
          </cell>
          <cell r="BA21">
            <v>12</v>
          </cell>
          <cell r="BB21">
            <v>67</v>
          </cell>
          <cell r="BE21">
            <v>7</v>
          </cell>
          <cell r="BF21">
            <v>77</v>
          </cell>
          <cell r="BI21">
            <v>4</v>
          </cell>
          <cell r="BJ21">
            <v>93</v>
          </cell>
          <cell r="BK21">
            <v>40</v>
          </cell>
          <cell r="BL21">
            <v>4.62</v>
          </cell>
          <cell r="BM21">
            <v>0.82</v>
          </cell>
          <cell r="BN21">
            <v>0.2</v>
          </cell>
          <cell r="BO21" t="str">
            <v>signée</v>
          </cell>
          <cell r="BP21">
            <v>0.8</v>
          </cell>
          <cell r="BQ21" t="str">
            <v>signée</v>
          </cell>
          <cell r="BR21" t="str">
            <v>CAF</v>
          </cell>
          <cell r="BT21" t="str">
            <v>signée</v>
          </cell>
          <cell r="BX21" t="str">
            <v>signé</v>
          </cell>
          <cell r="BY21">
            <v>2533</v>
          </cell>
          <cell r="BZ21">
            <v>4173</v>
          </cell>
          <cell r="CA21">
            <v>3164.35</v>
          </cell>
          <cell r="CE21" t="str">
            <v>ECS ind</v>
          </cell>
          <cell r="CF21">
            <v>119720.27</v>
          </cell>
          <cell r="CG21">
            <v>35916.080999999998</v>
          </cell>
          <cell r="CH21">
            <v>53874.121500000001</v>
          </cell>
          <cell r="CI21">
            <v>29930.067500000001</v>
          </cell>
          <cell r="CJ21" t="str">
            <v>-</v>
          </cell>
          <cell r="CK21" t="str">
            <v>-</v>
          </cell>
          <cell r="CL21" t="str">
            <v>-</v>
          </cell>
          <cell r="CM21" t="str">
            <v>-</v>
          </cell>
          <cell r="CN21">
            <v>0</v>
          </cell>
          <cell r="CQ21" t="str">
            <v>oui</v>
          </cell>
          <cell r="CR21">
            <v>122842</v>
          </cell>
          <cell r="CT21">
            <v>2429231</v>
          </cell>
          <cell r="CX21">
            <v>2552073</v>
          </cell>
          <cell r="DE21">
            <v>89790.202499999999</v>
          </cell>
          <cell r="DJ21">
            <v>89790.202499999999</v>
          </cell>
          <cell r="DO21">
            <v>0</v>
          </cell>
          <cell r="DQ21">
            <v>88300</v>
          </cell>
          <cell r="DR21">
            <v>28779</v>
          </cell>
          <cell r="DS21">
            <v>117079</v>
          </cell>
          <cell r="DT21">
            <v>234158</v>
          </cell>
          <cell r="DU21">
            <v>-2228124.7974999999</v>
          </cell>
          <cell r="ED21" t="str">
            <v>G:\Habitat\OPERATIONNEL HABITAT\02- Operations\Photothèque\images locatifs\Amsterdam\persinsert AMSTERDAM.jpg</v>
          </cell>
          <cell r="EE21" t="str">
            <v>G:\Habitat\OPERATIONNEL HABITAT\02- Operations\Photothèque\images locatifs\Amsterdam\Perspectivenewamsterdam.jpg</v>
          </cell>
        </row>
        <row r="22">
          <cell r="A22" t="str">
            <v>ANDROMEDE</v>
          </cell>
          <cell r="B22">
            <v>9440</v>
          </cell>
          <cell r="C22" t="str">
            <v>SUD</v>
          </cell>
          <cell r="D22" t="str">
            <v>Tampon</v>
          </cell>
          <cell r="E22" t="str">
            <v>CENTRE VILLE</v>
          </cell>
          <cell r="F22">
            <v>48</v>
          </cell>
          <cell r="G22" t="str">
            <v>LLS</v>
          </cell>
          <cell r="J22" t="str">
            <v>MV</v>
          </cell>
          <cell r="K22" t="str">
            <v>RF</v>
          </cell>
          <cell r="N22" t="str">
            <v>N.A.</v>
          </cell>
          <cell r="O22" t="str">
            <v>GG</v>
          </cell>
          <cell r="P22" t="str">
            <v>CC</v>
          </cell>
          <cell r="R22">
            <v>2002</v>
          </cell>
          <cell r="T22" t="str">
            <v>depassement bud 700 kE(hors GPA)</v>
          </cell>
          <cell r="U22" t="str">
            <v>BOCQUEE</v>
          </cell>
          <cell r="V22" t="str">
            <v>M - LIVRE/GPA</v>
          </cell>
          <cell r="W22">
            <v>37330</v>
          </cell>
          <cell r="X22" t="str">
            <v>d</v>
          </cell>
          <cell r="Y22" t="str">
            <v>97442202A0125</v>
          </cell>
          <cell r="Z22">
            <v>37886</v>
          </cell>
          <cell r="AA22" t="str">
            <v>o</v>
          </cell>
          <cell r="AB22" t="str">
            <v>validé</v>
          </cell>
          <cell r="AC22" t="str">
            <v/>
          </cell>
          <cell r="AE22">
            <v>37539</v>
          </cell>
          <cell r="AF22" t="str">
            <v>f</v>
          </cell>
          <cell r="AG22" t="str">
            <v>O</v>
          </cell>
          <cell r="AH22">
            <v>37726</v>
          </cell>
          <cell r="AI22" t="str">
            <v>ao</v>
          </cell>
          <cell r="AJ22">
            <v>37970</v>
          </cell>
          <cell r="AK22" t="str">
            <v/>
          </cell>
          <cell r="AL22">
            <v>8.022093634928984</v>
          </cell>
          <cell r="AM22">
            <v>2003</v>
          </cell>
          <cell r="AN22">
            <v>17</v>
          </cell>
          <cell r="AO22">
            <v>38487</v>
          </cell>
          <cell r="AP22">
            <v>38701</v>
          </cell>
          <cell r="AQ22" t="str">
            <v>li</v>
          </cell>
          <cell r="AR22">
            <v>2005</v>
          </cell>
          <cell r="BO22" t="str">
            <v>signée</v>
          </cell>
          <cell r="BQ22" t="str">
            <v>signée</v>
          </cell>
          <cell r="BX22" t="str">
            <v>signé</v>
          </cell>
          <cell r="CA22">
            <v>3750.93</v>
          </cell>
          <cell r="CE22" t="str">
            <v>ECS ind</v>
          </cell>
          <cell r="CF22">
            <v>105960</v>
          </cell>
          <cell r="CG22">
            <v>31788</v>
          </cell>
          <cell r="CH22">
            <v>47682</v>
          </cell>
          <cell r="CI22">
            <v>26490</v>
          </cell>
          <cell r="CJ22" t="str">
            <v>-</v>
          </cell>
          <cell r="CK22" t="str">
            <v>-</v>
          </cell>
          <cell r="CL22" t="str">
            <v>-</v>
          </cell>
          <cell r="CM22" t="str">
            <v>-</v>
          </cell>
          <cell r="CN22">
            <v>0</v>
          </cell>
          <cell r="CQ22" t="str">
            <v>oui</v>
          </cell>
          <cell r="CR22">
            <v>710000</v>
          </cell>
          <cell r="CT22">
            <v>2604464</v>
          </cell>
          <cell r="CX22">
            <v>3314464</v>
          </cell>
          <cell r="DE22">
            <v>79470</v>
          </cell>
          <cell r="DJ22">
            <v>79470</v>
          </cell>
          <cell r="DO22">
            <v>0</v>
          </cell>
          <cell r="DQ22">
            <v>200000</v>
          </cell>
          <cell r="DR22">
            <v>26490</v>
          </cell>
          <cell r="DS22">
            <v>226490</v>
          </cell>
          <cell r="DT22">
            <v>452980</v>
          </cell>
          <cell r="DU22">
            <v>-2782014</v>
          </cell>
          <cell r="ED22" t="str">
            <v>G:\Habitat\OPERATIONNEL HABITAT\02- Operations\Photothèque\images locatifs\Andromede\andromède 12 juillet photos chantier (2).jpg</v>
          </cell>
          <cell r="EE22" t="str">
            <v>G:\Habitat\OPERATIONNEL HABITAT\02- Operations\Photothèque\images locatifs\Andromede\DSC_0113.jpg</v>
          </cell>
        </row>
        <row r="23">
          <cell r="A23" t="str">
            <v>ANTHURA 1</v>
          </cell>
          <cell r="C23" t="str">
            <v>EST</v>
          </cell>
          <cell r="D23" t="str">
            <v>Saint-André</v>
          </cell>
          <cell r="E23" t="str">
            <v>ZAC fayard</v>
          </cell>
          <cell r="F23">
            <v>40</v>
          </cell>
          <cell r="G23" t="str">
            <v>PLS</v>
          </cell>
          <cell r="J23" t="str">
            <v>COL</v>
          </cell>
          <cell r="K23" t="str">
            <v>ACQ</v>
          </cell>
          <cell r="M23" t="str">
            <v>maitrisé</v>
          </cell>
          <cell r="N23" t="str">
            <v>JPM</v>
          </cell>
          <cell r="P23" t="str">
            <v>CC</v>
          </cell>
          <cell r="R23">
            <v>2009</v>
          </cell>
          <cell r="T23" t="str">
            <v xml:space="preserve">VEFA/ALOGIA </v>
          </cell>
          <cell r="AA23" t="str">
            <v/>
          </cell>
          <cell r="AC23" t="str">
            <v/>
          </cell>
          <cell r="AE23">
            <v>39813</v>
          </cell>
          <cell r="AF23" t="str">
            <v>f</v>
          </cell>
          <cell r="AI23" t="str">
            <v/>
          </cell>
          <cell r="AK23" t="str">
            <v/>
          </cell>
          <cell r="AL23">
            <v>0</v>
          </cell>
          <cell r="AQ23" t="str">
            <v/>
          </cell>
          <cell r="CJ23" t="str">
            <v>-</v>
          </cell>
          <cell r="CK23" t="str">
            <v>CALYON</v>
          </cell>
          <cell r="CL23" t="str">
            <v>-</v>
          </cell>
          <cell r="CM23" t="str">
            <v>-</v>
          </cell>
          <cell r="CN23">
            <v>0</v>
          </cell>
          <cell r="CQ23" t="str">
            <v>non</v>
          </cell>
          <cell r="CX23">
            <v>0</v>
          </cell>
          <cell r="DE23">
            <v>0</v>
          </cell>
          <cell r="DJ23">
            <v>0</v>
          </cell>
          <cell r="DO23">
            <v>0</v>
          </cell>
          <cell r="DS23">
            <v>0</v>
          </cell>
          <cell r="DT23">
            <v>0</v>
          </cell>
          <cell r="DU23">
            <v>0</v>
          </cell>
          <cell r="DV23" t="str">
            <v>ALLOGIA</v>
          </cell>
          <cell r="ED23" t="str">
            <v>G:\Habitat\OPERATIONNEL HABITAT\02- Operations\Photothèque\image non disponible.jpg</v>
          </cell>
          <cell r="EE23" t="str">
            <v>G:\Habitat\OPERATIONNEL HABITAT\02- Operations\Photothèque\image non disponible.jpg</v>
          </cell>
        </row>
        <row r="24">
          <cell r="A24" t="str">
            <v>ANTHURA 2</v>
          </cell>
          <cell r="C24" t="str">
            <v>EST</v>
          </cell>
          <cell r="D24" t="str">
            <v>Saint-André</v>
          </cell>
          <cell r="E24" t="str">
            <v>ZAC fayard</v>
          </cell>
          <cell r="F24">
            <v>64</v>
          </cell>
          <cell r="G24" t="str">
            <v>LLS</v>
          </cell>
          <cell r="J24" t="str">
            <v>COL</v>
          </cell>
          <cell r="K24" t="str">
            <v>ACQ</v>
          </cell>
          <cell r="M24" t="str">
            <v>maitrisé</v>
          </cell>
          <cell r="N24" t="str">
            <v>JPM</v>
          </cell>
          <cell r="P24" t="str">
            <v>CC</v>
          </cell>
          <cell r="R24">
            <v>2009</v>
          </cell>
          <cell r="T24" t="str">
            <v xml:space="preserve">VEFA/ALOGIA </v>
          </cell>
          <cell r="AA24" t="str">
            <v/>
          </cell>
          <cell r="AC24" t="str">
            <v/>
          </cell>
          <cell r="AE24">
            <v>39813</v>
          </cell>
          <cell r="AF24" t="str">
            <v>f</v>
          </cell>
          <cell r="AI24" t="str">
            <v/>
          </cell>
          <cell r="AK24" t="str">
            <v/>
          </cell>
          <cell r="AL24">
            <v>0</v>
          </cell>
          <cell r="AQ24" t="str">
            <v/>
          </cell>
          <cell r="CJ24" t="str">
            <v>-</v>
          </cell>
          <cell r="CK24" t="str">
            <v>CALYON</v>
          </cell>
          <cell r="CL24" t="str">
            <v>-</v>
          </cell>
          <cell r="CM24" t="str">
            <v>-</v>
          </cell>
          <cell r="CN24">
            <v>0</v>
          </cell>
          <cell r="CQ24" t="str">
            <v>non</v>
          </cell>
          <cell r="CX24">
            <v>0</v>
          </cell>
          <cell r="DE24">
            <v>0</v>
          </cell>
          <cell r="DJ24">
            <v>0</v>
          </cell>
          <cell r="DO24">
            <v>0</v>
          </cell>
          <cell r="DS24">
            <v>0</v>
          </cell>
          <cell r="DT24">
            <v>0</v>
          </cell>
          <cell r="DU24">
            <v>0</v>
          </cell>
          <cell r="DV24" t="str">
            <v>ALLOGIA</v>
          </cell>
          <cell r="ED24" t="str">
            <v>G:\Habitat\OPERATIONNEL HABITAT\02- Operations\Photothèque\image non disponible.jpg</v>
          </cell>
          <cell r="EE24" t="str">
            <v>G:\Habitat\OPERATIONNEL HABITAT\02- Operations\Photothèque\image non disponible.jpg</v>
          </cell>
        </row>
        <row r="25">
          <cell r="A25" t="str">
            <v>ANTHURIUMS ex CHAGOS 2</v>
          </cell>
          <cell r="B25">
            <v>9695</v>
          </cell>
          <cell r="C25" t="str">
            <v>EST</v>
          </cell>
          <cell r="D25" t="str">
            <v>Saint-André</v>
          </cell>
          <cell r="E25" t="str">
            <v>RHI 2 LES MANGUIERS</v>
          </cell>
          <cell r="F25">
            <v>18</v>
          </cell>
          <cell r="G25" t="str">
            <v>LLS</v>
          </cell>
          <cell r="J25" t="str">
            <v>COL</v>
          </cell>
          <cell r="K25" t="str">
            <v>CF</v>
          </cell>
          <cell r="L25" t="str">
            <v>SIDR</v>
          </cell>
          <cell r="M25" t="str">
            <v>maitrisé</v>
          </cell>
          <cell r="N25" t="str">
            <v>BB</v>
          </cell>
          <cell r="O25" t="str">
            <v>JMO</v>
          </cell>
          <cell r="P25" t="str">
            <v>CC</v>
          </cell>
          <cell r="Q25" t="str">
            <v>SPG</v>
          </cell>
          <cell r="R25">
            <v>2007</v>
          </cell>
          <cell r="S25">
            <v>0.75</v>
          </cell>
          <cell r="T25" t="str">
            <v>attente  VRD Rhi les manguiers/AO commun</v>
          </cell>
          <cell r="U25" t="str">
            <v>GROUARD</v>
          </cell>
          <cell r="V25" t="str">
            <v>H - APPEL D'OFFRES</v>
          </cell>
          <cell r="W25">
            <v>39352</v>
          </cell>
          <cell r="X25" t="str">
            <v>d</v>
          </cell>
          <cell r="Y25" t="str">
            <v>97440907a0532</v>
          </cell>
          <cell r="Z25">
            <v>39462</v>
          </cell>
          <cell r="AA25" t="str">
            <v>o</v>
          </cell>
          <cell r="AB25">
            <v>39337</v>
          </cell>
          <cell r="AC25" t="str">
            <v>v</v>
          </cell>
          <cell r="AD25">
            <v>39597</v>
          </cell>
          <cell r="AE25">
            <v>39353</v>
          </cell>
          <cell r="AF25" t="str">
            <v>f</v>
          </cell>
          <cell r="AG25">
            <v>39464</v>
          </cell>
          <cell r="AH25">
            <v>39722</v>
          </cell>
          <cell r="AI25" t="str">
            <v>ao</v>
          </cell>
          <cell r="AJ25">
            <v>39873</v>
          </cell>
          <cell r="AK25" t="str">
            <v>ch</v>
          </cell>
          <cell r="AL25">
            <v>4.9644923724355605</v>
          </cell>
          <cell r="AM25">
            <v>2009</v>
          </cell>
          <cell r="AN25">
            <v>16</v>
          </cell>
          <cell r="AO25">
            <v>40360</v>
          </cell>
          <cell r="AP25">
            <v>40375</v>
          </cell>
          <cell r="AQ25" t="str">
            <v/>
          </cell>
          <cell r="AR25">
            <v>2010</v>
          </cell>
          <cell r="BL25">
            <v>5.82</v>
          </cell>
          <cell r="CJ25" t="str">
            <v>SCI Saint André</v>
          </cell>
          <cell r="CK25" t="str">
            <v>INFI</v>
          </cell>
          <cell r="CL25">
            <v>39773</v>
          </cell>
          <cell r="CM25" t="str">
            <v>-</v>
          </cell>
          <cell r="CN25">
            <v>0</v>
          </cell>
          <cell r="CO25" t="str">
            <v>199 undecies A</v>
          </cell>
          <cell r="CQ25" t="str">
            <v>non</v>
          </cell>
          <cell r="CX25">
            <v>0</v>
          </cell>
          <cell r="DE25">
            <v>0</v>
          </cell>
          <cell r="DJ25">
            <v>0</v>
          </cell>
          <cell r="DO25">
            <v>0</v>
          </cell>
          <cell r="DS25">
            <v>0</v>
          </cell>
          <cell r="DT25">
            <v>0</v>
          </cell>
          <cell r="DU25">
            <v>0</v>
          </cell>
          <cell r="ED25" t="str">
            <v>G:\Habitat\OPERATIONNEL HABITAT\02- Operations\Photothèque\image non disponible.jpg</v>
          </cell>
          <cell r="EE25" t="str">
            <v>G:\Habitat\OPERATIONNEL HABITAT\02- Operations\Photothèque\image non disponible.jpg</v>
          </cell>
        </row>
        <row r="26">
          <cell r="A26" t="str">
            <v>ARBRE DU VOYAGEUR - Mandarinier</v>
          </cell>
          <cell r="B26">
            <v>9748</v>
          </cell>
          <cell r="C26" t="str">
            <v>SUD</v>
          </cell>
          <cell r="D26" t="str">
            <v>Saint-Pierre</v>
          </cell>
          <cell r="F26">
            <v>72</v>
          </cell>
          <cell r="G26" t="str">
            <v>LLS</v>
          </cell>
          <cell r="J26" t="str">
            <v>COL</v>
          </cell>
          <cell r="K26" t="str">
            <v>ACQ</v>
          </cell>
          <cell r="L26" t="str">
            <v>autres</v>
          </cell>
          <cell r="M26" t="str">
            <v>autres</v>
          </cell>
          <cell r="N26" t="str">
            <v>PC</v>
          </cell>
          <cell r="P26" t="str">
            <v>CS</v>
          </cell>
          <cell r="R26">
            <v>2009</v>
          </cell>
          <cell r="T26" t="str">
            <v>OCEANIS</v>
          </cell>
          <cell r="U26" t="str">
            <v>Goetz</v>
          </cell>
          <cell r="V26" t="str">
            <v>J - PREPARATION MARCHES</v>
          </cell>
          <cell r="W26">
            <v>39569</v>
          </cell>
          <cell r="X26" t="str">
            <v>d</v>
          </cell>
          <cell r="Z26" t="str">
            <v>obtenu</v>
          </cell>
          <cell r="AA26" t="str">
            <v/>
          </cell>
          <cell r="AB26">
            <v>39708</v>
          </cell>
          <cell r="AC26" t="str">
            <v>v</v>
          </cell>
          <cell r="AD26">
            <v>39710</v>
          </cell>
          <cell r="AF26" t="str">
            <v/>
          </cell>
          <cell r="AH26">
            <v>39568</v>
          </cell>
          <cell r="AI26" t="str">
            <v>ao</v>
          </cell>
          <cell r="AJ26">
            <v>39736</v>
          </cell>
          <cell r="AK26" t="str">
            <v>ch</v>
          </cell>
          <cell r="AL26">
            <v>5.5234087322461862</v>
          </cell>
          <cell r="AM26">
            <v>2008</v>
          </cell>
          <cell r="AN26">
            <v>14</v>
          </cell>
          <cell r="AO26">
            <v>40162</v>
          </cell>
          <cell r="AP26">
            <v>40177</v>
          </cell>
          <cell r="AQ26" t="str">
            <v/>
          </cell>
          <cell r="AR26">
            <v>2009</v>
          </cell>
          <cell r="CJ26" t="str">
            <v>-</v>
          </cell>
          <cell r="CK26" t="str">
            <v>ALCYOM</v>
          </cell>
          <cell r="CL26" t="str">
            <v>-</v>
          </cell>
          <cell r="CM26" t="str">
            <v>-</v>
          </cell>
          <cell r="CN26">
            <v>0</v>
          </cell>
          <cell r="CQ26" t="str">
            <v>non</v>
          </cell>
          <cell r="CX26">
            <v>0</v>
          </cell>
          <cell r="DE26">
            <v>0</v>
          </cell>
          <cell r="DJ26">
            <v>0</v>
          </cell>
          <cell r="DO26">
            <v>0</v>
          </cell>
          <cell r="DS26">
            <v>0</v>
          </cell>
          <cell r="DT26">
            <v>0</v>
          </cell>
          <cell r="DU26">
            <v>0</v>
          </cell>
          <cell r="DV26" t="str">
            <v>OCEANIS</v>
          </cell>
          <cell r="ED26" t="str">
            <v>G:\Habitat\OPERATIONNEL HABITAT\02- Operations\Photothèque\image non disponible.jpg</v>
          </cell>
          <cell r="EE26" t="str">
            <v>G:\Habitat\OPERATIONNEL HABITAT\02- Operations\Photothèque\image non disponible.jpg</v>
          </cell>
        </row>
        <row r="27">
          <cell r="A27" t="str">
            <v>ATLANTIDE</v>
          </cell>
          <cell r="B27">
            <v>9506</v>
          </cell>
          <cell r="C27" t="str">
            <v>OUEST</v>
          </cell>
          <cell r="D27" t="str">
            <v>Port</v>
          </cell>
          <cell r="E27" t="str">
            <v>RHI SAY PISCINE</v>
          </cell>
          <cell r="F27">
            <v>49</v>
          </cell>
          <cell r="G27" t="str">
            <v>LLTS</v>
          </cell>
          <cell r="J27" t="str">
            <v>COL</v>
          </cell>
          <cell r="K27" t="str">
            <v>CF</v>
          </cell>
          <cell r="L27" t="str">
            <v>SIDR</v>
          </cell>
          <cell r="N27" t="str">
            <v>CLa</v>
          </cell>
          <cell r="O27" t="str">
            <v>GG</v>
          </cell>
          <cell r="P27" t="str">
            <v>CC</v>
          </cell>
          <cell r="Q27" t="str">
            <v>OP</v>
          </cell>
          <cell r="R27">
            <v>2003</v>
          </cell>
          <cell r="T27" t="str">
            <v>LITIGE Remondi/portail dégradation après fin GPA</v>
          </cell>
          <cell r="U27" t="str">
            <v>ESPACE CREATION</v>
          </cell>
          <cell r="V27" t="str">
            <v>M - LIVRE/GPA</v>
          </cell>
          <cell r="W27">
            <v>37840</v>
          </cell>
          <cell r="X27" t="str">
            <v>d</v>
          </cell>
          <cell r="Y27" t="str">
            <v>97440703A0061</v>
          </cell>
          <cell r="Z27">
            <v>37907</v>
          </cell>
          <cell r="AA27" t="str">
            <v>o</v>
          </cell>
          <cell r="AB27" t="str">
            <v>validé</v>
          </cell>
          <cell r="AC27" t="str">
            <v/>
          </cell>
          <cell r="AE27">
            <v>37887</v>
          </cell>
          <cell r="AF27" t="str">
            <v>f</v>
          </cell>
          <cell r="AG27" t="str">
            <v>O</v>
          </cell>
          <cell r="AH27">
            <v>38104</v>
          </cell>
          <cell r="AI27" t="str">
            <v>ao</v>
          </cell>
          <cell r="AJ27">
            <v>38236</v>
          </cell>
          <cell r="AK27" t="str">
            <v/>
          </cell>
          <cell r="AL27">
            <v>4.3398211467648604</v>
          </cell>
          <cell r="AM27">
            <v>2004</v>
          </cell>
          <cell r="AN27">
            <v>17</v>
          </cell>
          <cell r="AO27">
            <v>38754</v>
          </cell>
          <cell r="AP27">
            <v>38825</v>
          </cell>
          <cell r="AQ27" t="str">
            <v>li</v>
          </cell>
          <cell r="AR27">
            <v>2006</v>
          </cell>
          <cell r="BN27">
            <v>0.2</v>
          </cell>
          <cell r="BO27" t="str">
            <v>signée</v>
          </cell>
          <cell r="BP27">
            <v>0.8</v>
          </cell>
          <cell r="BQ27" t="str">
            <v>signée</v>
          </cell>
          <cell r="BX27" t="str">
            <v>signé</v>
          </cell>
          <cell r="CA27">
            <v>3874.22</v>
          </cell>
          <cell r="CE27" t="str">
            <v>ECS ind</v>
          </cell>
          <cell r="CF27">
            <v>142783</v>
          </cell>
          <cell r="CG27">
            <v>42834</v>
          </cell>
          <cell r="CH27">
            <v>64252</v>
          </cell>
          <cell r="CI27">
            <v>35695</v>
          </cell>
          <cell r="CJ27" t="str">
            <v>-</v>
          </cell>
          <cell r="CK27" t="str">
            <v>-</v>
          </cell>
          <cell r="CL27" t="str">
            <v>-</v>
          </cell>
          <cell r="CM27" t="str">
            <v>-</v>
          </cell>
          <cell r="CN27">
            <v>0</v>
          </cell>
          <cell r="CQ27" t="str">
            <v>oui</v>
          </cell>
          <cell r="CR27">
            <v>235390</v>
          </cell>
          <cell r="CT27">
            <v>2663744</v>
          </cell>
          <cell r="CX27">
            <v>2899134</v>
          </cell>
          <cell r="DE27">
            <v>107086</v>
          </cell>
          <cell r="DJ27">
            <v>107086</v>
          </cell>
          <cell r="DO27">
            <v>0</v>
          </cell>
          <cell r="DQ27">
            <v>96207</v>
          </cell>
          <cell r="DR27">
            <v>42875</v>
          </cell>
          <cell r="DS27">
            <v>139082</v>
          </cell>
          <cell r="DT27">
            <v>278164</v>
          </cell>
          <cell r="DU27">
            <v>-2513884</v>
          </cell>
          <cell r="ED27" t="str">
            <v>G:\Habitat\OPERATIONNEL HABITAT\02- Operations\Photothèque\images locatifs\Atlantides\atlantide pers 1.jpg</v>
          </cell>
          <cell r="EE27" t="str">
            <v>G:\Habitat\OPERATIONNEL HABITAT\02- Operations\Photothèque\images locatifs\Atlantides\présentation atlandide.jpg</v>
          </cell>
        </row>
        <row r="28">
          <cell r="A28" t="str">
            <v>ATTES 1/2(VAVANGUES)</v>
          </cell>
          <cell r="B28">
            <v>9727</v>
          </cell>
          <cell r="C28" t="str">
            <v>OUEST</v>
          </cell>
          <cell r="D28" t="str">
            <v>Saint-Leu</v>
          </cell>
          <cell r="E28" t="str">
            <v>RHI LES ATTES</v>
          </cell>
          <cell r="F28">
            <v>59</v>
          </cell>
          <cell r="G28" t="str">
            <v>LLTS</v>
          </cell>
          <cell r="J28" t="str">
            <v>COL</v>
          </cell>
          <cell r="K28" t="str">
            <v>CF</v>
          </cell>
          <cell r="L28" t="str">
            <v>SIDR</v>
          </cell>
          <cell r="M28" t="str">
            <v>prob foncier</v>
          </cell>
          <cell r="N28" t="str">
            <v>PC</v>
          </cell>
          <cell r="O28" t="str">
            <v>DL</v>
          </cell>
          <cell r="P28" t="str">
            <v>CS</v>
          </cell>
          <cell r="Q28" t="str">
            <v>SG</v>
          </cell>
          <cell r="R28">
            <v>2009</v>
          </cell>
          <cell r="S28">
            <v>0.25</v>
          </cell>
          <cell r="T28" t="str">
            <v>EPFR ?/PLU en cours de modif</v>
          </cell>
          <cell r="U28" t="str">
            <v>LUCAS</v>
          </cell>
          <cell r="V28" t="str">
            <v>E - APS / PC</v>
          </cell>
          <cell r="W28">
            <v>39902</v>
          </cell>
          <cell r="AA28" t="str">
            <v/>
          </cell>
          <cell r="AB28">
            <v>39887</v>
          </cell>
          <cell r="AC28" t="str">
            <v>v</v>
          </cell>
          <cell r="AE28">
            <v>40040</v>
          </cell>
          <cell r="AH28">
            <v>40024</v>
          </cell>
          <cell r="AI28" t="str">
            <v/>
          </cell>
          <cell r="AJ28">
            <v>40147</v>
          </cell>
          <cell r="AK28" t="str">
            <v/>
          </cell>
          <cell r="AL28">
            <v>4.0439242503945287</v>
          </cell>
          <cell r="AM28">
            <v>2009</v>
          </cell>
          <cell r="AN28">
            <v>18</v>
          </cell>
          <cell r="AO28">
            <v>40693</v>
          </cell>
          <cell r="AP28">
            <v>40708</v>
          </cell>
          <cell r="AQ28" t="str">
            <v/>
          </cell>
          <cell r="AR28">
            <v>2011</v>
          </cell>
          <cell r="CJ28" t="str">
            <v>-</v>
          </cell>
          <cell r="CK28" t="str">
            <v>-</v>
          </cell>
          <cell r="CL28" t="str">
            <v>-</v>
          </cell>
          <cell r="CM28" t="str">
            <v>-</v>
          </cell>
          <cell r="CN28">
            <v>0</v>
          </cell>
          <cell r="CQ28" t="str">
            <v>non</v>
          </cell>
          <cell r="CX28">
            <v>0</v>
          </cell>
          <cell r="DE28">
            <v>0</v>
          </cell>
          <cell r="DJ28">
            <v>0</v>
          </cell>
          <cell r="DO28">
            <v>0</v>
          </cell>
          <cell r="DS28">
            <v>0</v>
          </cell>
          <cell r="DT28">
            <v>0</v>
          </cell>
          <cell r="DU28">
            <v>0</v>
          </cell>
          <cell r="ED28" t="str">
            <v>G:\Habitat\OPERATIONNEL HABITAT\02- Operations\Photothèque\image non disponible.jpg</v>
          </cell>
          <cell r="EE28" t="str">
            <v>G:\Habitat\OPERATIONNEL HABITAT\02- Operations\Photothèque\image non disponible.jpg</v>
          </cell>
        </row>
        <row r="29">
          <cell r="A29" t="str">
            <v>ATTES 3()</v>
          </cell>
          <cell r="C29" t="str">
            <v>OUEST</v>
          </cell>
          <cell r="D29" t="str">
            <v>Saint-Leu</v>
          </cell>
          <cell r="E29" t="str">
            <v>RHI LES ATTES</v>
          </cell>
          <cell r="F29">
            <v>10</v>
          </cell>
          <cell r="G29" t="str">
            <v>PLS</v>
          </cell>
          <cell r="J29" t="str">
            <v>COL</v>
          </cell>
          <cell r="K29" t="str">
            <v>CF</v>
          </cell>
          <cell r="L29" t="str">
            <v>SIDR</v>
          </cell>
          <cell r="N29" t="str">
            <v>PC</v>
          </cell>
          <cell r="Q29" t="str">
            <v>SG</v>
          </cell>
          <cell r="R29">
            <v>2011</v>
          </cell>
          <cell r="AA29" t="str">
            <v/>
          </cell>
          <cell r="AC29" t="str">
            <v/>
          </cell>
          <cell r="AI29" t="str">
            <v/>
          </cell>
          <cell r="AK29" t="str">
            <v/>
          </cell>
          <cell r="AL29">
            <v>0</v>
          </cell>
          <cell r="AQ29" t="str">
            <v/>
          </cell>
          <cell r="CJ29" t="str">
            <v>-</v>
          </cell>
          <cell r="CK29" t="str">
            <v>-</v>
          </cell>
          <cell r="CL29" t="str">
            <v>-</v>
          </cell>
          <cell r="CM29" t="str">
            <v>-</v>
          </cell>
          <cell r="CN29">
            <v>0</v>
          </cell>
          <cell r="CQ29" t="str">
            <v>non</v>
          </cell>
          <cell r="CX29">
            <v>0</v>
          </cell>
          <cell r="DE29">
            <v>0</v>
          </cell>
          <cell r="DJ29">
            <v>0</v>
          </cell>
          <cell r="DO29">
            <v>0</v>
          </cell>
          <cell r="DS29">
            <v>0</v>
          </cell>
          <cell r="DT29">
            <v>0</v>
          </cell>
          <cell r="DU29">
            <v>0</v>
          </cell>
          <cell r="ED29" t="str">
            <v>G:\Habitat\OPERATIONNEL HABITAT\02- Operations\Photothèque\image non disponible.jpg</v>
          </cell>
          <cell r="EE29" t="str">
            <v>G:\Habitat\OPERATIONNEL HABITAT\02- Operations\Photothèque\image non disponible.jpg</v>
          </cell>
        </row>
        <row r="30">
          <cell r="A30" t="str">
            <v>ATTES 4()</v>
          </cell>
          <cell r="C30" t="str">
            <v>OUEST</v>
          </cell>
          <cell r="D30" t="str">
            <v>Saint-Leu</v>
          </cell>
          <cell r="E30" t="str">
            <v>RHI LES ATTES</v>
          </cell>
          <cell r="F30">
            <v>40</v>
          </cell>
          <cell r="G30" t="str">
            <v>LLTS</v>
          </cell>
          <cell r="J30" t="str">
            <v>COL</v>
          </cell>
          <cell r="K30" t="str">
            <v>CF</v>
          </cell>
          <cell r="L30" t="str">
            <v>SIDR</v>
          </cell>
          <cell r="N30" t="str">
            <v>PC</v>
          </cell>
          <cell r="Q30" t="str">
            <v>SG</v>
          </cell>
          <cell r="R30">
            <v>2011</v>
          </cell>
          <cell r="AA30" t="str">
            <v/>
          </cell>
          <cell r="AC30" t="str">
            <v/>
          </cell>
          <cell r="AI30" t="str">
            <v/>
          </cell>
          <cell r="AK30" t="str">
            <v/>
          </cell>
          <cell r="AL30">
            <v>0</v>
          </cell>
          <cell r="AQ30" t="str">
            <v/>
          </cell>
          <cell r="CJ30" t="str">
            <v>-</v>
          </cell>
          <cell r="CK30" t="str">
            <v>-</v>
          </cell>
          <cell r="CL30" t="str">
            <v>-</v>
          </cell>
          <cell r="CM30" t="str">
            <v>-</v>
          </cell>
          <cell r="CN30">
            <v>0</v>
          </cell>
          <cell r="CQ30" t="str">
            <v>non</v>
          </cell>
          <cell r="CX30">
            <v>0</v>
          </cell>
          <cell r="DE30">
            <v>0</v>
          </cell>
          <cell r="DJ30">
            <v>0</v>
          </cell>
          <cell r="DO30">
            <v>0</v>
          </cell>
          <cell r="DS30">
            <v>0</v>
          </cell>
          <cell r="DT30">
            <v>0</v>
          </cell>
          <cell r="DU30">
            <v>0</v>
          </cell>
          <cell r="ED30" t="str">
            <v>G:\Habitat\OPERATIONNEL HABITAT\02- Operations\Photothèque\image non disponible.jpg</v>
          </cell>
          <cell r="EE30" t="str">
            <v>G:\Habitat\OPERATIONNEL HABITAT\02- Operations\Photothèque\image non disponible.jpg</v>
          </cell>
        </row>
        <row r="31">
          <cell r="A31" t="str">
            <v>ATTES ACC(LES TAHAIS)</v>
          </cell>
          <cell r="C31" t="str">
            <v>OUEST</v>
          </cell>
          <cell r="D31" t="str">
            <v>Saint-Leu</v>
          </cell>
          <cell r="E31" t="str">
            <v>RHI LES ATTES</v>
          </cell>
          <cell r="F31">
            <v>16</v>
          </cell>
          <cell r="G31" t="str">
            <v>ACC</v>
          </cell>
          <cell r="J31" t="str">
            <v>COL</v>
          </cell>
          <cell r="K31" t="str">
            <v>CF</v>
          </cell>
          <cell r="L31" t="str">
            <v>SIDR</v>
          </cell>
          <cell r="M31" t="str">
            <v>acq en DUP</v>
          </cell>
          <cell r="N31" t="str">
            <v>PC</v>
          </cell>
          <cell r="O31" t="str">
            <v>DL</v>
          </cell>
          <cell r="P31" t="str">
            <v>NA</v>
          </cell>
          <cell r="Q31" t="str">
            <v>SG</v>
          </cell>
          <cell r="R31">
            <v>2008</v>
          </cell>
          <cell r="U31" t="str">
            <v>Fabry</v>
          </cell>
          <cell r="V31" t="str">
            <v>E - APS / PC</v>
          </cell>
          <cell r="W31">
            <v>39807</v>
          </cell>
          <cell r="X31" t="str">
            <v>d</v>
          </cell>
          <cell r="AA31" t="str">
            <v/>
          </cell>
          <cell r="AB31">
            <v>39798</v>
          </cell>
          <cell r="AC31" t="str">
            <v>v</v>
          </cell>
          <cell r="AH31">
            <v>39887</v>
          </cell>
          <cell r="AI31" t="str">
            <v>ao</v>
          </cell>
          <cell r="AJ31">
            <v>40071</v>
          </cell>
          <cell r="AK31" t="str">
            <v/>
          </cell>
          <cell r="AL31">
            <v>6.0494476591267752</v>
          </cell>
          <cell r="AM31">
            <v>2009</v>
          </cell>
          <cell r="AN31">
            <v>12</v>
          </cell>
          <cell r="AO31">
            <v>40436</v>
          </cell>
          <cell r="AP31">
            <v>40451</v>
          </cell>
          <cell r="AQ31" t="str">
            <v/>
          </cell>
          <cell r="AR31">
            <v>2011</v>
          </cell>
          <cell r="CJ31" t="str">
            <v>-</v>
          </cell>
          <cell r="CK31" t="str">
            <v>-</v>
          </cell>
          <cell r="CL31" t="str">
            <v>-</v>
          </cell>
          <cell r="CM31" t="str">
            <v>-</v>
          </cell>
          <cell r="CN31">
            <v>0</v>
          </cell>
          <cell r="CQ31" t="str">
            <v>non</v>
          </cell>
          <cell r="CX31">
            <v>0</v>
          </cell>
          <cell r="DE31">
            <v>0</v>
          </cell>
          <cell r="DJ31">
            <v>0</v>
          </cell>
          <cell r="DO31">
            <v>0</v>
          </cell>
          <cell r="DS31">
            <v>0</v>
          </cell>
          <cell r="DT31">
            <v>0</v>
          </cell>
          <cell r="DU31">
            <v>0</v>
          </cell>
          <cell r="ED31" t="str">
            <v>G:\Habitat\OPERATIONNEL HABITAT\02- Operations\Photothèque\image non disponible.jpg</v>
          </cell>
          <cell r="EE31" t="str">
            <v>G:\Habitat\OPERATIONNEL HABITAT\02- Operations\Photothèque\image non disponible.jpg</v>
          </cell>
        </row>
        <row r="32">
          <cell r="A32" t="str">
            <v>ATTES LESg</v>
          </cell>
          <cell r="C32" t="str">
            <v>OUEST</v>
          </cell>
          <cell r="D32" t="str">
            <v>Saint-Leu</v>
          </cell>
          <cell r="E32" t="str">
            <v>RHI LES ATTES</v>
          </cell>
          <cell r="F32">
            <v>22</v>
          </cell>
          <cell r="G32" t="str">
            <v>LESG</v>
          </cell>
          <cell r="J32" t="str">
            <v>IND</v>
          </cell>
          <cell r="K32" t="str">
            <v>CF</v>
          </cell>
          <cell r="L32" t="str">
            <v>SIDR</v>
          </cell>
          <cell r="N32" t="str">
            <v>BS</v>
          </cell>
          <cell r="Q32" t="str">
            <v>SG</v>
          </cell>
          <cell r="R32">
            <v>2010</v>
          </cell>
          <cell r="AA32" t="str">
            <v/>
          </cell>
          <cell r="AC32" t="str">
            <v/>
          </cell>
          <cell r="AI32" t="str">
            <v/>
          </cell>
          <cell r="AK32" t="str">
            <v/>
          </cell>
          <cell r="AL32">
            <v>0</v>
          </cell>
          <cell r="AQ32" t="str">
            <v/>
          </cell>
          <cell r="CJ32" t="str">
            <v>-</v>
          </cell>
          <cell r="CK32" t="str">
            <v>-</v>
          </cell>
          <cell r="CL32" t="str">
            <v>-</v>
          </cell>
          <cell r="CM32" t="str">
            <v>-</v>
          </cell>
          <cell r="CN32">
            <v>0</v>
          </cell>
          <cell r="CQ32" t="str">
            <v>non</v>
          </cell>
          <cell r="CX32">
            <v>0</v>
          </cell>
          <cell r="DE32">
            <v>0</v>
          </cell>
          <cell r="DJ32">
            <v>0</v>
          </cell>
          <cell r="DO32">
            <v>0</v>
          </cell>
          <cell r="DS32">
            <v>0</v>
          </cell>
          <cell r="DT32">
            <v>0</v>
          </cell>
          <cell r="DU32">
            <v>0</v>
          </cell>
          <cell r="ED32" t="str">
            <v>G:\Habitat\OPERATIONNEL HABITAT\02- Operations\Photothèque\image non disponible.jpg</v>
          </cell>
          <cell r="EE32" t="str">
            <v>G:\Habitat\OPERATIONNEL HABITAT\02- Operations\Photothèque\image non disponible.jpg</v>
          </cell>
        </row>
        <row r="33">
          <cell r="A33" t="str">
            <v>AUSTRALES</v>
          </cell>
          <cell r="B33">
            <v>9333</v>
          </cell>
          <cell r="C33" t="str">
            <v>SUD</v>
          </cell>
          <cell r="D33" t="str">
            <v>Saint-Pierre</v>
          </cell>
          <cell r="E33" t="str">
            <v>RUE DU PRESBYTERE</v>
          </cell>
          <cell r="F33">
            <v>12</v>
          </cell>
          <cell r="G33" t="str">
            <v>LLS</v>
          </cell>
          <cell r="J33" t="str">
            <v>COL</v>
          </cell>
          <cell r="K33" t="str">
            <v>RF</v>
          </cell>
          <cell r="N33" t="str">
            <v>PC</v>
          </cell>
          <cell r="O33" t="str">
            <v>DL</v>
          </cell>
          <cell r="P33" t="str">
            <v>CS</v>
          </cell>
          <cell r="R33">
            <v>2003</v>
          </cell>
          <cell r="T33" t="str">
            <v>ras - fin GPA(conformitée pour déblocage solde LBU)</v>
          </cell>
          <cell r="U33" t="str">
            <v>CARRETIER</v>
          </cell>
          <cell r="V33" t="str">
            <v>M - LIVRE/GPA</v>
          </cell>
          <cell r="W33">
            <v>36732</v>
          </cell>
          <cell r="X33" t="str">
            <v>d</v>
          </cell>
          <cell r="Y33" t="str">
            <v>97441600A0499</v>
          </cell>
          <cell r="Z33">
            <v>37153</v>
          </cell>
          <cell r="AA33" t="str">
            <v>o</v>
          </cell>
          <cell r="AB33" t="str">
            <v>validé</v>
          </cell>
          <cell r="AC33" t="str">
            <v/>
          </cell>
          <cell r="AE33">
            <v>37882</v>
          </cell>
          <cell r="AF33" t="str">
            <v>f</v>
          </cell>
          <cell r="AG33" t="str">
            <v>O</v>
          </cell>
          <cell r="AH33">
            <v>37767</v>
          </cell>
          <cell r="AI33" t="str">
            <v>ao</v>
          </cell>
          <cell r="AJ33">
            <v>38054</v>
          </cell>
          <cell r="AK33" t="str">
            <v/>
          </cell>
          <cell r="AL33">
            <v>9.4358232509205688</v>
          </cell>
          <cell r="AM33">
            <v>2004</v>
          </cell>
          <cell r="AN33">
            <v>14</v>
          </cell>
          <cell r="AO33">
            <v>38480</v>
          </cell>
          <cell r="AP33">
            <v>38520</v>
          </cell>
          <cell r="AQ33" t="str">
            <v>li</v>
          </cell>
          <cell r="AR33">
            <v>2005</v>
          </cell>
          <cell r="BO33" t="str">
            <v>signée</v>
          </cell>
          <cell r="BQ33" t="str">
            <v>signée</v>
          </cell>
          <cell r="BX33" t="str">
            <v>signé</v>
          </cell>
          <cell r="CA33">
            <v>867.2</v>
          </cell>
          <cell r="CE33" t="str">
            <v>pas ECS</v>
          </cell>
          <cell r="CJ33" t="str">
            <v>-</v>
          </cell>
          <cell r="CK33" t="str">
            <v>-</v>
          </cell>
          <cell r="CL33" t="str">
            <v>-</v>
          </cell>
          <cell r="CM33" t="str">
            <v>-</v>
          </cell>
          <cell r="CN33">
            <v>0</v>
          </cell>
          <cell r="CQ33" t="str">
            <v>oui</v>
          </cell>
          <cell r="CR33">
            <v>132980</v>
          </cell>
          <cell r="CT33">
            <v>870284</v>
          </cell>
          <cell r="CX33">
            <v>1003264</v>
          </cell>
          <cell r="DE33">
            <v>0</v>
          </cell>
          <cell r="DJ33">
            <v>0</v>
          </cell>
          <cell r="DO33">
            <v>0</v>
          </cell>
          <cell r="DQ33">
            <v>45031</v>
          </cell>
          <cell r="DS33">
            <v>45031</v>
          </cell>
          <cell r="DT33">
            <v>90062</v>
          </cell>
          <cell r="DU33">
            <v>-913202</v>
          </cell>
          <cell r="ED33" t="str">
            <v>G:\Habitat\OPERATIONNEL HABITAT\02- Operations\Photothèque\images locatifs\Australes\australe - saint pierre 00.jpg</v>
          </cell>
          <cell r="EE33" t="str">
            <v>G:\Habitat\OPERATIONNEL HABITAT\02- Operations\Photothèque\images locatifs\Australes\australe - saint pierre 01.jpg</v>
          </cell>
        </row>
        <row r="34">
          <cell r="A34" t="str">
            <v>AVENIR</v>
          </cell>
          <cell r="B34">
            <v>9619</v>
          </cell>
          <cell r="C34" t="str">
            <v>SUD</v>
          </cell>
          <cell r="D34" t="str">
            <v>Saint-Louis</v>
          </cell>
          <cell r="E34" t="str">
            <v>ZAC AVENIR</v>
          </cell>
          <cell r="F34">
            <v>13</v>
          </cell>
          <cell r="G34" t="str">
            <v>LESG</v>
          </cell>
          <cell r="J34" t="str">
            <v>IND</v>
          </cell>
          <cell r="K34" t="str">
            <v>CF</v>
          </cell>
          <cell r="L34" t="str">
            <v>SIDR</v>
          </cell>
          <cell r="M34" t="str">
            <v>maitrisé</v>
          </cell>
          <cell r="N34" t="str">
            <v>BS</v>
          </cell>
          <cell r="O34" t="str">
            <v>FG</v>
          </cell>
          <cell r="P34" t="str">
            <v>LV</v>
          </cell>
          <cell r="Q34" t="str">
            <v>HBM</v>
          </cell>
          <cell r="R34">
            <v>2005</v>
          </cell>
          <cell r="T34" t="str">
            <v>cloture amenageur ???</v>
          </cell>
          <cell r="U34" t="str">
            <v>SOAA MEUNIER</v>
          </cell>
          <cell r="V34" t="str">
            <v>M - LIVRE/GPA</v>
          </cell>
          <cell r="W34">
            <v>36732</v>
          </cell>
          <cell r="X34" t="str">
            <v>d</v>
          </cell>
          <cell r="Y34" t="str">
            <v>97441405a0479</v>
          </cell>
          <cell r="Z34">
            <v>38720</v>
          </cell>
          <cell r="AA34" t="str">
            <v>o</v>
          </cell>
          <cell r="AB34" t="str">
            <v>validé</v>
          </cell>
          <cell r="AC34" t="str">
            <v/>
          </cell>
          <cell r="AD34">
            <v>0</v>
          </cell>
          <cell r="AE34">
            <v>37882</v>
          </cell>
          <cell r="AF34" t="str">
            <v>f</v>
          </cell>
          <cell r="AG34">
            <v>38695</v>
          </cell>
          <cell r="AH34">
            <v>37767</v>
          </cell>
          <cell r="AI34" t="str">
            <v>ao</v>
          </cell>
          <cell r="AJ34">
            <v>39146</v>
          </cell>
          <cell r="AK34" t="str">
            <v/>
          </cell>
          <cell r="AL34">
            <v>45.337980010520781</v>
          </cell>
          <cell r="AM34">
            <v>2007</v>
          </cell>
          <cell r="AN34">
            <v>18</v>
          </cell>
          <cell r="AO34">
            <v>39696</v>
          </cell>
          <cell r="AP34">
            <v>39711</v>
          </cell>
          <cell r="AQ34" t="str">
            <v>li</v>
          </cell>
          <cell r="AR34">
            <v>2008</v>
          </cell>
          <cell r="CJ34" t="str">
            <v>-</v>
          </cell>
          <cell r="CK34" t="str">
            <v>-</v>
          </cell>
          <cell r="CL34" t="str">
            <v>-</v>
          </cell>
          <cell r="CM34" t="str">
            <v>-</v>
          </cell>
          <cell r="CN34">
            <v>0</v>
          </cell>
          <cell r="CQ34" t="str">
            <v>oui</v>
          </cell>
          <cell r="CX34">
            <v>0</v>
          </cell>
          <cell r="DE34">
            <v>0</v>
          </cell>
          <cell r="DJ34">
            <v>0</v>
          </cell>
          <cell r="DO34">
            <v>0</v>
          </cell>
          <cell r="DS34">
            <v>0</v>
          </cell>
          <cell r="DT34">
            <v>0</v>
          </cell>
          <cell r="DU34">
            <v>0</v>
          </cell>
          <cell r="ED34" t="str">
            <v>G:\Habitat\OPERATIONNEL HABITAT\02- Operations\Photothèque\images locatifs\mail avenir (1).jpg</v>
          </cell>
          <cell r="EE34" t="str">
            <v>G:\Habitat\OPERATIONNEL HABITAT\02- Operations\Photothèque\images locatifs\mail avenir.jpg</v>
          </cell>
        </row>
        <row r="35">
          <cell r="A35" t="str">
            <v>AVOCATIERS</v>
          </cell>
          <cell r="B35">
            <v>9419</v>
          </cell>
          <cell r="C35" t="str">
            <v>EST</v>
          </cell>
          <cell r="D35" t="str">
            <v>Saint-André</v>
          </cell>
          <cell r="E35" t="str">
            <v>ZAC CRESSONIERE</v>
          </cell>
          <cell r="F35">
            <v>102</v>
          </cell>
          <cell r="G35" t="str">
            <v>LLTS</v>
          </cell>
          <cell r="J35" t="str">
            <v>COL</v>
          </cell>
          <cell r="K35" t="str">
            <v>CF</v>
          </cell>
          <cell r="L35" t="str">
            <v>SIDR</v>
          </cell>
          <cell r="N35" t="str">
            <v>CLa</v>
          </cell>
          <cell r="O35" t="str">
            <v>JMO</v>
          </cell>
          <cell r="P35" t="str">
            <v>CC</v>
          </cell>
          <cell r="Q35" t="str">
            <v>SPG</v>
          </cell>
          <cell r="R35">
            <v>2002</v>
          </cell>
          <cell r="T35" t="str">
            <v>ras</v>
          </cell>
          <cell r="U35" t="str">
            <v>BERTIN LEBEIGLE</v>
          </cell>
          <cell r="V35" t="str">
            <v>M - LIVRE/GPA</v>
          </cell>
          <cell r="W35">
            <v>37447</v>
          </cell>
          <cell r="X35" t="str">
            <v>d</v>
          </cell>
          <cell r="Y35" t="str">
            <v>97440902A0250</v>
          </cell>
          <cell r="Z35">
            <v>37574</v>
          </cell>
          <cell r="AA35" t="str">
            <v>o</v>
          </cell>
          <cell r="AB35" t="str">
            <v>validé</v>
          </cell>
          <cell r="AC35" t="str">
            <v/>
          </cell>
          <cell r="AE35">
            <v>37540</v>
          </cell>
          <cell r="AF35" t="str">
            <v>f</v>
          </cell>
          <cell r="AG35" t="str">
            <v>O</v>
          </cell>
          <cell r="AH35">
            <v>37718</v>
          </cell>
          <cell r="AI35" t="str">
            <v>ao</v>
          </cell>
          <cell r="AJ35">
            <v>37879</v>
          </cell>
          <cell r="AK35" t="str">
            <v/>
          </cell>
          <cell r="AL35">
            <v>5.2932667017359281</v>
          </cell>
          <cell r="AM35">
            <v>2003</v>
          </cell>
          <cell r="AN35">
            <v>20</v>
          </cell>
          <cell r="AO35">
            <v>38487</v>
          </cell>
          <cell r="AP35">
            <v>38505</v>
          </cell>
          <cell r="AQ35" t="str">
            <v>li</v>
          </cell>
          <cell r="AR35">
            <v>2005</v>
          </cell>
          <cell r="BO35" t="str">
            <v>signée</v>
          </cell>
          <cell r="BQ35" t="str">
            <v>signée</v>
          </cell>
          <cell r="BX35" t="str">
            <v>signé</v>
          </cell>
          <cell r="CA35">
            <v>7268</v>
          </cell>
          <cell r="CE35" t="str">
            <v>ECS ind</v>
          </cell>
          <cell r="CF35">
            <v>432141</v>
          </cell>
          <cell r="CG35">
            <v>129642</v>
          </cell>
          <cell r="CH35">
            <v>194463</v>
          </cell>
          <cell r="CI35">
            <v>108035</v>
          </cell>
          <cell r="CJ35" t="str">
            <v>-</v>
          </cell>
          <cell r="CK35" t="str">
            <v>-</v>
          </cell>
          <cell r="CL35" t="str">
            <v>-</v>
          </cell>
          <cell r="CM35" t="str">
            <v>-</v>
          </cell>
          <cell r="CN35">
            <v>0</v>
          </cell>
          <cell r="CQ35" t="str">
            <v>oui</v>
          </cell>
          <cell r="CR35">
            <v>608112</v>
          </cell>
          <cell r="CT35">
            <v>4840836</v>
          </cell>
          <cell r="CX35">
            <v>5448948</v>
          </cell>
          <cell r="DE35">
            <v>324105</v>
          </cell>
          <cell r="DJ35">
            <v>324105</v>
          </cell>
          <cell r="DO35">
            <v>0</v>
          </cell>
          <cell r="DQ35">
            <v>354156</v>
          </cell>
          <cell r="DR35">
            <v>108035</v>
          </cell>
          <cell r="DS35">
            <v>462191</v>
          </cell>
          <cell r="DT35">
            <v>924382</v>
          </cell>
          <cell r="DU35">
            <v>-4200461</v>
          </cell>
          <cell r="ED35" t="str">
            <v>G:\Habitat\OPERATIONNEL HABITAT\02- Operations\Photothèque\images locatifs\avocatiers\avocatiers - st andré 00.jpg</v>
          </cell>
          <cell r="EE35" t="str">
            <v>G:\Habitat\OPERATIONNEL HABITAT\02- Operations\Photothèque\images locatifs\avocatiers\avocatiers liv (29).jpg</v>
          </cell>
          <cell r="EG35">
            <v>72000</v>
          </cell>
        </row>
        <row r="36">
          <cell r="A36" t="str">
            <v>BALI</v>
          </cell>
          <cell r="B36">
            <v>9625</v>
          </cell>
          <cell r="C36" t="str">
            <v>SUD</v>
          </cell>
          <cell r="D36" t="str">
            <v>Saint-Louis</v>
          </cell>
          <cell r="E36" t="str">
            <v>ZAC AVENIR</v>
          </cell>
          <cell r="F36">
            <v>20</v>
          </cell>
          <cell r="G36" t="str">
            <v>LLS</v>
          </cell>
          <cell r="J36" t="str">
            <v>MV</v>
          </cell>
          <cell r="K36" t="str">
            <v>CF</v>
          </cell>
          <cell r="L36" t="str">
            <v>SIDR</v>
          </cell>
          <cell r="M36" t="str">
            <v>maitrisé</v>
          </cell>
          <cell r="N36" t="str">
            <v>PC</v>
          </cell>
          <cell r="O36" t="str">
            <v>DL</v>
          </cell>
          <cell r="P36" t="str">
            <v>CS</v>
          </cell>
          <cell r="Q36" t="str">
            <v>HBM</v>
          </cell>
          <cell r="R36">
            <v>2006</v>
          </cell>
          <cell r="S36">
            <v>1</v>
          </cell>
          <cell r="T36" t="str">
            <v>temoin 5/12/2007</v>
          </cell>
          <cell r="U36" t="str">
            <v>MEUNIER</v>
          </cell>
          <cell r="V36" t="str">
            <v>L - CHANTIER EN COURS</v>
          </cell>
          <cell r="W36">
            <v>38700</v>
          </cell>
          <cell r="X36" t="str">
            <v>d</v>
          </cell>
          <cell r="Y36" t="str">
            <v>97441405A0638</v>
          </cell>
          <cell r="Z36">
            <v>38866</v>
          </cell>
          <cell r="AA36" t="str">
            <v>o</v>
          </cell>
          <cell r="AB36">
            <v>38881</v>
          </cell>
          <cell r="AC36" t="str">
            <v>v</v>
          </cell>
          <cell r="AD36">
            <v>38883</v>
          </cell>
          <cell r="AE36">
            <v>38798</v>
          </cell>
          <cell r="AF36" t="str">
            <v>f</v>
          </cell>
          <cell r="AG36">
            <v>38999</v>
          </cell>
          <cell r="AH36">
            <v>38978</v>
          </cell>
          <cell r="AI36" t="str">
            <v>ao</v>
          </cell>
          <cell r="AJ36">
            <v>39139</v>
          </cell>
          <cell r="AK36" t="str">
            <v/>
          </cell>
          <cell r="AL36">
            <v>5.2932667017359281</v>
          </cell>
          <cell r="AM36">
            <v>2007</v>
          </cell>
          <cell r="AN36">
            <v>14</v>
          </cell>
          <cell r="AO36">
            <v>39637</v>
          </cell>
          <cell r="AP36">
            <v>39646</v>
          </cell>
          <cell r="AQ36" t="str">
            <v>li</v>
          </cell>
          <cell r="AR36">
            <v>2008</v>
          </cell>
          <cell r="BA36">
            <v>9</v>
          </cell>
          <cell r="BB36">
            <v>67</v>
          </cell>
          <cell r="BE36">
            <v>8</v>
          </cell>
          <cell r="BF36">
            <v>78</v>
          </cell>
          <cell r="BI36">
            <v>3</v>
          </cell>
          <cell r="BJ36">
            <v>97.3</v>
          </cell>
          <cell r="BK36">
            <v>20</v>
          </cell>
          <cell r="BL36">
            <v>5.62</v>
          </cell>
          <cell r="BM36">
            <v>0.31</v>
          </cell>
          <cell r="BN36">
            <v>0.3</v>
          </cell>
          <cell r="BO36" t="str">
            <v>transmis</v>
          </cell>
          <cell r="BP36">
            <v>0.7</v>
          </cell>
          <cell r="BQ36" t="str">
            <v>transmis</v>
          </cell>
          <cell r="BX36" t="str">
            <v>en attente garanties emprunts</v>
          </cell>
          <cell r="BY36">
            <v>1493</v>
          </cell>
          <cell r="BZ36">
            <v>2284</v>
          </cell>
          <cell r="CA36">
            <v>1554.53</v>
          </cell>
          <cell r="CE36" t="str">
            <v>ECS ind</v>
          </cell>
          <cell r="CF36">
            <v>74000</v>
          </cell>
          <cell r="CG36">
            <v>22200</v>
          </cell>
          <cell r="CH36">
            <v>33300</v>
          </cell>
          <cell r="CI36">
            <v>18500</v>
          </cell>
          <cell r="CJ36" t="str">
            <v>-</v>
          </cell>
          <cell r="CK36" t="str">
            <v>-</v>
          </cell>
          <cell r="CL36" t="str">
            <v>-</v>
          </cell>
          <cell r="CM36" t="str">
            <v>-</v>
          </cell>
          <cell r="CN36">
            <v>0</v>
          </cell>
          <cell r="CQ36" t="str">
            <v>oui</v>
          </cell>
          <cell r="CX36">
            <v>0</v>
          </cell>
          <cell r="DE36">
            <v>55500</v>
          </cell>
          <cell r="DJ36">
            <v>55500</v>
          </cell>
          <cell r="DO36">
            <v>0</v>
          </cell>
          <cell r="DQ36">
            <v>66223</v>
          </cell>
          <cell r="DR36">
            <v>17500</v>
          </cell>
          <cell r="DS36">
            <v>83723</v>
          </cell>
          <cell r="DT36">
            <v>167446</v>
          </cell>
          <cell r="DU36">
            <v>222946</v>
          </cell>
          <cell r="ED36" t="str">
            <v>G:\Habitat\OPERATIONNEL HABITAT\02- Operations\Photothèque\images locatifs\BALI\Vue#1b.jpg</v>
          </cell>
          <cell r="EE36" t="str">
            <v>G:\Habitat\OPERATIONNEL HABITAT\02- Operations\Photothèque\images locatifs\BALI\Vue#3b.jpg</v>
          </cell>
          <cell r="EJ36">
            <v>72000</v>
          </cell>
        </row>
        <row r="37">
          <cell r="A37" t="str">
            <v>BANIANex CHAGOS 3</v>
          </cell>
          <cell r="B37">
            <v>9696</v>
          </cell>
          <cell r="C37" t="str">
            <v>EST</v>
          </cell>
          <cell r="D37" t="str">
            <v>Saint-André</v>
          </cell>
          <cell r="E37" t="str">
            <v>RHI 2 LES MANGUIERS</v>
          </cell>
          <cell r="F37">
            <v>56</v>
          </cell>
          <cell r="G37" t="str">
            <v>LLTS</v>
          </cell>
          <cell r="J37" t="str">
            <v>COL</v>
          </cell>
          <cell r="K37" t="str">
            <v>CF</v>
          </cell>
          <cell r="L37" t="str">
            <v>SIDR</v>
          </cell>
          <cell r="M37" t="str">
            <v>maitrisé</v>
          </cell>
          <cell r="N37" t="str">
            <v>CLa</v>
          </cell>
          <cell r="O37" t="str">
            <v>JMO</v>
          </cell>
          <cell r="P37" t="str">
            <v>CC</v>
          </cell>
          <cell r="Q37" t="str">
            <v>SPG</v>
          </cell>
          <cell r="R37">
            <v>2009</v>
          </cell>
          <cell r="S37">
            <v>0.5</v>
          </cell>
          <cell r="T37" t="str">
            <v>demande équipement public reunion /VEFA/poste locataire/libération et VRD ?/blocage PLU PC 08/2008/pc ok fin 2008?</v>
          </cell>
          <cell r="U37" t="str">
            <v>GROUARD</v>
          </cell>
          <cell r="V37" t="str">
            <v>F - APD</v>
          </cell>
          <cell r="W37">
            <v>39892</v>
          </cell>
          <cell r="X37" t="str">
            <v>d</v>
          </cell>
          <cell r="AA37" t="str">
            <v/>
          </cell>
          <cell r="AB37">
            <v>39870</v>
          </cell>
          <cell r="AC37" t="str">
            <v>v</v>
          </cell>
          <cell r="AE37">
            <v>40071</v>
          </cell>
          <cell r="AF37" t="str">
            <v/>
          </cell>
          <cell r="AH37">
            <v>40057</v>
          </cell>
          <cell r="AI37" t="str">
            <v/>
          </cell>
          <cell r="AJ37">
            <v>40238</v>
          </cell>
          <cell r="AK37" t="str">
            <v/>
          </cell>
          <cell r="AL37">
            <v>5.9508153603366649</v>
          </cell>
          <cell r="AM37">
            <v>2010</v>
          </cell>
          <cell r="AN37">
            <v>18</v>
          </cell>
          <cell r="AO37">
            <v>40787</v>
          </cell>
          <cell r="AP37">
            <v>40802</v>
          </cell>
          <cell r="AQ37" t="str">
            <v/>
          </cell>
          <cell r="AR37">
            <v>2011</v>
          </cell>
          <cell r="CJ37" t="str">
            <v>-</v>
          </cell>
          <cell r="CK37" t="str">
            <v>-</v>
          </cell>
          <cell r="CL37" t="str">
            <v>-</v>
          </cell>
          <cell r="CM37" t="str">
            <v>-</v>
          </cell>
          <cell r="CN37">
            <v>0</v>
          </cell>
          <cell r="CQ37" t="str">
            <v>non</v>
          </cell>
          <cell r="CX37">
            <v>0</v>
          </cell>
          <cell r="DE37">
            <v>0</v>
          </cell>
          <cell r="DJ37">
            <v>0</v>
          </cell>
          <cell r="DO37">
            <v>0</v>
          </cell>
          <cell r="DS37">
            <v>0</v>
          </cell>
          <cell r="DT37">
            <v>0</v>
          </cell>
          <cell r="DU37">
            <v>0</v>
          </cell>
          <cell r="ED37" t="str">
            <v>G:\Habitat\OPERATIONNEL HABITAT\02- Operations\Photothèque\image non disponible.jpg</v>
          </cell>
          <cell r="EE37" t="str">
            <v>G:\Habitat\OPERATIONNEL HABITAT\02- Operations\Photothèque\image non disponible.jpg</v>
          </cell>
        </row>
        <row r="38">
          <cell r="A38" t="str">
            <v>BARBADE</v>
          </cell>
          <cell r="B38">
            <v>9674</v>
          </cell>
          <cell r="C38" t="str">
            <v>NORD</v>
          </cell>
          <cell r="D38" t="str">
            <v>Saint-Denis</v>
          </cell>
          <cell r="E38" t="str">
            <v>BELLEPIERRE</v>
          </cell>
          <cell r="F38">
            <v>28</v>
          </cell>
          <cell r="G38" t="str">
            <v>PLS</v>
          </cell>
          <cell r="J38" t="str">
            <v>COL</v>
          </cell>
          <cell r="K38" t="str">
            <v>RF</v>
          </cell>
          <cell r="M38" t="str">
            <v>maitrisé</v>
          </cell>
          <cell r="N38" t="str">
            <v>PC</v>
          </cell>
          <cell r="O38" t="str">
            <v>PC</v>
          </cell>
          <cell r="P38" t="str">
            <v>CS</v>
          </cell>
          <cell r="R38">
            <v>2006</v>
          </cell>
          <cell r="U38" t="str">
            <v>MARAIS TESSIER</v>
          </cell>
          <cell r="V38" t="str">
            <v>L - CHANTIER EN COURS</v>
          </cell>
          <cell r="W38">
            <v>38910</v>
          </cell>
          <cell r="X38" t="str">
            <v>d</v>
          </cell>
          <cell r="Y38" t="str">
            <v>97411106A0352</v>
          </cell>
          <cell r="Z38">
            <v>39153</v>
          </cell>
          <cell r="AA38" t="str">
            <v>o</v>
          </cell>
          <cell r="AB38">
            <v>38974</v>
          </cell>
          <cell r="AC38" t="str">
            <v>v</v>
          </cell>
          <cell r="AD38">
            <v>39030</v>
          </cell>
          <cell r="AE38">
            <v>38911</v>
          </cell>
          <cell r="AF38" t="str">
            <v>f</v>
          </cell>
          <cell r="AG38">
            <v>39234</v>
          </cell>
          <cell r="AH38">
            <v>39217</v>
          </cell>
          <cell r="AI38" t="str">
            <v>ao</v>
          </cell>
          <cell r="AJ38">
            <v>39370</v>
          </cell>
          <cell r="AK38" t="str">
            <v/>
          </cell>
          <cell r="AL38">
            <v>5.030247238295634</v>
          </cell>
          <cell r="AM38">
            <v>2007</v>
          </cell>
          <cell r="AN38">
            <v>16</v>
          </cell>
          <cell r="AO38">
            <v>39859</v>
          </cell>
          <cell r="AP38">
            <v>39874</v>
          </cell>
          <cell r="AQ38" t="str">
            <v>li</v>
          </cell>
          <cell r="AR38">
            <v>2009</v>
          </cell>
          <cell r="AS38">
            <v>2</v>
          </cell>
          <cell r="AT38">
            <v>33</v>
          </cell>
          <cell r="AU38">
            <v>1</v>
          </cell>
          <cell r="AV38">
            <v>45</v>
          </cell>
          <cell r="AW38">
            <v>5</v>
          </cell>
          <cell r="AX38">
            <v>59</v>
          </cell>
          <cell r="BA38">
            <v>16</v>
          </cell>
          <cell r="BB38">
            <v>70</v>
          </cell>
          <cell r="BE38">
            <v>4</v>
          </cell>
          <cell r="BF38">
            <v>83</v>
          </cell>
          <cell r="BK38">
            <v>28</v>
          </cell>
          <cell r="BL38">
            <v>7.58</v>
          </cell>
          <cell r="BM38">
            <v>1.1100000000000001</v>
          </cell>
          <cell r="BN38">
            <v>0.2</v>
          </cell>
          <cell r="BO38" t="str">
            <v>à faire</v>
          </cell>
          <cell r="BP38">
            <v>0.8</v>
          </cell>
          <cell r="BQ38" t="str">
            <v>à faire</v>
          </cell>
          <cell r="BX38" t="str">
            <v>demande à faire</v>
          </cell>
          <cell r="BY38">
            <v>2481</v>
          </cell>
          <cell r="BZ38">
            <v>3102</v>
          </cell>
          <cell r="CA38">
            <v>2119.46</v>
          </cell>
          <cell r="CE38" t="str">
            <v>ECS ind</v>
          </cell>
          <cell r="CJ38" t="str">
            <v>SCI Barbade</v>
          </cell>
          <cell r="CK38" t="str">
            <v>-</v>
          </cell>
          <cell r="CL38" t="str">
            <v>-</v>
          </cell>
          <cell r="CM38" t="str">
            <v>-</v>
          </cell>
          <cell r="CN38">
            <v>0</v>
          </cell>
          <cell r="CQ38" t="str">
            <v>non</v>
          </cell>
          <cell r="CR38">
            <v>500000</v>
          </cell>
          <cell r="CT38">
            <v>2350000</v>
          </cell>
          <cell r="CX38">
            <v>2850000</v>
          </cell>
          <cell r="DE38">
            <v>0</v>
          </cell>
          <cell r="DJ38">
            <v>0</v>
          </cell>
          <cell r="DO38">
            <v>0</v>
          </cell>
          <cell r="DQ38">
            <v>120000</v>
          </cell>
          <cell r="DR38">
            <v>33600</v>
          </cell>
          <cell r="DS38">
            <v>153600</v>
          </cell>
          <cell r="DT38">
            <v>307200</v>
          </cell>
          <cell r="DU38">
            <v>-2542800</v>
          </cell>
          <cell r="ED38" t="str">
            <v>G:\Habitat\OPERATIONNEL HABITAT\02- Operations\Photothèque\images locatifs\BARBADES\barbade1.jpg</v>
          </cell>
          <cell r="EE38" t="str">
            <v>G:\Habitat\OPERATIONNEL HABITAT\02- Operations\Photothèque\images locatifs\BARBADES\barbades (1).jpg</v>
          </cell>
        </row>
        <row r="39">
          <cell r="A39" t="str">
            <v>BASSAS DE INDIAN</v>
          </cell>
          <cell r="B39">
            <v>9444</v>
          </cell>
          <cell r="C39" t="str">
            <v>NORD</v>
          </cell>
          <cell r="D39" t="str">
            <v>Saint-Denis</v>
          </cell>
          <cell r="E39" t="str">
            <v>AME ILE EPARSES</v>
          </cell>
          <cell r="F39">
            <v>47</v>
          </cell>
          <cell r="G39" t="str">
            <v>LLTS</v>
          </cell>
          <cell r="J39" t="str">
            <v>COL</v>
          </cell>
          <cell r="K39" t="str">
            <v>RF</v>
          </cell>
          <cell r="N39" t="str">
            <v>JPM</v>
          </cell>
          <cell r="O39" t="str">
            <v>SV</v>
          </cell>
          <cell r="P39" t="str">
            <v>CC</v>
          </cell>
          <cell r="R39">
            <v>2002</v>
          </cell>
          <cell r="U39" t="str">
            <v>DELCOURT</v>
          </cell>
          <cell r="V39" t="str">
            <v>M - LIVRE/GPA</v>
          </cell>
          <cell r="W39">
            <v>37469</v>
          </cell>
          <cell r="X39" t="str">
            <v>d</v>
          </cell>
          <cell r="Y39" t="str">
            <v>97441102A0342</v>
          </cell>
          <cell r="Z39">
            <v>37575</v>
          </cell>
          <cell r="AA39" t="str">
            <v>o</v>
          </cell>
          <cell r="AB39" t="str">
            <v>validé</v>
          </cell>
          <cell r="AC39" t="str">
            <v/>
          </cell>
          <cell r="AE39">
            <v>37546</v>
          </cell>
          <cell r="AF39" t="str">
            <v>f</v>
          </cell>
          <cell r="AG39" t="str">
            <v>O</v>
          </cell>
          <cell r="AH39">
            <v>37665</v>
          </cell>
          <cell r="AI39" t="str">
            <v>ao</v>
          </cell>
          <cell r="AJ39">
            <v>37837</v>
          </cell>
          <cell r="AK39" t="str">
            <v/>
          </cell>
          <cell r="AL39">
            <v>5.6549184639663332</v>
          </cell>
          <cell r="AM39">
            <v>2003</v>
          </cell>
          <cell r="AN39">
            <v>19</v>
          </cell>
          <cell r="AO39">
            <v>38415</v>
          </cell>
          <cell r="AP39">
            <v>38548</v>
          </cell>
          <cell r="AQ39" t="str">
            <v>li</v>
          </cell>
          <cell r="AR39">
            <v>2005</v>
          </cell>
          <cell r="BO39" t="str">
            <v>signée</v>
          </cell>
          <cell r="BQ39" t="str">
            <v>signée</v>
          </cell>
          <cell r="BX39" t="str">
            <v>signé</v>
          </cell>
          <cell r="CA39">
            <v>3384.58</v>
          </cell>
          <cell r="CE39" t="str">
            <v>ECS ind</v>
          </cell>
          <cell r="CF39">
            <v>126735</v>
          </cell>
          <cell r="CG39">
            <v>38020</v>
          </cell>
          <cell r="CH39">
            <v>57031</v>
          </cell>
          <cell r="CI39">
            <v>31683</v>
          </cell>
          <cell r="CJ39" t="str">
            <v>-</v>
          </cell>
          <cell r="CK39" t="str">
            <v>-</v>
          </cell>
          <cell r="CL39" t="str">
            <v>-</v>
          </cell>
          <cell r="CM39" t="str">
            <v>-</v>
          </cell>
          <cell r="CN39">
            <v>0</v>
          </cell>
          <cell r="CQ39" t="str">
            <v>oui</v>
          </cell>
          <cell r="CT39">
            <v>2489271</v>
          </cell>
          <cell r="CX39">
            <v>2489271</v>
          </cell>
          <cell r="DE39">
            <v>95051</v>
          </cell>
          <cell r="DJ39">
            <v>95051</v>
          </cell>
          <cell r="DO39">
            <v>0</v>
          </cell>
          <cell r="DQ39">
            <v>183000</v>
          </cell>
          <cell r="DR39">
            <v>31684</v>
          </cell>
          <cell r="DS39">
            <v>214684</v>
          </cell>
          <cell r="DT39">
            <v>429368</v>
          </cell>
          <cell r="DU39">
            <v>-1964852</v>
          </cell>
          <cell r="ED39" t="str">
            <v>G:\Habitat\OPERATIONNEL HABITAT\02- Operations\Photothèque\image non disponible.jpg</v>
          </cell>
          <cell r="EE39" t="str">
            <v>G:\Habitat\OPERATIONNEL HABITAT\02- Operations\Photothèque\image non disponible.jpg</v>
          </cell>
        </row>
        <row r="40">
          <cell r="A40" t="str">
            <v>BASSE TERRE</v>
          </cell>
          <cell r="C40" t="str">
            <v>SUD</v>
          </cell>
          <cell r="D40" t="str">
            <v>Saint-Pierre</v>
          </cell>
          <cell r="E40" t="str">
            <v>RHI BASTER</v>
          </cell>
          <cell r="F40">
            <v>15</v>
          </cell>
          <cell r="G40" t="str">
            <v>LESG</v>
          </cell>
          <cell r="J40" t="str">
            <v>IND</v>
          </cell>
          <cell r="K40" t="str">
            <v>CF</v>
          </cell>
          <cell r="L40" t="str">
            <v>SIDR</v>
          </cell>
          <cell r="M40" t="str">
            <v>acq en DUP</v>
          </cell>
          <cell r="N40" t="str">
            <v>BS</v>
          </cell>
          <cell r="O40" t="str">
            <v>OS</v>
          </cell>
          <cell r="P40" t="str">
            <v>LV</v>
          </cell>
          <cell r="Q40" t="str">
            <v>HBM</v>
          </cell>
          <cell r="R40">
            <v>2009</v>
          </cell>
          <cell r="S40">
            <v>0.25</v>
          </cell>
          <cell r="T40" t="str">
            <v>Client/Surcout / Retard MOE  ??? etc</v>
          </cell>
          <cell r="U40" t="str">
            <v>SOAA MEUNIER</v>
          </cell>
          <cell r="V40" t="str">
            <v>D - ESQUISSES</v>
          </cell>
          <cell r="W40">
            <v>39979</v>
          </cell>
          <cell r="X40" t="str">
            <v/>
          </cell>
          <cell r="AA40" t="str">
            <v/>
          </cell>
          <cell r="AB40">
            <v>39965</v>
          </cell>
          <cell r="AC40" t="str">
            <v/>
          </cell>
          <cell r="AD40">
            <v>40057</v>
          </cell>
          <cell r="AE40">
            <v>40086</v>
          </cell>
          <cell r="AF40" t="str">
            <v/>
          </cell>
          <cell r="AH40">
            <v>39887</v>
          </cell>
          <cell r="AI40" t="str">
            <v>ao</v>
          </cell>
          <cell r="AJ40">
            <v>40132</v>
          </cell>
          <cell r="AK40" t="str">
            <v/>
          </cell>
          <cell r="AL40">
            <v>8.0549710678590216</v>
          </cell>
          <cell r="AM40">
            <v>2009</v>
          </cell>
          <cell r="AN40">
            <v>12</v>
          </cell>
          <cell r="AO40">
            <v>40497</v>
          </cell>
          <cell r="AP40">
            <v>40512</v>
          </cell>
          <cell r="AQ40" t="str">
            <v/>
          </cell>
          <cell r="AR40">
            <v>2010</v>
          </cell>
          <cell r="CJ40" t="str">
            <v>-</v>
          </cell>
          <cell r="CK40" t="str">
            <v>-</v>
          </cell>
          <cell r="CL40" t="str">
            <v>-</v>
          </cell>
          <cell r="CM40" t="str">
            <v>-</v>
          </cell>
          <cell r="CN40">
            <v>0</v>
          </cell>
          <cell r="CQ40" t="str">
            <v>non</v>
          </cell>
          <cell r="CX40">
            <v>0</v>
          </cell>
          <cell r="DE40">
            <v>0</v>
          </cell>
          <cell r="DJ40">
            <v>0</v>
          </cell>
          <cell r="DO40">
            <v>0</v>
          </cell>
          <cell r="DS40">
            <v>0</v>
          </cell>
          <cell r="DT40">
            <v>0</v>
          </cell>
          <cell r="DU40">
            <v>0</v>
          </cell>
          <cell r="ED40" t="str">
            <v>G:\Habitat\OPERATIONNEL HABITAT\02- Operations\Photothèque\image non disponible.jpg</v>
          </cell>
          <cell r="EE40" t="str">
            <v>G:\Habitat\OPERATIONNEL HABITAT\02- Operations\Photothèque\image non disponible.jpg</v>
          </cell>
        </row>
        <row r="41">
          <cell r="A41" t="str">
            <v>BEAUFOND 1</v>
          </cell>
          <cell r="B41">
            <v>9624</v>
          </cell>
          <cell r="C41" t="str">
            <v>EST</v>
          </cell>
          <cell r="D41" t="str">
            <v>Saint-Benoît</v>
          </cell>
          <cell r="E41" t="str">
            <v>RHI BEAUFOND</v>
          </cell>
          <cell r="F41">
            <v>16</v>
          </cell>
          <cell r="G41" t="str">
            <v>LESG</v>
          </cell>
          <cell r="J41" t="str">
            <v>IND</v>
          </cell>
          <cell r="K41" t="str">
            <v>CF</v>
          </cell>
          <cell r="L41" t="str">
            <v>SEMAC</v>
          </cell>
          <cell r="M41" t="str">
            <v>maitrisé</v>
          </cell>
          <cell r="N41" t="str">
            <v>BS</v>
          </cell>
          <cell r="O41" t="str">
            <v>OS</v>
          </cell>
          <cell r="P41" t="str">
            <v>LV</v>
          </cell>
          <cell r="R41">
            <v>2005</v>
          </cell>
          <cell r="T41" t="str">
            <v>négociation entreprise/semac nettoyage/ville surcouts</v>
          </cell>
          <cell r="U41" t="str">
            <v>ATELIER GAZUT</v>
          </cell>
          <cell r="V41" t="str">
            <v>L - CHANTIER EN COURS</v>
          </cell>
          <cell r="W41">
            <v>38623</v>
          </cell>
          <cell r="X41" t="str">
            <v>d</v>
          </cell>
          <cell r="Y41" t="str">
            <v>9741005a0270</v>
          </cell>
          <cell r="Z41">
            <v>38764</v>
          </cell>
          <cell r="AA41" t="str">
            <v>o</v>
          </cell>
          <cell r="AB41" t="str">
            <v>validé</v>
          </cell>
          <cell r="AC41" t="str">
            <v/>
          </cell>
          <cell r="AD41">
            <v>0</v>
          </cell>
          <cell r="AE41">
            <v>38594</v>
          </cell>
          <cell r="AF41" t="str">
            <v>f</v>
          </cell>
          <cell r="AG41">
            <v>38716</v>
          </cell>
          <cell r="AH41">
            <v>39307</v>
          </cell>
          <cell r="AI41" t="str">
            <v>ao</v>
          </cell>
          <cell r="AJ41">
            <v>39779</v>
          </cell>
          <cell r="AK41" t="str">
            <v>ch</v>
          </cell>
          <cell r="AL41">
            <v>15.51814834297738</v>
          </cell>
          <cell r="AM41">
            <v>2008</v>
          </cell>
          <cell r="AN41">
            <v>16</v>
          </cell>
          <cell r="AO41">
            <v>40264</v>
          </cell>
          <cell r="AP41">
            <v>40279</v>
          </cell>
          <cell r="AQ41" t="str">
            <v/>
          </cell>
          <cell r="AR41">
            <v>2010</v>
          </cell>
          <cell r="CJ41" t="str">
            <v>-</v>
          </cell>
          <cell r="CK41" t="str">
            <v>-</v>
          </cell>
          <cell r="CL41" t="str">
            <v>-</v>
          </cell>
          <cell r="CM41" t="str">
            <v>-</v>
          </cell>
          <cell r="CN41">
            <v>0</v>
          </cell>
          <cell r="CQ41" t="str">
            <v>non</v>
          </cell>
          <cell r="CX41">
            <v>0</v>
          </cell>
          <cell r="DE41">
            <v>0</v>
          </cell>
          <cell r="DJ41">
            <v>0</v>
          </cell>
          <cell r="DO41">
            <v>0</v>
          </cell>
          <cell r="DS41">
            <v>0</v>
          </cell>
          <cell r="DT41">
            <v>0</v>
          </cell>
          <cell r="DU41">
            <v>0</v>
          </cell>
          <cell r="ED41" t="str">
            <v>G:\Habitat\OPERATIONNEL HABITAT\02- Operations\Photothèque\image non disponible.jpg</v>
          </cell>
          <cell r="EE41" t="str">
            <v>G:\Habitat\OPERATIONNEL HABITAT\02- Operations\Photothèque\image non disponible.jpg</v>
          </cell>
        </row>
        <row r="42">
          <cell r="A42" t="str">
            <v>BEC ROSE</v>
          </cell>
          <cell r="B42">
            <v>9602</v>
          </cell>
          <cell r="C42" t="str">
            <v>NORD</v>
          </cell>
          <cell r="D42" t="str">
            <v>Saint-Denis</v>
          </cell>
          <cell r="E42" t="str">
            <v>LE CHAUDRON</v>
          </cell>
          <cell r="F42">
            <v>30</v>
          </cell>
          <cell r="G42" t="str">
            <v>LLTS</v>
          </cell>
          <cell r="H42" t="str">
            <v>signé</v>
          </cell>
          <cell r="I42" t="str">
            <v>SG 2005</v>
          </cell>
          <cell r="J42" t="str">
            <v>COL</v>
          </cell>
          <cell r="K42" t="str">
            <v>RF</v>
          </cell>
          <cell r="M42" t="str">
            <v>maitrisé</v>
          </cell>
          <cell r="N42" t="str">
            <v>CLa</v>
          </cell>
          <cell r="O42" t="str">
            <v>JH</v>
          </cell>
          <cell r="P42" t="str">
            <v>CS</v>
          </cell>
          <cell r="R42">
            <v>2005</v>
          </cell>
          <cell r="T42" t="str">
            <v>Attente os DG</v>
          </cell>
          <cell r="U42" t="str">
            <v>BRACHET</v>
          </cell>
          <cell r="V42" t="str">
            <v>K - OS TRAVAUX</v>
          </cell>
          <cell r="W42">
            <v>38607</v>
          </cell>
          <cell r="X42" t="str">
            <v>d</v>
          </cell>
          <cell r="Y42" t="str">
            <v>97441105A0499</v>
          </cell>
          <cell r="Z42">
            <v>38867</v>
          </cell>
          <cell r="AA42" t="str">
            <v>o</v>
          </cell>
          <cell r="AB42" t="str">
            <v>validé</v>
          </cell>
          <cell r="AC42" t="str">
            <v/>
          </cell>
          <cell r="AD42">
            <v>38624</v>
          </cell>
          <cell r="AE42">
            <v>38615</v>
          </cell>
          <cell r="AF42" t="str">
            <v>f</v>
          </cell>
          <cell r="AG42">
            <v>38722</v>
          </cell>
          <cell r="AH42">
            <v>39431</v>
          </cell>
          <cell r="AI42" t="str">
            <v>ao</v>
          </cell>
          <cell r="AJ42">
            <v>39652</v>
          </cell>
          <cell r="AK42" t="str">
            <v>ch</v>
          </cell>
          <cell r="AL42">
            <v>7.2659126775381377</v>
          </cell>
          <cell r="AM42">
            <v>2008</v>
          </cell>
          <cell r="AN42">
            <v>16</v>
          </cell>
          <cell r="AO42">
            <v>40140</v>
          </cell>
          <cell r="AP42">
            <v>40155</v>
          </cell>
          <cell r="AQ42" t="str">
            <v/>
          </cell>
          <cell r="AR42">
            <v>2009</v>
          </cell>
          <cell r="AW42">
            <v>30</v>
          </cell>
          <cell r="AX42">
            <v>56.63</v>
          </cell>
          <cell r="BK42">
            <v>30</v>
          </cell>
          <cell r="BL42">
            <v>4.92</v>
          </cell>
          <cell r="BM42">
            <v>1.1100000000000001</v>
          </cell>
          <cell r="BN42">
            <v>0.2</v>
          </cell>
          <cell r="BO42" t="str">
            <v xml:space="preserve">transmis </v>
          </cell>
          <cell r="BP42">
            <v>0.8</v>
          </cell>
          <cell r="BQ42" t="str">
            <v xml:space="preserve">transmis </v>
          </cell>
          <cell r="BR42" t="str">
            <v>CGAL</v>
          </cell>
          <cell r="BT42" t="str">
            <v>signée</v>
          </cell>
          <cell r="BX42" t="str">
            <v>En attente accord de principe</v>
          </cell>
          <cell r="BY42">
            <v>1882</v>
          </cell>
          <cell r="BZ42">
            <v>4458</v>
          </cell>
          <cell r="CA42">
            <v>2077</v>
          </cell>
          <cell r="CE42" t="str">
            <v>ECS ind</v>
          </cell>
          <cell r="CF42">
            <v>133200</v>
          </cell>
          <cell r="CG42">
            <v>39960</v>
          </cell>
          <cell r="CH42">
            <v>59940</v>
          </cell>
          <cell r="CJ42" t="str">
            <v>SNC Salazie 2</v>
          </cell>
          <cell r="CK42" t="str">
            <v>INFI</v>
          </cell>
          <cell r="CL42">
            <v>39650</v>
          </cell>
          <cell r="CM42" t="str">
            <v>-</v>
          </cell>
          <cell r="CN42">
            <v>0</v>
          </cell>
          <cell r="CO42" t="str">
            <v>217 undercies</v>
          </cell>
          <cell r="CQ42" t="str">
            <v>non</v>
          </cell>
          <cell r="CR42">
            <v>354834</v>
          </cell>
          <cell r="CT42">
            <v>2765361</v>
          </cell>
          <cell r="CX42">
            <v>3120195</v>
          </cell>
          <cell r="DE42">
            <v>99900</v>
          </cell>
          <cell r="DJ42">
            <v>99900</v>
          </cell>
          <cell r="DO42">
            <v>0</v>
          </cell>
          <cell r="DQ42">
            <v>59830</v>
          </cell>
          <cell r="DR42">
            <v>35000</v>
          </cell>
          <cell r="DS42">
            <v>94830</v>
          </cell>
          <cell r="DT42">
            <v>189660</v>
          </cell>
          <cell r="DU42">
            <v>-2830635</v>
          </cell>
          <cell r="ED42" t="str">
            <v>G:\Habitat\OPERATIONNEL HABITAT\02- Operations\Photothèque\images locatifs\Bec Rose\bec rose.jpg</v>
          </cell>
          <cell r="EE42" t="str">
            <v>G:\Habitat\OPERATIONNEL HABITAT\02- Operations\Photothèque\image non disponible.jpg</v>
          </cell>
        </row>
        <row r="43">
          <cell r="A43" t="str">
            <v>BILIMBI</v>
          </cell>
          <cell r="B43">
            <v>9622</v>
          </cell>
          <cell r="C43" t="str">
            <v>EST</v>
          </cell>
          <cell r="D43" t="str">
            <v>Saint-André</v>
          </cell>
          <cell r="E43" t="str">
            <v>ZAC CRESSONIERE</v>
          </cell>
          <cell r="F43">
            <v>18</v>
          </cell>
          <cell r="G43" t="str">
            <v>LESG</v>
          </cell>
          <cell r="J43" t="str">
            <v>IND</v>
          </cell>
          <cell r="K43" t="str">
            <v>CF</v>
          </cell>
          <cell r="L43" t="str">
            <v>SIDR</v>
          </cell>
          <cell r="M43" t="str">
            <v>maitrisé</v>
          </cell>
          <cell r="N43" t="str">
            <v>BS</v>
          </cell>
          <cell r="O43" t="str">
            <v>OS</v>
          </cell>
          <cell r="P43" t="str">
            <v>LV</v>
          </cell>
          <cell r="Q43" t="str">
            <v>SPG</v>
          </cell>
          <cell r="R43">
            <v>2005</v>
          </cell>
          <cell r="T43" t="str">
            <v>DA ?</v>
          </cell>
          <cell r="U43" t="str">
            <v>SOAA MEUNIER</v>
          </cell>
          <cell r="V43" t="str">
            <v>M - LIVRE/GPA</v>
          </cell>
          <cell r="W43">
            <v>38617</v>
          </cell>
          <cell r="X43" t="str">
            <v>d</v>
          </cell>
          <cell r="Y43" t="str">
            <v>97440905a0554</v>
          </cell>
          <cell r="Z43">
            <v>38902</v>
          </cell>
          <cell r="AA43" t="str">
            <v>o</v>
          </cell>
          <cell r="AB43" t="str">
            <v>validé</v>
          </cell>
          <cell r="AC43" t="str">
            <v/>
          </cell>
          <cell r="AD43">
            <v>38624</v>
          </cell>
          <cell r="AE43">
            <v>38625</v>
          </cell>
          <cell r="AF43" t="str">
            <v>f</v>
          </cell>
          <cell r="AG43">
            <v>38716</v>
          </cell>
          <cell r="AH43">
            <v>39005</v>
          </cell>
          <cell r="AI43" t="str">
            <v>ao</v>
          </cell>
          <cell r="AJ43">
            <v>39300</v>
          </cell>
          <cell r="AK43" t="str">
            <v/>
          </cell>
          <cell r="AL43">
            <v>9.6988427143608629</v>
          </cell>
          <cell r="AM43">
            <v>2007</v>
          </cell>
          <cell r="AN43">
            <v>15</v>
          </cell>
          <cell r="AO43">
            <v>39758</v>
          </cell>
          <cell r="AP43">
            <v>39782</v>
          </cell>
          <cell r="AQ43" t="str">
            <v>li</v>
          </cell>
          <cell r="AR43">
            <v>2008</v>
          </cell>
          <cell r="CJ43" t="str">
            <v>-</v>
          </cell>
          <cell r="CK43" t="str">
            <v>-</v>
          </cell>
          <cell r="CL43" t="str">
            <v>-</v>
          </cell>
          <cell r="CM43" t="str">
            <v>-</v>
          </cell>
          <cell r="CN43">
            <v>0</v>
          </cell>
          <cell r="CQ43" t="str">
            <v>oui</v>
          </cell>
          <cell r="CX43">
            <v>0</v>
          </cell>
          <cell r="DE43">
            <v>0</v>
          </cell>
          <cell r="DJ43">
            <v>0</v>
          </cell>
          <cell r="DO43">
            <v>0</v>
          </cell>
          <cell r="DS43">
            <v>0</v>
          </cell>
          <cell r="DT43">
            <v>0</v>
          </cell>
          <cell r="DU43">
            <v>0</v>
          </cell>
          <cell r="ED43" t="str">
            <v>G:\Habitat\OPERATIONNEL HABITAT\02- Operations\Photothèque\image non disponible.jpg</v>
          </cell>
          <cell r="EE43" t="str">
            <v>G:\Habitat\OPERATIONNEL HABITAT\02- Operations\Photothèque\image non disponible.jpg</v>
          </cell>
        </row>
        <row r="44">
          <cell r="A44" t="str">
            <v>BŒUF MORT 1</v>
          </cell>
          <cell r="B44">
            <v>9740</v>
          </cell>
          <cell r="C44" t="str">
            <v>OUEST</v>
          </cell>
          <cell r="D44" t="str">
            <v>Possession</v>
          </cell>
          <cell r="F44">
            <v>15</v>
          </cell>
          <cell r="G44" t="str">
            <v>LLS</v>
          </cell>
          <cell r="J44" t="str">
            <v>MV</v>
          </cell>
          <cell r="K44" t="str">
            <v>CF</v>
          </cell>
          <cell r="M44" t="str">
            <v>autres</v>
          </cell>
          <cell r="N44" t="str">
            <v>JEM</v>
          </cell>
          <cell r="O44" t="str">
            <v>DL</v>
          </cell>
          <cell r="P44" t="str">
            <v>CS</v>
          </cell>
          <cell r="R44">
            <v>2009</v>
          </cell>
          <cell r="T44" t="str">
            <v>validation tracé chemin bœuf mort/financement vrd/planning vrd - En attente autorisation de construire sur terrain appartenant à l'etat de la part de la DDE afin que la commune puisse accorder le PC - En attente du prix du foncier, le bilan est basé sur u</v>
          </cell>
          <cell r="U44" t="str">
            <v>BERTIN LEBEIGLE</v>
          </cell>
          <cell r="V44" t="str">
            <v>D - ESQUISSES</v>
          </cell>
          <cell r="W44">
            <v>39933</v>
          </cell>
          <cell r="AA44" t="str">
            <v/>
          </cell>
          <cell r="AB44">
            <v>39524</v>
          </cell>
          <cell r="AC44" t="str">
            <v>v</v>
          </cell>
          <cell r="AE44">
            <v>40040</v>
          </cell>
          <cell r="AH44">
            <v>40053</v>
          </cell>
          <cell r="AI44" t="str">
            <v/>
          </cell>
          <cell r="AJ44">
            <v>40237</v>
          </cell>
          <cell r="AK44" t="str">
            <v/>
          </cell>
          <cell r="AL44">
            <v>6.0494476591267752</v>
          </cell>
          <cell r="AM44">
            <v>2010</v>
          </cell>
          <cell r="AN44">
            <v>16</v>
          </cell>
          <cell r="AO44">
            <v>40722</v>
          </cell>
          <cell r="AP44">
            <v>40737</v>
          </cell>
          <cell r="AQ44" t="str">
            <v/>
          </cell>
          <cell r="AR44">
            <v>2011</v>
          </cell>
          <cell r="CJ44" t="str">
            <v>-</v>
          </cell>
          <cell r="CK44" t="str">
            <v>-</v>
          </cell>
          <cell r="CL44" t="str">
            <v>-</v>
          </cell>
          <cell r="CM44" t="str">
            <v>-</v>
          </cell>
          <cell r="CN44">
            <v>0</v>
          </cell>
          <cell r="CQ44" t="str">
            <v>non</v>
          </cell>
          <cell r="CX44">
            <v>0</v>
          </cell>
          <cell r="DE44">
            <v>0</v>
          </cell>
          <cell r="DJ44">
            <v>0</v>
          </cell>
          <cell r="DO44">
            <v>0</v>
          </cell>
          <cell r="DS44">
            <v>0</v>
          </cell>
          <cell r="DT44">
            <v>0</v>
          </cell>
          <cell r="DU44">
            <v>0</v>
          </cell>
          <cell r="ED44" t="str">
            <v>G:\Habitat\OPERATIONNEL HABITAT\02- Operations\Photothèque\image non disponible.jpg</v>
          </cell>
          <cell r="EE44" t="str">
            <v>G:\Habitat\OPERATIONNEL HABITAT\02- Operations\Photothèque\image non disponible.jpg</v>
          </cell>
        </row>
        <row r="45">
          <cell r="A45" t="str">
            <v>BŒUF MORT 2</v>
          </cell>
          <cell r="B45">
            <v>9739</v>
          </cell>
          <cell r="C45" t="str">
            <v>OUEST</v>
          </cell>
          <cell r="D45" t="str">
            <v>Possession</v>
          </cell>
          <cell r="F45">
            <v>36</v>
          </cell>
          <cell r="G45" t="str">
            <v>LLTS</v>
          </cell>
          <cell r="J45" t="str">
            <v>MIXT</v>
          </cell>
          <cell r="K45" t="str">
            <v>CF</v>
          </cell>
          <cell r="M45" t="str">
            <v>autres</v>
          </cell>
          <cell r="N45" t="str">
            <v>JEM</v>
          </cell>
          <cell r="O45" t="str">
            <v>DL</v>
          </cell>
          <cell r="P45" t="str">
            <v>CS</v>
          </cell>
          <cell r="R45">
            <v>2009</v>
          </cell>
          <cell r="T45" t="str">
            <v>validation tracé chemin bœuf mort/financement vrd/planning vrd - En attente autorisation de construire sur terrain appartenant à l'etat de la part de la DDE afin que la commune puisse accorder le PC - En attente du prix du foncier, le bilan est basé sur u</v>
          </cell>
          <cell r="U45" t="str">
            <v>BERTIN LEBEIGLE</v>
          </cell>
          <cell r="V45" t="str">
            <v>D - ESQUISSES</v>
          </cell>
          <cell r="W45">
            <v>39933</v>
          </cell>
          <cell r="AA45" t="str">
            <v/>
          </cell>
          <cell r="AB45">
            <v>39524</v>
          </cell>
          <cell r="AC45" t="str">
            <v>v</v>
          </cell>
          <cell r="AE45">
            <v>40040</v>
          </cell>
          <cell r="AH45">
            <v>40053</v>
          </cell>
          <cell r="AI45" t="str">
            <v/>
          </cell>
          <cell r="AJ45">
            <v>40237</v>
          </cell>
          <cell r="AK45" t="str">
            <v/>
          </cell>
          <cell r="AL45">
            <v>6.0494476591267752</v>
          </cell>
          <cell r="AM45">
            <v>2010</v>
          </cell>
          <cell r="AN45">
            <v>16</v>
          </cell>
          <cell r="AO45">
            <v>40722</v>
          </cell>
          <cell r="AP45">
            <v>40737</v>
          </cell>
          <cell r="AQ45" t="str">
            <v/>
          </cell>
          <cell r="AR45">
            <v>2011</v>
          </cell>
          <cell r="CJ45" t="str">
            <v>-</v>
          </cell>
          <cell r="CK45" t="str">
            <v>-</v>
          </cell>
          <cell r="CL45" t="str">
            <v>-</v>
          </cell>
          <cell r="CM45" t="str">
            <v>-</v>
          </cell>
          <cell r="CN45">
            <v>0</v>
          </cell>
          <cell r="CQ45" t="str">
            <v>non</v>
          </cell>
          <cell r="CX45">
            <v>0</v>
          </cell>
          <cell r="DE45">
            <v>0</v>
          </cell>
          <cell r="DJ45">
            <v>0</v>
          </cell>
          <cell r="DO45">
            <v>0</v>
          </cell>
          <cell r="DS45">
            <v>0</v>
          </cell>
          <cell r="DT45">
            <v>0</v>
          </cell>
          <cell r="DU45">
            <v>0</v>
          </cell>
          <cell r="ED45" t="str">
            <v>G:\Habitat\OPERATIONNEL HABITAT\02- Operations\Photothèque\image non disponible.jpg</v>
          </cell>
          <cell r="EE45" t="str">
            <v>G:\Habitat\OPERATIONNEL HABITAT\02- Operations\Photothèque\image non disponible.jpg</v>
          </cell>
        </row>
        <row r="46">
          <cell r="A46" t="str">
            <v>BŒUF MORT 3</v>
          </cell>
          <cell r="B46">
            <v>9738</v>
          </cell>
          <cell r="C46" t="str">
            <v>OUEST</v>
          </cell>
          <cell r="D46" t="str">
            <v>Possession</v>
          </cell>
          <cell r="F46">
            <v>29</v>
          </cell>
          <cell r="G46" t="str">
            <v>PLS</v>
          </cell>
          <cell r="J46" t="str">
            <v>MV</v>
          </cell>
          <cell r="K46" t="str">
            <v>CF</v>
          </cell>
          <cell r="M46" t="str">
            <v>autres</v>
          </cell>
          <cell r="N46" t="str">
            <v>JEM</v>
          </cell>
          <cell r="O46" t="str">
            <v>DL</v>
          </cell>
          <cell r="P46" t="str">
            <v>CS</v>
          </cell>
          <cell r="R46">
            <v>2009</v>
          </cell>
          <cell r="T46" t="str">
            <v>validation tracé chemin bœuf mort/financement vrd/planning vrd - En attente autorisation de construire sur terrain appartenant à l'etat de la part de la DDE afin que la commune puisse accorder le PC - En attente du prix du foncier, le bilan est basé sur u</v>
          </cell>
          <cell r="U46" t="str">
            <v>GAZUT</v>
          </cell>
          <cell r="V46" t="str">
            <v>D - ESQUISSES</v>
          </cell>
          <cell r="W46">
            <v>39933</v>
          </cell>
          <cell r="AA46" t="str">
            <v/>
          </cell>
          <cell r="AB46">
            <v>39524</v>
          </cell>
          <cell r="AC46" t="str">
            <v>v</v>
          </cell>
          <cell r="AE46">
            <v>40040</v>
          </cell>
          <cell r="AH46">
            <v>40053</v>
          </cell>
          <cell r="AI46" t="str">
            <v/>
          </cell>
          <cell r="AJ46">
            <v>40237</v>
          </cell>
          <cell r="AK46" t="str">
            <v/>
          </cell>
          <cell r="AL46">
            <v>6.0494476591267752</v>
          </cell>
          <cell r="AM46">
            <v>2010</v>
          </cell>
          <cell r="AN46">
            <v>16</v>
          </cell>
          <cell r="AO46">
            <v>40722</v>
          </cell>
          <cell r="AP46">
            <v>40737</v>
          </cell>
          <cell r="AQ46" t="str">
            <v/>
          </cell>
          <cell r="AR46">
            <v>2011</v>
          </cell>
          <cell r="CJ46" t="str">
            <v>-</v>
          </cell>
          <cell r="CK46" t="str">
            <v>-</v>
          </cell>
          <cell r="CL46" t="str">
            <v>-</v>
          </cell>
          <cell r="CM46" t="str">
            <v>-</v>
          </cell>
          <cell r="CN46">
            <v>0</v>
          </cell>
          <cell r="CQ46" t="str">
            <v>non</v>
          </cell>
          <cell r="CX46">
            <v>0</v>
          </cell>
          <cell r="DE46">
            <v>0</v>
          </cell>
          <cell r="DJ46">
            <v>0</v>
          </cell>
          <cell r="DO46">
            <v>0</v>
          </cell>
          <cell r="DS46">
            <v>0</v>
          </cell>
          <cell r="DT46">
            <v>0</v>
          </cell>
          <cell r="DU46">
            <v>0</v>
          </cell>
          <cell r="ED46" t="str">
            <v>G:\Habitat\OPERATIONNEL HABITAT\02- Operations\Photothèque\image non disponible.jpg</v>
          </cell>
          <cell r="EE46" t="str">
            <v>G:\Habitat\OPERATIONNEL HABITAT\02- Operations\Photothèque\image non disponible.jpg</v>
          </cell>
        </row>
        <row r="47">
          <cell r="A47" t="str">
            <v>BOIS COURT</v>
          </cell>
          <cell r="C47" t="str">
            <v>SUD</v>
          </cell>
          <cell r="D47" t="str">
            <v>Tampon</v>
          </cell>
          <cell r="F47">
            <v>20</v>
          </cell>
          <cell r="G47" t="str">
            <v>nd</v>
          </cell>
          <cell r="J47" t="str">
            <v>MV</v>
          </cell>
          <cell r="K47" t="str">
            <v>FONCIER</v>
          </cell>
          <cell r="N47" t="str">
            <v>N.A.</v>
          </cell>
          <cell r="R47">
            <v>2011</v>
          </cell>
          <cell r="T47" t="str">
            <v>Terrain porté par l'EPFR - Etude de faisabilité financée par DDE mais en attente de la décision de financement</v>
          </cell>
        </row>
        <row r="48">
          <cell r="A48" t="str">
            <v>BOIS COURT - LA PEPINIERE</v>
          </cell>
          <cell r="C48" t="str">
            <v>SUD</v>
          </cell>
          <cell r="D48" t="str">
            <v>Tampon</v>
          </cell>
          <cell r="E48" t="str">
            <v>LA PEPINIERE</v>
          </cell>
          <cell r="F48">
            <v>23</v>
          </cell>
          <cell r="G48" t="str">
            <v>PSLA</v>
          </cell>
          <cell r="J48" t="str">
            <v>IND</v>
          </cell>
          <cell r="N48" t="str">
            <v>N.A.</v>
          </cell>
          <cell r="R48">
            <v>2011</v>
          </cell>
          <cell r="T48" t="str">
            <v>Conception réalisation (ARHES ?)</v>
          </cell>
          <cell r="V48" t="str">
            <v>B - ETUDE PRE-OP</v>
          </cell>
          <cell r="AA48" t="str">
            <v/>
          </cell>
          <cell r="AC48" t="str">
            <v/>
          </cell>
          <cell r="AI48" t="str">
            <v/>
          </cell>
          <cell r="AK48" t="str">
            <v/>
          </cell>
          <cell r="AL48">
            <v>0</v>
          </cell>
          <cell r="AQ48" t="str">
            <v/>
          </cell>
          <cell r="CJ48" t="str">
            <v>-</v>
          </cell>
          <cell r="CK48" t="str">
            <v>-</v>
          </cell>
          <cell r="CL48" t="str">
            <v>-</v>
          </cell>
          <cell r="CM48" t="str">
            <v>-</v>
          </cell>
          <cell r="CN48">
            <v>0</v>
          </cell>
          <cell r="CQ48" t="str">
            <v>non</v>
          </cell>
          <cell r="CX48">
            <v>0</v>
          </cell>
          <cell r="DE48">
            <v>0</v>
          </cell>
          <cell r="DJ48">
            <v>0</v>
          </cell>
          <cell r="DO48">
            <v>0</v>
          </cell>
          <cell r="DS48">
            <v>0</v>
          </cell>
          <cell r="DT48">
            <v>0</v>
          </cell>
          <cell r="DU48">
            <v>0</v>
          </cell>
          <cell r="ED48" t="str">
            <v>G:\Habitat\OPERATIONNEL HABITAT\02- Operations\Photothèque\image non disponible.jpg</v>
          </cell>
          <cell r="EE48" t="str">
            <v>G:\Habitat\OPERATIONNEL HABITAT\02- Operations\Photothèque\image non disponible.jpg</v>
          </cell>
        </row>
        <row r="49">
          <cell r="A49" t="str">
            <v>BOIS COURT - LA PEPINIERE -ARHES</v>
          </cell>
          <cell r="C49" t="str">
            <v>SUD</v>
          </cell>
          <cell r="D49" t="str">
            <v>Tampon</v>
          </cell>
          <cell r="E49" t="str">
            <v>LA PEPINIERE</v>
          </cell>
          <cell r="F49">
            <v>23</v>
          </cell>
          <cell r="G49" t="str">
            <v>nd</v>
          </cell>
          <cell r="J49" t="str">
            <v>MV</v>
          </cell>
          <cell r="N49" t="str">
            <v>N.A.</v>
          </cell>
          <cell r="R49">
            <v>2009</v>
          </cell>
          <cell r="T49" t="str">
            <v>Partenariat ARHES</v>
          </cell>
          <cell r="AA49" t="str">
            <v/>
          </cell>
          <cell r="AC49" t="str">
            <v/>
          </cell>
          <cell r="AI49" t="str">
            <v/>
          </cell>
          <cell r="AK49" t="str">
            <v/>
          </cell>
          <cell r="AL49">
            <v>0</v>
          </cell>
          <cell r="AQ49" t="str">
            <v/>
          </cell>
          <cell r="CJ49" t="str">
            <v>-</v>
          </cell>
          <cell r="CK49" t="str">
            <v>INGEPAR</v>
          </cell>
          <cell r="CL49" t="str">
            <v>-</v>
          </cell>
          <cell r="CM49" t="str">
            <v>-</v>
          </cell>
          <cell r="CN49">
            <v>0</v>
          </cell>
          <cell r="CQ49" t="str">
            <v>non</v>
          </cell>
          <cell r="CX49">
            <v>0</v>
          </cell>
          <cell r="DE49">
            <v>0</v>
          </cell>
          <cell r="DJ49">
            <v>0</v>
          </cell>
          <cell r="DO49">
            <v>0</v>
          </cell>
          <cell r="DS49">
            <v>0</v>
          </cell>
          <cell r="DT49">
            <v>0</v>
          </cell>
          <cell r="DU49">
            <v>0</v>
          </cell>
          <cell r="DV49" t="str">
            <v>ARHES</v>
          </cell>
          <cell r="ED49" t="str">
            <v>G:\Habitat\OPERATIONNEL HABITAT\02- Operations\Photothèque\image non disponible.jpg</v>
          </cell>
          <cell r="EE49" t="str">
            <v>G:\Habitat\OPERATIONNEL HABITAT\02- Operations\Photothèque\image non disponible.jpg</v>
          </cell>
        </row>
        <row r="50">
          <cell r="A50" t="str">
            <v xml:space="preserve">BOIS DE NEFLES </v>
          </cell>
          <cell r="C50" t="str">
            <v>NORD</v>
          </cell>
          <cell r="D50" t="str">
            <v>Saint-Denis</v>
          </cell>
          <cell r="E50" t="str">
            <v xml:space="preserve">ZAC  PENTE ZANANAS </v>
          </cell>
          <cell r="F50">
            <v>20</v>
          </cell>
          <cell r="G50" t="str">
            <v>LESG</v>
          </cell>
          <cell r="J50" t="str">
            <v>IND</v>
          </cell>
          <cell r="N50" t="str">
            <v>BS</v>
          </cell>
          <cell r="R50">
            <v>2011</v>
          </cell>
          <cell r="V50" t="str">
            <v>A - NON LANCE</v>
          </cell>
          <cell r="X50" t="str">
            <v/>
          </cell>
          <cell r="AA50" t="str">
            <v/>
          </cell>
          <cell r="AC50" t="str">
            <v/>
          </cell>
          <cell r="AF50" t="str">
            <v/>
          </cell>
          <cell r="AI50" t="str">
            <v/>
          </cell>
          <cell r="AK50" t="str">
            <v/>
          </cell>
          <cell r="AL50">
            <v>0</v>
          </cell>
          <cell r="AM50" t="str">
            <v/>
          </cell>
          <cell r="AO50" t="str">
            <v/>
          </cell>
          <cell r="AP50" t="str">
            <v/>
          </cell>
          <cell r="AQ50" t="str">
            <v/>
          </cell>
          <cell r="AR50" t="str">
            <v/>
          </cell>
          <cell r="CJ50" t="str">
            <v>-</v>
          </cell>
          <cell r="CK50" t="str">
            <v>-</v>
          </cell>
          <cell r="CL50" t="str">
            <v>-</v>
          </cell>
          <cell r="CM50" t="str">
            <v>-</v>
          </cell>
          <cell r="CN50">
            <v>0</v>
          </cell>
          <cell r="CQ50" t="str">
            <v>non</v>
          </cell>
          <cell r="CX50">
            <v>0</v>
          </cell>
          <cell r="DE50">
            <v>0</v>
          </cell>
          <cell r="DJ50">
            <v>0</v>
          </cell>
          <cell r="DO50">
            <v>0</v>
          </cell>
          <cell r="DS50">
            <v>0</v>
          </cell>
          <cell r="DT50">
            <v>0</v>
          </cell>
          <cell r="DU50">
            <v>0</v>
          </cell>
          <cell r="ED50" t="str">
            <v>G:\Habitat\OPERATIONNEL HABITAT\02- Operations\Photothèque\image non disponible.jpg</v>
          </cell>
          <cell r="EE50" t="str">
            <v>G:\Habitat\OPERATIONNEL HABITAT\02- Operations\Photothèque\image non disponible.jpg</v>
          </cell>
        </row>
        <row r="51">
          <cell r="A51" t="str">
            <v>BOIS DE NEFLES  3</v>
          </cell>
          <cell r="C51" t="str">
            <v>OUEST</v>
          </cell>
          <cell r="D51" t="str">
            <v>Saint-Leu</v>
          </cell>
          <cell r="E51" t="str">
            <v>RHI BOIS DE NEFLES</v>
          </cell>
          <cell r="F51">
            <v>5</v>
          </cell>
          <cell r="G51" t="str">
            <v>LLS</v>
          </cell>
          <cell r="J51" t="str">
            <v>IND</v>
          </cell>
          <cell r="K51" t="str">
            <v>CF</v>
          </cell>
          <cell r="L51" t="str">
            <v>SIDR</v>
          </cell>
          <cell r="N51" t="str">
            <v>PC</v>
          </cell>
          <cell r="Q51" t="str">
            <v>SG</v>
          </cell>
          <cell r="R51">
            <v>2010</v>
          </cell>
          <cell r="AA51" t="str">
            <v/>
          </cell>
          <cell r="AC51" t="str">
            <v/>
          </cell>
          <cell r="AI51" t="str">
            <v/>
          </cell>
          <cell r="AK51" t="str">
            <v/>
          </cell>
          <cell r="AL51">
            <v>0</v>
          </cell>
          <cell r="AQ51" t="str">
            <v/>
          </cell>
          <cell r="CJ51" t="str">
            <v>-</v>
          </cell>
          <cell r="CK51" t="str">
            <v>-</v>
          </cell>
          <cell r="CL51" t="str">
            <v>-</v>
          </cell>
          <cell r="CM51" t="str">
            <v>-</v>
          </cell>
          <cell r="CN51">
            <v>0</v>
          </cell>
          <cell r="CQ51" t="str">
            <v>non</v>
          </cell>
          <cell r="CX51">
            <v>0</v>
          </cell>
          <cell r="DE51">
            <v>0</v>
          </cell>
          <cell r="DJ51">
            <v>0</v>
          </cell>
          <cell r="DO51">
            <v>0</v>
          </cell>
          <cell r="DS51">
            <v>0</v>
          </cell>
          <cell r="DT51">
            <v>0</v>
          </cell>
          <cell r="DU51">
            <v>0</v>
          </cell>
          <cell r="ED51" t="str">
            <v>G:\Habitat\OPERATIONNEL HABITAT\02- Operations\Photothèque\image non disponible.jpg</v>
          </cell>
          <cell r="EE51" t="str">
            <v>G:\Habitat\OPERATIONNEL HABITAT\02- Operations\Photothèque\image non disponible.jpg</v>
          </cell>
        </row>
        <row r="52">
          <cell r="A52" t="str">
            <v>BOIS DE NEFLES  2</v>
          </cell>
          <cell r="C52" t="str">
            <v>OUEST</v>
          </cell>
          <cell r="D52" t="str">
            <v>Saint-Leu</v>
          </cell>
          <cell r="E52" t="str">
            <v>RHI BOIS DE NEFLES</v>
          </cell>
          <cell r="F52">
            <v>32</v>
          </cell>
          <cell r="G52" t="str">
            <v>LESG</v>
          </cell>
          <cell r="J52" t="str">
            <v>IND</v>
          </cell>
          <cell r="K52" t="str">
            <v>CF</v>
          </cell>
          <cell r="L52" t="str">
            <v>SIDR</v>
          </cell>
          <cell r="N52" t="str">
            <v>BS</v>
          </cell>
          <cell r="Q52" t="str">
            <v>SG</v>
          </cell>
          <cell r="R52">
            <v>2010</v>
          </cell>
          <cell r="AA52" t="str">
            <v/>
          </cell>
          <cell r="AC52" t="str">
            <v/>
          </cell>
          <cell r="AI52" t="str">
            <v/>
          </cell>
          <cell r="AK52" t="str">
            <v/>
          </cell>
          <cell r="AL52">
            <v>0</v>
          </cell>
          <cell r="AQ52" t="str">
            <v/>
          </cell>
          <cell r="CJ52" t="str">
            <v>-</v>
          </cell>
          <cell r="CK52" t="str">
            <v>-</v>
          </cell>
          <cell r="CL52" t="str">
            <v>-</v>
          </cell>
          <cell r="CM52" t="str">
            <v>-</v>
          </cell>
          <cell r="CN52">
            <v>0</v>
          </cell>
          <cell r="CQ52" t="str">
            <v>non</v>
          </cell>
          <cell r="CX52">
            <v>0</v>
          </cell>
          <cell r="DE52">
            <v>0</v>
          </cell>
          <cell r="DJ52">
            <v>0</v>
          </cell>
          <cell r="DO52">
            <v>0</v>
          </cell>
          <cell r="DS52">
            <v>0</v>
          </cell>
          <cell r="DT52">
            <v>0</v>
          </cell>
          <cell r="DU52">
            <v>0</v>
          </cell>
          <cell r="ED52" t="str">
            <v>G:\Habitat\OPERATIONNEL HABITAT\02- Operations\Photothèque\image non disponible.jpg</v>
          </cell>
          <cell r="EE52" t="str">
            <v>G:\Habitat\OPERATIONNEL HABITAT\02- Operations\Photothèque\image non disponible.jpg</v>
          </cell>
        </row>
        <row r="53">
          <cell r="A53" t="str">
            <v>BOIS DE NEFLES (LES CITRONNIERS)</v>
          </cell>
          <cell r="B53">
            <v>9728</v>
          </cell>
          <cell r="C53" t="str">
            <v>OUEST</v>
          </cell>
          <cell r="D53" t="str">
            <v>Saint-Leu</v>
          </cell>
          <cell r="E53" t="str">
            <v>RHI BOIS DE NEFLES</v>
          </cell>
          <cell r="F53">
            <v>43</v>
          </cell>
          <cell r="G53" t="str">
            <v>LLTS</v>
          </cell>
          <cell r="J53" t="str">
            <v>COL</v>
          </cell>
          <cell r="K53" t="str">
            <v>CF</v>
          </cell>
          <cell r="L53" t="str">
            <v>SIDR</v>
          </cell>
          <cell r="M53" t="str">
            <v>acq en DUP</v>
          </cell>
          <cell r="N53" t="str">
            <v>PC</v>
          </cell>
          <cell r="O53" t="str">
            <v>DL</v>
          </cell>
          <cell r="P53" t="str">
            <v>AM</v>
          </cell>
          <cell r="Q53" t="str">
            <v>SG</v>
          </cell>
          <cell r="R53">
            <v>2009</v>
          </cell>
          <cell r="S53">
            <v>0.25</v>
          </cell>
          <cell r="T53" t="str">
            <v>Maintien PPA 2009 malgrés risque foncier</v>
          </cell>
          <cell r="U53" t="str">
            <v>BERTIN LEBEIGLE</v>
          </cell>
          <cell r="V53" t="str">
            <v>E - APS / PC</v>
          </cell>
          <cell r="W53">
            <v>39902</v>
          </cell>
          <cell r="AA53" t="str">
            <v/>
          </cell>
          <cell r="AB53">
            <v>39887</v>
          </cell>
          <cell r="AC53" t="str">
            <v>v</v>
          </cell>
          <cell r="AE53">
            <v>40040</v>
          </cell>
          <cell r="AH53">
            <v>40024</v>
          </cell>
          <cell r="AI53" t="str">
            <v/>
          </cell>
          <cell r="AJ53">
            <v>40147</v>
          </cell>
          <cell r="AK53" t="str">
            <v/>
          </cell>
          <cell r="AL53">
            <v>4.0439242503945287</v>
          </cell>
          <cell r="AM53">
            <v>2009</v>
          </cell>
          <cell r="AN53">
            <v>17</v>
          </cell>
          <cell r="AO53">
            <v>40663</v>
          </cell>
          <cell r="AP53">
            <v>40678</v>
          </cell>
          <cell r="AQ53" t="str">
            <v/>
          </cell>
          <cell r="AR53">
            <v>2011</v>
          </cell>
          <cell r="CJ53" t="str">
            <v>-</v>
          </cell>
          <cell r="CK53" t="str">
            <v>-</v>
          </cell>
          <cell r="CL53" t="str">
            <v>-</v>
          </cell>
          <cell r="CM53" t="str">
            <v>-</v>
          </cell>
          <cell r="CN53">
            <v>0</v>
          </cell>
          <cell r="CQ53" t="str">
            <v>non</v>
          </cell>
          <cell r="CX53">
            <v>0</v>
          </cell>
          <cell r="DE53">
            <v>0</v>
          </cell>
          <cell r="DJ53">
            <v>0</v>
          </cell>
          <cell r="DO53">
            <v>0</v>
          </cell>
          <cell r="DS53">
            <v>0</v>
          </cell>
          <cell r="DT53">
            <v>0</v>
          </cell>
          <cell r="DU53">
            <v>0</v>
          </cell>
          <cell r="ED53" t="str">
            <v>G:\Habitat\OPERATIONNEL HABITAT\02- Operations\Photothèque\image non disponible.jpg</v>
          </cell>
          <cell r="EE53" t="str">
            <v>G:\Habitat\OPERATIONNEL HABITAT\02- Operations\Photothèque\image non disponible.jpg</v>
          </cell>
        </row>
        <row r="54">
          <cell r="A54" t="str">
            <v>BORNEO</v>
          </cell>
          <cell r="B54">
            <v>9626</v>
          </cell>
          <cell r="C54" t="str">
            <v>SUD</v>
          </cell>
          <cell r="D54" t="str">
            <v>Saint-Louis</v>
          </cell>
          <cell r="E54" t="str">
            <v>ZAC AVENIR</v>
          </cell>
          <cell r="F54">
            <v>38</v>
          </cell>
          <cell r="G54" t="str">
            <v>LLTS</v>
          </cell>
          <cell r="J54" t="str">
            <v>COL</v>
          </cell>
          <cell r="K54" t="str">
            <v>CF</v>
          </cell>
          <cell r="L54" t="str">
            <v>SIDR</v>
          </cell>
          <cell r="M54" t="str">
            <v>maitrisé</v>
          </cell>
          <cell r="N54" t="str">
            <v>PC</v>
          </cell>
          <cell r="O54" t="str">
            <v>DL</v>
          </cell>
          <cell r="P54" t="str">
            <v>CS</v>
          </cell>
          <cell r="Q54" t="str">
            <v>HBM</v>
          </cell>
          <cell r="R54">
            <v>2006</v>
          </cell>
          <cell r="S54">
            <v>1</v>
          </cell>
          <cell r="T54" t="str">
            <v>temoin 5/12/2007</v>
          </cell>
          <cell r="U54" t="str">
            <v>N GROUARD</v>
          </cell>
          <cell r="V54" t="str">
            <v>L - CHANTIER EN COURS</v>
          </cell>
          <cell r="W54">
            <v>38700</v>
          </cell>
          <cell r="X54" t="str">
            <v>d</v>
          </cell>
          <cell r="Y54" t="str">
            <v>97441405A0637</v>
          </cell>
          <cell r="Z54">
            <v>38758</v>
          </cell>
          <cell r="AA54" t="str">
            <v>o</v>
          </cell>
          <cell r="AB54">
            <v>38881</v>
          </cell>
          <cell r="AC54" t="str">
            <v>v</v>
          </cell>
          <cell r="AD54">
            <v>38883</v>
          </cell>
          <cell r="AE54">
            <v>38798</v>
          </cell>
          <cell r="AF54" t="str">
            <v>f</v>
          </cell>
          <cell r="AG54">
            <v>39024</v>
          </cell>
          <cell r="AH54">
            <v>38936</v>
          </cell>
          <cell r="AI54" t="str">
            <v>ao</v>
          </cell>
          <cell r="AJ54">
            <v>39139</v>
          </cell>
          <cell r="AK54" t="str">
            <v/>
          </cell>
          <cell r="AL54">
            <v>6.6741188847974753</v>
          </cell>
          <cell r="AM54">
            <v>2007</v>
          </cell>
          <cell r="AN54">
            <v>14</v>
          </cell>
          <cell r="AO54">
            <v>39564</v>
          </cell>
          <cell r="AP54">
            <v>39603</v>
          </cell>
          <cell r="AQ54" t="str">
            <v>li</v>
          </cell>
          <cell r="AR54">
            <v>2008</v>
          </cell>
          <cell r="AS54">
            <v>2</v>
          </cell>
          <cell r="AT54">
            <v>34</v>
          </cell>
          <cell r="AW54">
            <v>11</v>
          </cell>
          <cell r="AX54">
            <v>59</v>
          </cell>
          <cell r="BA54">
            <v>13</v>
          </cell>
          <cell r="BB54">
            <v>71</v>
          </cell>
          <cell r="BE54">
            <v>10</v>
          </cell>
          <cell r="BF54">
            <v>83</v>
          </cell>
          <cell r="BI54">
            <v>2</v>
          </cell>
          <cell r="BJ54">
            <v>93</v>
          </cell>
          <cell r="BK54">
            <v>38</v>
          </cell>
          <cell r="BL54">
            <v>4.5</v>
          </cell>
          <cell r="BM54">
            <v>0.82</v>
          </cell>
          <cell r="BN54">
            <v>0.3</v>
          </cell>
          <cell r="BO54" t="str">
            <v>transmis</v>
          </cell>
          <cell r="BP54">
            <v>0.7</v>
          </cell>
          <cell r="BQ54" t="str">
            <v>transmis</v>
          </cell>
          <cell r="BX54" t="str">
            <v>en attente garanties emprunts</v>
          </cell>
          <cell r="BY54">
            <v>2922</v>
          </cell>
          <cell r="BZ54">
            <v>4477</v>
          </cell>
          <cell r="CA54">
            <v>2964.8</v>
          </cell>
          <cell r="CE54" t="str">
            <v>ECS ind</v>
          </cell>
          <cell r="CF54">
            <v>136900</v>
          </cell>
          <cell r="CG54">
            <v>41070</v>
          </cell>
          <cell r="CH54">
            <v>61605</v>
          </cell>
          <cell r="CI54">
            <v>34225</v>
          </cell>
          <cell r="CJ54" t="str">
            <v>-</v>
          </cell>
          <cell r="CK54" t="str">
            <v>-</v>
          </cell>
          <cell r="CL54" t="str">
            <v>-</v>
          </cell>
          <cell r="CM54" t="str">
            <v>-</v>
          </cell>
          <cell r="CN54">
            <v>0</v>
          </cell>
          <cell r="CQ54" t="str">
            <v>oui</v>
          </cell>
          <cell r="CX54">
            <v>0</v>
          </cell>
          <cell r="DE54">
            <v>102675</v>
          </cell>
          <cell r="DJ54">
            <v>102675</v>
          </cell>
          <cell r="DO54">
            <v>0</v>
          </cell>
          <cell r="DQ54">
            <v>120582</v>
          </cell>
          <cell r="DR54">
            <v>33250</v>
          </cell>
          <cell r="DS54">
            <v>153832</v>
          </cell>
          <cell r="DT54">
            <v>307664</v>
          </cell>
          <cell r="DU54">
            <v>410339</v>
          </cell>
          <cell r="ED54" t="str">
            <v>G:\Habitat\OPERATIONNEL HABITAT\02- Operations\Photothèque\images locatifs\BORNEO\pers esquisse rue.jpg</v>
          </cell>
          <cell r="EE54" t="str">
            <v>G:\Habitat\OPERATIONNEL HABITAT\02- Operations\Photothèque\images locatifs\BORNEO\pers esquisse interieur.jpg</v>
          </cell>
        </row>
        <row r="55">
          <cell r="A55" t="str">
            <v>BOUGAINVILLE</v>
          </cell>
          <cell r="B55">
            <v>9731</v>
          </cell>
          <cell r="C55" t="str">
            <v>NORD</v>
          </cell>
          <cell r="D55" t="str">
            <v>Saint-Denis</v>
          </cell>
          <cell r="E55" t="str">
            <v xml:space="preserve">BAS DE LA RIVIERE </v>
          </cell>
          <cell r="F55">
            <v>50</v>
          </cell>
          <cell r="G55" t="str">
            <v>LLTS</v>
          </cell>
          <cell r="J55" t="str">
            <v>COL</v>
          </cell>
          <cell r="K55" t="str">
            <v>RF</v>
          </cell>
          <cell r="M55" t="str">
            <v>prob foncier</v>
          </cell>
          <cell r="N55" t="str">
            <v>JPM</v>
          </cell>
          <cell r="O55" t="str">
            <v>PE</v>
          </cell>
          <cell r="P55" t="str">
            <v>LV</v>
          </cell>
          <cell r="R55">
            <v>2010</v>
          </cell>
          <cell r="T55" t="str">
            <v>Retard des travaux d'endiguement de la rivière (démarrage des travaux mars 2009)impliquant une impossibilté de déposer le PC - projet à présenter à la DDE &amp; commune - Risque de perte de 8 lgts et 2 commerces suite à l'aménagement du carrefour prévu par la</v>
          </cell>
          <cell r="U55" t="str">
            <v>procedure formalisée</v>
          </cell>
          <cell r="V55" t="str">
            <v>C - PROGRAMME</v>
          </cell>
          <cell r="W55">
            <v>39994</v>
          </cell>
          <cell r="AA55" t="str">
            <v/>
          </cell>
          <cell r="AB55">
            <v>39979</v>
          </cell>
          <cell r="AC55" t="str">
            <v/>
          </cell>
          <cell r="AE55">
            <v>40359</v>
          </cell>
          <cell r="AH55">
            <v>40344</v>
          </cell>
          <cell r="AI55" t="str">
            <v/>
          </cell>
          <cell r="AJ55">
            <v>40527</v>
          </cell>
          <cell r="AK55" t="str">
            <v/>
          </cell>
          <cell r="AL55">
            <v>6.0165702261967384</v>
          </cell>
          <cell r="AM55">
            <v>2010</v>
          </cell>
          <cell r="AN55">
            <v>16</v>
          </cell>
          <cell r="AO55">
            <v>41014</v>
          </cell>
          <cell r="AP55">
            <v>41029</v>
          </cell>
          <cell r="AQ55" t="str">
            <v/>
          </cell>
          <cell r="AR55">
            <v>2011</v>
          </cell>
          <cell r="CJ55" t="str">
            <v>-</v>
          </cell>
          <cell r="CK55" t="str">
            <v>-</v>
          </cell>
          <cell r="CL55" t="str">
            <v>-</v>
          </cell>
          <cell r="CM55" t="str">
            <v>-</v>
          </cell>
          <cell r="CN55">
            <v>0</v>
          </cell>
          <cell r="CQ55" t="str">
            <v>non</v>
          </cell>
          <cell r="CX55">
            <v>0</v>
          </cell>
          <cell r="DE55">
            <v>0</v>
          </cell>
          <cell r="DJ55">
            <v>0</v>
          </cell>
          <cell r="DO55">
            <v>0</v>
          </cell>
          <cell r="DS55">
            <v>0</v>
          </cell>
          <cell r="DT55">
            <v>0</v>
          </cell>
          <cell r="DU55">
            <v>0</v>
          </cell>
          <cell r="ED55" t="str">
            <v>G:\Habitat\OPERATIONNEL HABITAT\02- Operations\Photothèque\image non disponible.jpg</v>
          </cell>
          <cell r="EE55" t="str">
            <v>G:\Habitat\OPERATIONNEL HABITAT\02- Operations\Photothèque\image non disponible.jpg</v>
          </cell>
          <cell r="EX55" t="str">
            <v>AH 104</v>
          </cell>
        </row>
        <row r="56">
          <cell r="A56" t="str">
            <v>BOUL BOUL</v>
          </cell>
          <cell r="B56">
            <v>9490</v>
          </cell>
          <cell r="C56" t="str">
            <v>OUEST</v>
          </cell>
          <cell r="D56" t="str">
            <v>Port</v>
          </cell>
          <cell r="E56" t="str">
            <v>PRU LE PORT</v>
          </cell>
          <cell r="F56">
            <v>16</v>
          </cell>
          <cell r="G56" t="str">
            <v>LESG</v>
          </cell>
          <cell r="J56" t="str">
            <v>IND</v>
          </cell>
          <cell r="K56" t="str">
            <v>CF</v>
          </cell>
          <cell r="L56" t="str">
            <v>SIDR</v>
          </cell>
          <cell r="N56" t="str">
            <v>EC</v>
          </cell>
          <cell r="O56" t="str">
            <v>FG</v>
          </cell>
          <cell r="P56" t="str">
            <v>LV</v>
          </cell>
          <cell r="Q56" t="str">
            <v>CP</v>
          </cell>
          <cell r="R56">
            <v>2003</v>
          </cell>
          <cell r="U56" t="str">
            <v>ATELIER GAZUT</v>
          </cell>
          <cell r="V56" t="str">
            <v>M - LIVRE/GPA</v>
          </cell>
          <cell r="W56">
            <v>37820</v>
          </cell>
          <cell r="X56" t="str">
            <v>d</v>
          </cell>
          <cell r="Z56">
            <v>37903</v>
          </cell>
          <cell r="AA56" t="str">
            <v>o</v>
          </cell>
          <cell r="AB56" t="str">
            <v>validé</v>
          </cell>
          <cell r="AC56" t="str">
            <v/>
          </cell>
          <cell r="AD56">
            <v>0</v>
          </cell>
          <cell r="AE56">
            <v>37915</v>
          </cell>
          <cell r="AF56" t="str">
            <v>f</v>
          </cell>
          <cell r="AG56">
            <v>37973</v>
          </cell>
          <cell r="AH56">
            <v>38518</v>
          </cell>
          <cell r="AI56" t="str">
            <v>ao</v>
          </cell>
          <cell r="AJ56">
            <v>38626</v>
          </cell>
          <cell r="AK56" t="str">
            <v/>
          </cell>
          <cell r="AL56">
            <v>3.550762756443977</v>
          </cell>
          <cell r="AM56">
            <v>2005</v>
          </cell>
          <cell r="AN56">
            <v>14</v>
          </cell>
          <cell r="AO56">
            <v>39052</v>
          </cell>
          <cell r="AP56">
            <v>39187</v>
          </cell>
          <cell r="AQ56" t="str">
            <v>li</v>
          </cell>
          <cell r="AR56">
            <v>2007</v>
          </cell>
          <cell r="CJ56" t="str">
            <v>-</v>
          </cell>
          <cell r="CK56" t="str">
            <v>-</v>
          </cell>
          <cell r="CL56" t="str">
            <v>-</v>
          </cell>
          <cell r="CM56" t="str">
            <v>-</v>
          </cell>
          <cell r="CN56">
            <v>0</v>
          </cell>
          <cell r="CQ56" t="str">
            <v>oui</v>
          </cell>
          <cell r="CX56">
            <v>0</v>
          </cell>
          <cell r="DE56">
            <v>0</v>
          </cell>
          <cell r="DJ56">
            <v>0</v>
          </cell>
          <cell r="DO56">
            <v>0</v>
          </cell>
          <cell r="DS56">
            <v>0</v>
          </cell>
          <cell r="DT56">
            <v>0</v>
          </cell>
          <cell r="DU56">
            <v>0</v>
          </cell>
          <cell r="ED56" t="str">
            <v>G:\Habitat\OPERATIONNEL HABITAT\02- Operations\Photothèque\images casevo\boulboul\boulboul.gif</v>
          </cell>
          <cell r="EE56" t="str">
            <v>G:\Habitat\OPERATIONNEL HABITAT\02- Operations\Photothèque\image non disponible.jpg</v>
          </cell>
        </row>
        <row r="57">
          <cell r="A57" t="str">
            <v>BRAS DES CHEVRETTES</v>
          </cell>
          <cell r="C57" t="str">
            <v>EST</v>
          </cell>
          <cell r="D57" t="str">
            <v>Saint-André</v>
          </cell>
          <cell r="F57">
            <v>12</v>
          </cell>
          <cell r="G57" t="str">
            <v>LESG</v>
          </cell>
          <cell r="J57" t="str">
            <v>IND</v>
          </cell>
          <cell r="K57" t="str">
            <v>CF</v>
          </cell>
          <cell r="L57" t="str">
            <v>SIDR</v>
          </cell>
          <cell r="N57" t="str">
            <v>BB</v>
          </cell>
          <cell r="Q57" t="str">
            <v>SPG</v>
          </cell>
          <cell r="R57">
            <v>2012</v>
          </cell>
          <cell r="V57" t="str">
            <v>A - NON LANCE</v>
          </cell>
          <cell r="X57" t="str">
            <v/>
          </cell>
          <cell r="AA57" t="str">
            <v/>
          </cell>
          <cell r="AC57" t="str">
            <v/>
          </cell>
          <cell r="AF57" t="str">
            <v/>
          </cell>
          <cell r="AI57" t="str">
            <v/>
          </cell>
          <cell r="AK57" t="str">
            <v/>
          </cell>
          <cell r="AL57">
            <v>0</v>
          </cell>
          <cell r="AM57" t="str">
            <v/>
          </cell>
          <cell r="AO57" t="str">
            <v/>
          </cell>
          <cell r="AP57" t="str">
            <v/>
          </cell>
          <cell r="AQ57" t="str">
            <v/>
          </cell>
          <cell r="AR57" t="str">
            <v/>
          </cell>
          <cell r="CJ57" t="str">
            <v>-</v>
          </cell>
          <cell r="CK57" t="str">
            <v>-</v>
          </cell>
          <cell r="CL57" t="str">
            <v>-</v>
          </cell>
          <cell r="CM57" t="str">
            <v>-</v>
          </cell>
          <cell r="CN57">
            <v>0</v>
          </cell>
          <cell r="CQ57" t="str">
            <v>non</v>
          </cell>
          <cell r="CX57">
            <v>0</v>
          </cell>
          <cell r="DE57">
            <v>0</v>
          </cell>
          <cell r="DJ57">
            <v>0</v>
          </cell>
          <cell r="DO57">
            <v>0</v>
          </cell>
          <cell r="DS57">
            <v>0</v>
          </cell>
          <cell r="DT57">
            <v>0</v>
          </cell>
          <cell r="DU57">
            <v>0</v>
          </cell>
          <cell r="ED57" t="str">
            <v>G:\Habitat\OPERATIONNEL HABITAT\02- Operations\Photothèque\image non disponible.jpg</v>
          </cell>
          <cell r="EE57" t="str">
            <v>G:\Habitat\OPERATIONNEL HABITAT\02- Operations\Photothèque\image non disponible.jpg</v>
          </cell>
        </row>
        <row r="58">
          <cell r="A58" t="str">
            <v>BRAS DES CHEVRETTES</v>
          </cell>
          <cell r="C58" t="str">
            <v>EST</v>
          </cell>
          <cell r="D58" t="str">
            <v>Saint-André</v>
          </cell>
          <cell r="F58">
            <v>6</v>
          </cell>
          <cell r="G58" t="str">
            <v>LLS</v>
          </cell>
          <cell r="J58" t="str">
            <v>IND</v>
          </cell>
          <cell r="K58" t="str">
            <v>CF</v>
          </cell>
          <cell r="L58" t="str">
            <v>SIDR</v>
          </cell>
          <cell r="N58" t="str">
            <v>BB</v>
          </cell>
          <cell r="Q58" t="str">
            <v>SPG</v>
          </cell>
          <cell r="R58">
            <v>2012</v>
          </cell>
          <cell r="V58" t="str">
            <v>A - NON LANCE</v>
          </cell>
          <cell r="X58" t="str">
            <v/>
          </cell>
          <cell r="AA58" t="str">
            <v/>
          </cell>
          <cell r="AC58" t="str">
            <v/>
          </cell>
          <cell r="AF58" t="str">
            <v/>
          </cell>
          <cell r="AI58" t="str">
            <v/>
          </cell>
          <cell r="AK58" t="str">
            <v/>
          </cell>
          <cell r="AL58">
            <v>0</v>
          </cell>
          <cell r="AM58" t="str">
            <v/>
          </cell>
          <cell r="AO58" t="str">
            <v/>
          </cell>
          <cell r="AP58" t="str">
            <v/>
          </cell>
          <cell r="AQ58" t="str">
            <v/>
          </cell>
          <cell r="CJ58" t="str">
            <v>-</v>
          </cell>
          <cell r="CK58" t="str">
            <v>-</v>
          </cell>
          <cell r="CL58" t="str">
            <v>-</v>
          </cell>
          <cell r="CM58" t="str">
            <v>-</v>
          </cell>
          <cell r="CN58">
            <v>0</v>
          </cell>
          <cell r="CQ58" t="str">
            <v>non</v>
          </cell>
          <cell r="CX58">
            <v>0</v>
          </cell>
          <cell r="DE58">
            <v>0</v>
          </cell>
          <cell r="DJ58">
            <v>0</v>
          </cell>
          <cell r="DO58">
            <v>0</v>
          </cell>
          <cell r="DS58">
            <v>0</v>
          </cell>
          <cell r="DT58">
            <v>0</v>
          </cell>
          <cell r="DU58">
            <v>0</v>
          </cell>
          <cell r="ED58" t="str">
            <v>G:\Habitat\OPERATIONNEL HABITAT\02- Operations\Photothèque\image non disponible.jpg</v>
          </cell>
          <cell r="EE58" t="str">
            <v>G:\Habitat\OPERATIONNEL HABITAT\02- Operations\Photothèque\image non disponible.jpg</v>
          </cell>
        </row>
        <row r="59">
          <cell r="A59" t="str">
            <v>CALISTO</v>
          </cell>
          <cell r="B59">
            <v>9384</v>
          </cell>
          <cell r="C59" t="str">
            <v>SUD</v>
          </cell>
          <cell r="D59" t="str">
            <v>Saint-Pierre</v>
          </cell>
          <cell r="E59" t="str">
            <v>RHI BASTER</v>
          </cell>
          <cell r="F59">
            <v>32</v>
          </cell>
          <cell r="G59" t="str">
            <v>LLTS</v>
          </cell>
          <cell r="J59" t="str">
            <v>COL</v>
          </cell>
          <cell r="K59" t="str">
            <v>CF</v>
          </cell>
          <cell r="L59" t="str">
            <v>SIDR</v>
          </cell>
          <cell r="N59" t="str">
            <v>N.A.</v>
          </cell>
          <cell r="O59" t="str">
            <v>GG</v>
          </cell>
          <cell r="P59" t="str">
            <v>AM</v>
          </cell>
          <cell r="R59">
            <v>2001</v>
          </cell>
          <cell r="T59" t="str">
            <v>ras</v>
          </cell>
          <cell r="U59" t="str">
            <v>BONNEVILLE</v>
          </cell>
          <cell r="V59" t="str">
            <v>M - LIVRE/GPA</v>
          </cell>
          <cell r="W59" t="str">
            <v>déposé</v>
          </cell>
          <cell r="X59" t="str">
            <v>d</v>
          </cell>
          <cell r="Y59" t="str">
            <v>97441601A0439</v>
          </cell>
          <cell r="Z59" t="str">
            <v>obtenu</v>
          </cell>
          <cell r="AA59" t="str">
            <v/>
          </cell>
          <cell r="AB59" t="str">
            <v>validé</v>
          </cell>
          <cell r="AC59" t="str">
            <v/>
          </cell>
          <cell r="AE59" t="str">
            <v>D</v>
          </cell>
          <cell r="AG59" t="str">
            <v>O</v>
          </cell>
          <cell r="AH59">
            <v>37411</v>
          </cell>
          <cell r="AI59" t="str">
            <v>ao</v>
          </cell>
          <cell r="AJ59">
            <v>37530</v>
          </cell>
          <cell r="AK59" t="str">
            <v/>
          </cell>
          <cell r="AL59">
            <v>3.9124145186743817</v>
          </cell>
          <cell r="AM59">
            <v>2002</v>
          </cell>
          <cell r="AN59">
            <v>14</v>
          </cell>
          <cell r="AO59">
            <v>37956</v>
          </cell>
          <cell r="AP59">
            <v>38330</v>
          </cell>
          <cell r="AQ59" t="str">
            <v>li</v>
          </cell>
          <cell r="AR59">
            <v>2004</v>
          </cell>
          <cell r="BO59" t="str">
            <v>signée</v>
          </cell>
          <cell r="BQ59" t="str">
            <v>signée</v>
          </cell>
          <cell r="BX59" t="str">
            <v>signé</v>
          </cell>
          <cell r="CA59">
            <v>2360.89</v>
          </cell>
          <cell r="CE59" t="str">
            <v>ECS ind</v>
          </cell>
          <cell r="CF59">
            <v>78109</v>
          </cell>
          <cell r="CG59">
            <v>23432</v>
          </cell>
          <cell r="CH59">
            <v>35149</v>
          </cell>
          <cell r="CI59">
            <v>19527</v>
          </cell>
          <cell r="CJ59" t="str">
            <v>-</v>
          </cell>
          <cell r="CK59" t="str">
            <v>-</v>
          </cell>
          <cell r="CL59" t="str">
            <v>-</v>
          </cell>
          <cell r="CM59" t="str">
            <v>-</v>
          </cell>
          <cell r="CN59">
            <v>0</v>
          </cell>
          <cell r="CQ59" t="str">
            <v>oui</v>
          </cell>
          <cell r="CR59">
            <v>209012</v>
          </cell>
          <cell r="CT59">
            <v>1635320</v>
          </cell>
          <cell r="CX59">
            <v>1844332</v>
          </cell>
          <cell r="DE59">
            <v>58581</v>
          </cell>
          <cell r="DJ59">
            <v>58581</v>
          </cell>
          <cell r="DO59">
            <v>0</v>
          </cell>
          <cell r="DQ59">
            <v>65306</v>
          </cell>
          <cell r="DR59">
            <v>19527</v>
          </cell>
          <cell r="DS59">
            <v>84833</v>
          </cell>
          <cell r="DT59">
            <v>169666</v>
          </cell>
          <cell r="DU59">
            <v>-1616085</v>
          </cell>
          <cell r="ED59" t="str">
            <v>G:\Habitat\OPERATIONNEL HABITAT\02- Operations\Photothèque\image non disponible.jpg</v>
          </cell>
          <cell r="EE59" t="str">
            <v>G:\Habitat\OPERATIONNEL HABITAT\02- Operations\Photothèque\image non disponible.jpg</v>
          </cell>
        </row>
        <row r="60">
          <cell r="A60" t="str">
            <v>CAMPBEL 3 LES</v>
          </cell>
          <cell r="C60" t="str">
            <v>OUEST</v>
          </cell>
          <cell r="D60" t="str">
            <v>Port</v>
          </cell>
          <cell r="E60" t="str">
            <v>RHI multisite</v>
          </cell>
          <cell r="F60">
            <v>2</v>
          </cell>
          <cell r="G60" t="str">
            <v>LESG</v>
          </cell>
          <cell r="J60" t="str">
            <v>MV</v>
          </cell>
          <cell r="K60" t="str">
            <v>CF</v>
          </cell>
          <cell r="L60" t="str">
            <v>SIDR</v>
          </cell>
          <cell r="N60" t="str">
            <v>BS</v>
          </cell>
          <cell r="Q60" t="str">
            <v>VM</v>
          </cell>
          <cell r="R60">
            <v>2012</v>
          </cell>
          <cell r="AA60" t="str">
            <v/>
          </cell>
          <cell r="AC60" t="str">
            <v/>
          </cell>
          <cell r="AI60" t="str">
            <v/>
          </cell>
          <cell r="AK60" t="str">
            <v/>
          </cell>
          <cell r="AL60">
            <v>0</v>
          </cell>
          <cell r="AQ60" t="str">
            <v/>
          </cell>
          <cell r="CJ60" t="str">
            <v>-</v>
          </cell>
          <cell r="CK60" t="str">
            <v>-</v>
          </cell>
          <cell r="CL60" t="str">
            <v>-</v>
          </cell>
          <cell r="CM60" t="str">
            <v>-</v>
          </cell>
          <cell r="CN60">
            <v>0</v>
          </cell>
          <cell r="CQ60" t="str">
            <v>non</v>
          </cell>
          <cell r="CX60">
            <v>0</v>
          </cell>
          <cell r="DE60">
            <v>0</v>
          </cell>
          <cell r="DJ60">
            <v>0</v>
          </cell>
          <cell r="DO60">
            <v>0</v>
          </cell>
          <cell r="DS60">
            <v>0</v>
          </cell>
          <cell r="DT60">
            <v>0</v>
          </cell>
          <cell r="DU60">
            <v>0</v>
          </cell>
          <cell r="ED60" t="str">
            <v>G:\Habitat\OPERATIONNEL HABITAT\02- Operations\Photothèque\image non disponible.jpg</v>
          </cell>
          <cell r="EE60" t="str">
            <v>G:\Habitat\OPERATIONNEL HABITAT\02- Operations\Photothèque\image non disponible.jpg</v>
          </cell>
        </row>
        <row r="61">
          <cell r="A61" t="str">
            <v>CAMPBEL 3</v>
          </cell>
          <cell r="C61" t="str">
            <v>OUEST</v>
          </cell>
          <cell r="D61" t="str">
            <v>Port</v>
          </cell>
          <cell r="E61" t="str">
            <v>RHI multisite</v>
          </cell>
          <cell r="F61">
            <v>8</v>
          </cell>
          <cell r="G61" t="str">
            <v>LLTS</v>
          </cell>
          <cell r="J61" t="str">
            <v>MV</v>
          </cell>
          <cell r="K61" t="str">
            <v>CF</v>
          </cell>
          <cell r="L61" t="str">
            <v>SIDR</v>
          </cell>
          <cell r="N61" t="str">
            <v>N.A.</v>
          </cell>
          <cell r="Q61" t="str">
            <v>VM</v>
          </cell>
          <cell r="R61">
            <v>2012</v>
          </cell>
          <cell r="AA61" t="str">
            <v/>
          </cell>
          <cell r="AC61" t="str">
            <v/>
          </cell>
          <cell r="AI61" t="str">
            <v/>
          </cell>
          <cell r="AK61" t="str">
            <v/>
          </cell>
          <cell r="AL61">
            <v>0</v>
          </cell>
          <cell r="AQ61" t="str">
            <v/>
          </cell>
          <cell r="CJ61" t="str">
            <v>-</v>
          </cell>
          <cell r="CK61" t="str">
            <v>-</v>
          </cell>
          <cell r="CL61" t="str">
            <v>-</v>
          </cell>
          <cell r="CM61" t="str">
            <v>-</v>
          </cell>
          <cell r="CN61">
            <v>0</v>
          </cell>
          <cell r="CQ61" t="str">
            <v>non</v>
          </cell>
          <cell r="CX61">
            <v>0</v>
          </cell>
          <cell r="DE61">
            <v>0</v>
          </cell>
          <cell r="DJ61">
            <v>0</v>
          </cell>
          <cell r="DO61">
            <v>0</v>
          </cell>
          <cell r="DS61">
            <v>0</v>
          </cell>
          <cell r="DT61">
            <v>0</v>
          </cell>
          <cell r="DU61">
            <v>0</v>
          </cell>
          <cell r="ED61" t="str">
            <v>G:\Habitat\OPERATIONNEL HABITAT\02- Operations\Photothèque\image non disponible.jpg</v>
          </cell>
          <cell r="EE61" t="str">
            <v>G:\Habitat\OPERATIONNEL HABITAT\02- Operations\Photothèque\image non disponible.jpg</v>
          </cell>
        </row>
        <row r="62">
          <cell r="A62" t="str">
            <v>CAMPBEL 1 - 2</v>
          </cell>
          <cell r="C62" t="str">
            <v>OUEST</v>
          </cell>
          <cell r="D62" t="str">
            <v>Port</v>
          </cell>
          <cell r="E62" t="str">
            <v>RHI multisite</v>
          </cell>
          <cell r="F62">
            <v>42</v>
          </cell>
          <cell r="G62" t="str">
            <v>LLTS</v>
          </cell>
          <cell r="J62" t="str">
            <v>COL</v>
          </cell>
          <cell r="K62" t="str">
            <v>CF</v>
          </cell>
          <cell r="L62" t="str">
            <v>SIDR</v>
          </cell>
          <cell r="N62" t="str">
            <v>N.A.</v>
          </cell>
          <cell r="Q62" t="str">
            <v>VM</v>
          </cell>
          <cell r="R62">
            <v>2011</v>
          </cell>
          <cell r="AA62" t="str">
            <v/>
          </cell>
          <cell r="AC62" t="str">
            <v/>
          </cell>
          <cell r="AI62" t="str">
            <v/>
          </cell>
          <cell r="AK62" t="str">
            <v/>
          </cell>
          <cell r="AL62">
            <v>0</v>
          </cell>
          <cell r="AQ62" t="str">
            <v/>
          </cell>
          <cell r="CJ62" t="str">
            <v>-</v>
          </cell>
          <cell r="CK62" t="str">
            <v>-</v>
          </cell>
          <cell r="CL62" t="str">
            <v>-</v>
          </cell>
          <cell r="CM62" t="str">
            <v>-</v>
          </cell>
          <cell r="CN62">
            <v>0</v>
          </cell>
          <cell r="CQ62" t="str">
            <v>non</v>
          </cell>
          <cell r="CX62">
            <v>0</v>
          </cell>
          <cell r="DE62">
            <v>0</v>
          </cell>
          <cell r="DJ62">
            <v>0</v>
          </cell>
          <cell r="DO62">
            <v>0</v>
          </cell>
          <cell r="DS62">
            <v>0</v>
          </cell>
          <cell r="DT62">
            <v>0</v>
          </cell>
          <cell r="DU62">
            <v>0</v>
          </cell>
          <cell r="ED62" t="str">
            <v>G:\Habitat\OPERATIONNEL HABITAT\02- Operations\Photothèque\image non disponible.jpg</v>
          </cell>
          <cell r="EE62" t="str">
            <v>G:\Habitat\OPERATIONNEL HABITAT\02- Operations\Photothèque\image non disponible.jpg</v>
          </cell>
        </row>
        <row r="63">
          <cell r="A63" t="str">
            <v>CANAL MON REPOS</v>
          </cell>
          <cell r="B63">
            <v>9505</v>
          </cell>
          <cell r="C63" t="str">
            <v>OUEST</v>
          </cell>
          <cell r="D63" t="str">
            <v>Saint-Paul</v>
          </cell>
          <cell r="E63" t="str">
            <v>ZAC MON REPOS SPAG</v>
          </cell>
          <cell r="F63">
            <v>36</v>
          </cell>
          <cell r="G63" t="str">
            <v>LLS</v>
          </cell>
          <cell r="J63" t="str">
            <v>MV</v>
          </cell>
          <cell r="K63" t="str">
            <v>CF</v>
          </cell>
          <cell r="L63" t="str">
            <v>SPAG</v>
          </cell>
          <cell r="N63" t="str">
            <v>PC</v>
          </cell>
          <cell r="O63" t="str">
            <v>DL</v>
          </cell>
          <cell r="P63" t="str">
            <v>AM</v>
          </cell>
          <cell r="R63">
            <v>2004</v>
          </cell>
          <cell r="T63" t="str">
            <v>VISITE GPA faite</v>
          </cell>
          <cell r="U63" t="str">
            <v>MARAIS TESSIER</v>
          </cell>
          <cell r="V63" t="str">
            <v>M - LIVRE/GPA</v>
          </cell>
          <cell r="W63">
            <v>38162</v>
          </cell>
          <cell r="X63" t="str">
            <v>d</v>
          </cell>
          <cell r="Y63" t="str">
            <v>974150A445/M1</v>
          </cell>
          <cell r="Z63">
            <v>38379</v>
          </cell>
          <cell r="AA63" t="str">
            <v>o</v>
          </cell>
          <cell r="AB63" t="str">
            <v>validé</v>
          </cell>
          <cell r="AC63" t="str">
            <v/>
          </cell>
          <cell r="AD63">
            <v>38265</v>
          </cell>
          <cell r="AE63">
            <v>38187</v>
          </cell>
          <cell r="AF63" t="str">
            <v>f</v>
          </cell>
          <cell r="AG63">
            <v>38419</v>
          </cell>
          <cell r="AH63">
            <v>38306</v>
          </cell>
          <cell r="AI63" t="str">
            <v>ao</v>
          </cell>
          <cell r="AJ63">
            <v>38467</v>
          </cell>
          <cell r="AK63" t="str">
            <v/>
          </cell>
          <cell r="AL63">
            <v>5.2932667017359281</v>
          </cell>
          <cell r="AM63">
            <v>2005</v>
          </cell>
          <cell r="AN63">
            <v>18</v>
          </cell>
          <cell r="AO63">
            <v>39015</v>
          </cell>
          <cell r="AP63">
            <v>38904</v>
          </cell>
          <cell r="AQ63" t="str">
            <v>li</v>
          </cell>
          <cell r="AR63">
            <v>2006</v>
          </cell>
          <cell r="AS63">
            <v>2</v>
          </cell>
          <cell r="AT63">
            <v>35</v>
          </cell>
          <cell r="AW63">
            <v>8</v>
          </cell>
          <cell r="AX63">
            <v>60</v>
          </cell>
          <cell r="BA63">
            <v>16</v>
          </cell>
          <cell r="BB63">
            <v>69</v>
          </cell>
          <cell r="BE63">
            <v>9</v>
          </cell>
          <cell r="BF63">
            <v>78</v>
          </cell>
          <cell r="BI63">
            <v>1</v>
          </cell>
          <cell r="BJ63">
            <v>88</v>
          </cell>
          <cell r="BK63">
            <v>36</v>
          </cell>
          <cell r="BL63">
            <v>5.36</v>
          </cell>
          <cell r="BM63">
            <v>0.32</v>
          </cell>
          <cell r="BN63">
            <v>0.2</v>
          </cell>
          <cell r="BO63" t="str">
            <v>signée</v>
          </cell>
          <cell r="BP63">
            <v>0.8</v>
          </cell>
          <cell r="BQ63" t="str">
            <v>signée</v>
          </cell>
          <cell r="BX63" t="str">
            <v>signé</v>
          </cell>
          <cell r="BY63">
            <v>2227</v>
          </cell>
          <cell r="BZ63">
            <v>3021</v>
          </cell>
          <cell r="CA63">
            <v>2467.6999999999998</v>
          </cell>
          <cell r="CE63" t="str">
            <v>ECS ind</v>
          </cell>
          <cell r="CF63">
            <v>91405.09</v>
          </cell>
          <cell r="CG63">
            <v>27421.527000000002</v>
          </cell>
          <cell r="CH63">
            <v>41132.290500000003</v>
          </cell>
          <cell r="CI63">
            <v>22851.272499999999</v>
          </cell>
          <cell r="CJ63" t="str">
            <v>-</v>
          </cell>
          <cell r="CK63" t="str">
            <v>-</v>
          </cell>
          <cell r="CL63" t="str">
            <v>-</v>
          </cell>
          <cell r="CM63" t="str">
            <v>-</v>
          </cell>
          <cell r="CN63">
            <v>0</v>
          </cell>
          <cell r="CQ63" t="str">
            <v>oui</v>
          </cell>
          <cell r="CR63">
            <v>559473</v>
          </cell>
          <cell r="CT63">
            <v>1824910</v>
          </cell>
          <cell r="CX63">
            <v>2384383</v>
          </cell>
          <cell r="DE63">
            <v>68553.817500000005</v>
          </cell>
          <cell r="DJ63">
            <v>68553.817500000005</v>
          </cell>
          <cell r="DO63">
            <v>0</v>
          </cell>
          <cell r="DQ63">
            <v>72900</v>
          </cell>
          <cell r="DR63">
            <v>22851</v>
          </cell>
          <cell r="DS63">
            <v>95751</v>
          </cell>
          <cell r="DT63">
            <v>191502</v>
          </cell>
          <cell r="DU63">
            <v>-2124327.1825000001</v>
          </cell>
          <cell r="ED63" t="str">
            <v>G:\Habitat\OPERATIONNEL HABITAT\02- Operations\Photothèque\images locatifs\Canal Mon Repos\insertion ile de batz.jpg</v>
          </cell>
          <cell r="EE63" t="str">
            <v>G:\Habitat\OPERATIONNEL HABITAT\02- Operations\Photothèque\image non disponible.jpg</v>
          </cell>
        </row>
        <row r="64">
          <cell r="A64" t="str">
            <v>CAP OUEST</v>
          </cell>
          <cell r="B64">
            <v>9627</v>
          </cell>
          <cell r="C64" t="str">
            <v>OUEST</v>
          </cell>
          <cell r="D64" t="str">
            <v>Port</v>
          </cell>
          <cell r="E64" t="str">
            <v>CENTRE VILLE</v>
          </cell>
          <cell r="F64">
            <v>27</v>
          </cell>
          <cell r="G64" t="str">
            <v>ACC</v>
          </cell>
          <cell r="J64" t="str">
            <v>COL</v>
          </cell>
          <cell r="K64" t="str">
            <v>RF</v>
          </cell>
          <cell r="M64" t="str">
            <v>maitrisé</v>
          </cell>
          <cell r="N64" t="str">
            <v>N.A.</v>
          </cell>
          <cell r="O64" t="str">
            <v>JH</v>
          </cell>
          <cell r="P64" t="str">
            <v>NA</v>
          </cell>
          <cell r="R64">
            <v>2006</v>
          </cell>
          <cell r="T64" t="str">
            <v>EDF/surcout BBOI/Avenant  Moe/problememe agence-commerce</v>
          </cell>
          <cell r="U64" t="str">
            <v>ARCHITECTES DE L'EPERON</v>
          </cell>
          <cell r="V64" t="str">
            <v>L - CHANTIER EN COURS</v>
          </cell>
          <cell r="W64">
            <v>38806</v>
          </cell>
          <cell r="X64" t="str">
            <v>d</v>
          </cell>
          <cell r="Z64">
            <v>38981</v>
          </cell>
          <cell r="AA64" t="str">
            <v>o</v>
          </cell>
          <cell r="AB64">
            <v>39568</v>
          </cell>
          <cell r="AC64" t="str">
            <v>v</v>
          </cell>
          <cell r="AD64" t="str">
            <v>v</v>
          </cell>
          <cell r="AF64" t="str">
            <v/>
          </cell>
          <cell r="AH64">
            <v>39010</v>
          </cell>
          <cell r="AI64" t="str">
            <v>ao</v>
          </cell>
          <cell r="AJ64">
            <v>39507</v>
          </cell>
          <cell r="AK64" t="str">
            <v>ch</v>
          </cell>
          <cell r="AL64">
            <v>16.340084166228301</v>
          </cell>
          <cell r="AM64">
            <v>2008</v>
          </cell>
          <cell r="AN64">
            <v>14</v>
          </cell>
          <cell r="AO64">
            <v>39932</v>
          </cell>
          <cell r="AP64">
            <v>39947</v>
          </cell>
          <cell r="AQ64" t="str">
            <v/>
          </cell>
          <cell r="AR64">
            <v>2009</v>
          </cell>
          <cell r="CJ64" t="str">
            <v>-</v>
          </cell>
          <cell r="CK64" t="str">
            <v>-</v>
          </cell>
          <cell r="CL64" t="str">
            <v>-</v>
          </cell>
          <cell r="CM64" t="str">
            <v>-</v>
          </cell>
          <cell r="CN64">
            <v>0</v>
          </cell>
          <cell r="CQ64" t="str">
            <v>non</v>
          </cell>
          <cell r="CX64">
            <v>0</v>
          </cell>
          <cell r="DE64">
            <v>0</v>
          </cell>
          <cell r="DJ64">
            <v>0</v>
          </cell>
          <cell r="DO64">
            <v>0</v>
          </cell>
          <cell r="DS64">
            <v>0</v>
          </cell>
          <cell r="DT64">
            <v>0</v>
          </cell>
          <cell r="DU64">
            <v>0</v>
          </cell>
          <cell r="ED64" t="str">
            <v>G:\Habitat\OPERATIONNEL HABITAT\02- Operations\Photothèque\image non disponible.jpg</v>
          </cell>
          <cell r="EE64" t="str">
            <v>G:\Habitat\OPERATIONNEL HABITAT\02- Operations\Photothèque\image non disponible.jpg</v>
          </cell>
        </row>
        <row r="65">
          <cell r="A65" t="str">
            <v>CAPRI 1</v>
          </cell>
          <cell r="C65" t="str">
            <v>EST</v>
          </cell>
          <cell r="D65" t="str">
            <v>Saint-Benoît</v>
          </cell>
          <cell r="E65" t="str">
            <v>ZAC ENTREE DE VILLE ST ANNE</v>
          </cell>
          <cell r="F65">
            <v>15</v>
          </cell>
          <cell r="G65" t="str">
            <v>LES+</v>
          </cell>
          <cell r="J65" t="str">
            <v>MV</v>
          </cell>
          <cell r="K65" t="str">
            <v>CF</v>
          </cell>
          <cell r="L65" t="str">
            <v>SIDR</v>
          </cell>
          <cell r="M65" t="str">
            <v>maitrisé</v>
          </cell>
          <cell r="N65" t="str">
            <v>BS</v>
          </cell>
          <cell r="O65" t="str">
            <v>OS</v>
          </cell>
          <cell r="P65" t="str">
            <v>LV</v>
          </cell>
          <cell r="Q65" t="str">
            <v>AR</v>
          </cell>
          <cell r="R65">
            <v>2008</v>
          </cell>
          <cell r="S65">
            <v>0.25</v>
          </cell>
          <cell r="T65" t="str">
            <v>LES +  / Problématique de la livraison de la station d'épuration (livraison annoncée octobre 2011) alors que l'opération doit se terminer courant 2011 !!!!</v>
          </cell>
          <cell r="U65" t="str">
            <v>GAZUT</v>
          </cell>
          <cell r="V65" t="str">
            <v>G - PROJET</v>
          </cell>
          <cell r="W65">
            <v>39667</v>
          </cell>
          <cell r="X65" t="str">
            <v>d</v>
          </cell>
          <cell r="Y65" t="str">
            <v>9741008a0283</v>
          </cell>
          <cell r="Z65">
            <v>39689</v>
          </cell>
          <cell r="AA65" t="str">
            <v>o</v>
          </cell>
          <cell r="AB65">
            <v>39639</v>
          </cell>
          <cell r="AC65" t="str">
            <v>v</v>
          </cell>
          <cell r="AD65">
            <v>39729</v>
          </cell>
          <cell r="AE65">
            <v>39717</v>
          </cell>
          <cell r="AF65" t="str">
            <v>f</v>
          </cell>
          <cell r="AH65">
            <v>39872</v>
          </cell>
          <cell r="AI65" t="str">
            <v>ao</v>
          </cell>
          <cell r="AJ65">
            <v>40009</v>
          </cell>
          <cell r="AK65" t="str">
            <v/>
          </cell>
          <cell r="AL65">
            <v>4.5042083114150451</v>
          </cell>
          <cell r="AM65">
            <v>2009</v>
          </cell>
          <cell r="AN65">
            <v>12</v>
          </cell>
          <cell r="AO65">
            <v>40374</v>
          </cell>
          <cell r="AP65">
            <v>40389</v>
          </cell>
          <cell r="AQ65" t="str">
            <v/>
          </cell>
          <cell r="AR65">
            <v>2010</v>
          </cell>
          <cell r="CJ65" t="str">
            <v>-</v>
          </cell>
          <cell r="CK65" t="str">
            <v>-</v>
          </cell>
          <cell r="CL65" t="str">
            <v>-</v>
          </cell>
          <cell r="CM65" t="str">
            <v>-</v>
          </cell>
          <cell r="CN65">
            <v>0</v>
          </cell>
          <cell r="CQ65" t="str">
            <v>non</v>
          </cell>
          <cell r="CX65">
            <v>0</v>
          </cell>
          <cell r="DE65">
            <v>0</v>
          </cell>
          <cell r="DJ65">
            <v>0</v>
          </cell>
          <cell r="DO65">
            <v>0</v>
          </cell>
          <cell r="DS65">
            <v>0</v>
          </cell>
          <cell r="DT65">
            <v>0</v>
          </cell>
          <cell r="DU65">
            <v>0</v>
          </cell>
          <cell r="ED65" t="str">
            <v>G:\Habitat\OPERATIONNEL HABITAT\02- Operations\Photothèque\image non disponible.jpg</v>
          </cell>
          <cell r="EE65" t="str">
            <v>G:\Habitat\OPERATIONNEL HABITAT\02- Operations\Photothèque\image non disponible.jpg</v>
          </cell>
        </row>
        <row r="66">
          <cell r="A66" t="str">
            <v>CAPRI 2</v>
          </cell>
          <cell r="C66" t="str">
            <v>EST</v>
          </cell>
          <cell r="D66" t="str">
            <v>Saint-Benoît</v>
          </cell>
          <cell r="E66" t="str">
            <v>ZAC ENTREE DE VILLE ST ANNE</v>
          </cell>
          <cell r="F66">
            <v>15</v>
          </cell>
          <cell r="G66" t="str">
            <v>LESG</v>
          </cell>
          <cell r="J66" t="str">
            <v>MV</v>
          </cell>
          <cell r="K66" t="str">
            <v>CF</v>
          </cell>
          <cell r="L66" t="str">
            <v>SIDR</v>
          </cell>
          <cell r="M66" t="str">
            <v>maitrisé</v>
          </cell>
          <cell r="N66" t="str">
            <v>BS</v>
          </cell>
          <cell r="O66" t="str">
            <v>OS</v>
          </cell>
          <cell r="P66" t="str">
            <v>LV</v>
          </cell>
          <cell r="Q66" t="str">
            <v>AR</v>
          </cell>
          <cell r="R66">
            <v>2008</v>
          </cell>
          <cell r="T66" t="str">
            <v>LESg  /  Problématique de la livraison de la station d'épuration (livraison annoncée octobre 2011) alors que l'opération doit se terminer courant 2011 !!!!</v>
          </cell>
          <cell r="U66" t="str">
            <v>GAZUT</v>
          </cell>
          <cell r="V66" t="str">
            <v>G - PROJET</v>
          </cell>
          <cell r="W66">
            <v>39667</v>
          </cell>
          <cell r="Y66" t="str">
            <v>9741008a0283</v>
          </cell>
          <cell r="Z66">
            <v>39689</v>
          </cell>
          <cell r="AA66" t="str">
            <v>o</v>
          </cell>
          <cell r="AB66">
            <v>39639</v>
          </cell>
          <cell r="AC66" t="str">
            <v>v</v>
          </cell>
          <cell r="AD66">
            <v>39729</v>
          </cell>
          <cell r="AE66">
            <v>39717</v>
          </cell>
          <cell r="AF66" t="str">
            <v>f</v>
          </cell>
          <cell r="AH66">
            <v>39872</v>
          </cell>
          <cell r="AI66" t="str">
            <v>ao</v>
          </cell>
          <cell r="AJ66">
            <v>40009</v>
          </cell>
          <cell r="AK66" t="str">
            <v/>
          </cell>
          <cell r="AL66">
            <v>4.5042083114150451</v>
          </cell>
          <cell r="AM66">
            <v>2009</v>
          </cell>
          <cell r="AN66">
            <v>16</v>
          </cell>
          <cell r="AO66">
            <v>40497</v>
          </cell>
          <cell r="AP66">
            <v>40512</v>
          </cell>
          <cell r="AQ66" t="str">
            <v/>
          </cell>
          <cell r="AR66">
            <v>2010</v>
          </cell>
          <cell r="CJ66" t="str">
            <v>-</v>
          </cell>
          <cell r="CK66" t="str">
            <v>-</v>
          </cell>
          <cell r="CL66" t="str">
            <v>-</v>
          </cell>
          <cell r="CM66" t="str">
            <v>-</v>
          </cell>
          <cell r="CN66">
            <v>0</v>
          </cell>
          <cell r="CQ66" t="str">
            <v>non</v>
          </cell>
          <cell r="CX66">
            <v>0</v>
          </cell>
          <cell r="DE66">
            <v>0</v>
          </cell>
          <cell r="DJ66">
            <v>0</v>
          </cell>
          <cell r="DO66">
            <v>0</v>
          </cell>
          <cell r="DS66">
            <v>0</v>
          </cell>
          <cell r="DT66">
            <v>0</v>
          </cell>
          <cell r="DU66">
            <v>0</v>
          </cell>
          <cell r="ED66" t="str">
            <v>G:\Habitat\OPERATIONNEL HABITAT\02- Operations\Photothèque\image non disponible.jpg</v>
          </cell>
          <cell r="EE66" t="str">
            <v>G:\Habitat\OPERATIONNEL HABITAT\02- Operations\Photothèque\image non disponible.jpg</v>
          </cell>
        </row>
        <row r="67">
          <cell r="A67" t="str">
            <v>CARDINAL</v>
          </cell>
          <cell r="C67" t="str">
            <v>EST</v>
          </cell>
          <cell r="D67" t="str">
            <v>Saint-André</v>
          </cell>
          <cell r="E67" t="str">
            <v>CENTRE VILLE</v>
          </cell>
          <cell r="F67">
            <v>47</v>
          </cell>
          <cell r="G67" t="str">
            <v>LLS</v>
          </cell>
          <cell r="J67" t="str">
            <v>COL</v>
          </cell>
          <cell r="K67" t="str">
            <v>RF</v>
          </cell>
          <cell r="M67" t="str">
            <v>prob foncier</v>
          </cell>
          <cell r="N67" t="str">
            <v>Cla</v>
          </cell>
          <cell r="R67">
            <v>2011</v>
          </cell>
          <cell r="T67" t="str">
            <v>Attente libération depuis 2000 ?</v>
          </cell>
          <cell r="V67" t="str">
            <v>A - NON LANCE</v>
          </cell>
          <cell r="X67" t="str">
            <v/>
          </cell>
          <cell r="AA67" t="str">
            <v/>
          </cell>
          <cell r="AC67" t="str">
            <v/>
          </cell>
          <cell r="AF67" t="str">
            <v/>
          </cell>
          <cell r="AI67" t="str">
            <v/>
          </cell>
          <cell r="AK67" t="str">
            <v/>
          </cell>
          <cell r="AL67">
            <v>0</v>
          </cell>
          <cell r="AM67" t="str">
            <v/>
          </cell>
          <cell r="AO67" t="str">
            <v/>
          </cell>
          <cell r="AP67" t="str">
            <v/>
          </cell>
          <cell r="AQ67" t="str">
            <v/>
          </cell>
          <cell r="CJ67" t="str">
            <v>-</v>
          </cell>
          <cell r="CK67" t="str">
            <v>-</v>
          </cell>
          <cell r="CL67" t="str">
            <v>-</v>
          </cell>
          <cell r="CM67" t="str">
            <v>-</v>
          </cell>
          <cell r="CN67">
            <v>0</v>
          </cell>
          <cell r="CQ67" t="str">
            <v>non</v>
          </cell>
          <cell r="CX67">
            <v>0</v>
          </cell>
          <cell r="DE67">
            <v>0</v>
          </cell>
          <cell r="DJ67">
            <v>0</v>
          </cell>
          <cell r="DO67">
            <v>0</v>
          </cell>
          <cell r="DS67">
            <v>0</v>
          </cell>
          <cell r="DT67">
            <v>0</v>
          </cell>
          <cell r="DU67">
            <v>0</v>
          </cell>
          <cell r="ED67" t="str">
            <v>G:\Habitat\OPERATIONNEL HABITAT\02- Operations\Photothèque\images locatifs\Cardinal\Cardinal - st André.jpeg</v>
          </cell>
          <cell r="EE67" t="str">
            <v>G:\Habitat\OPERATIONNEL HABITAT\02- Operations\Photothèque\image non disponible.jpg</v>
          </cell>
        </row>
        <row r="68">
          <cell r="A68" t="str">
            <v>CARDINALE</v>
          </cell>
          <cell r="C68" t="str">
            <v>NORD</v>
          </cell>
          <cell r="D68" t="str">
            <v>Saint-Denis</v>
          </cell>
          <cell r="E68" t="str">
            <v>CHAUDRON</v>
          </cell>
          <cell r="F68">
            <v>60</v>
          </cell>
          <cell r="G68" t="str">
            <v>LLTS</v>
          </cell>
          <cell r="J68" t="str">
            <v>COL</v>
          </cell>
          <cell r="K68" t="str">
            <v>RF</v>
          </cell>
          <cell r="M68" t="str">
            <v>prob foncier</v>
          </cell>
          <cell r="N68" t="str">
            <v>JPM</v>
          </cell>
          <cell r="O68" t="str">
            <v>PE</v>
          </cell>
          <cell r="P68" t="str">
            <v>CC</v>
          </cell>
          <cell r="R68">
            <v>2010</v>
          </cell>
          <cell r="T68" t="str">
            <v>Logement et agence nord SIDR - relogement en cours DGI</v>
          </cell>
          <cell r="U68" t="str">
            <v>procedure formalisée</v>
          </cell>
          <cell r="V68" t="str">
            <v>B - ETUDE PRE-OP</v>
          </cell>
          <cell r="W68">
            <v>40313</v>
          </cell>
          <cell r="AA68" t="str">
            <v/>
          </cell>
          <cell r="AC68" t="str">
            <v/>
          </cell>
          <cell r="AE68">
            <v>40436</v>
          </cell>
          <cell r="AH68">
            <v>40436</v>
          </cell>
          <cell r="AI68" t="str">
            <v/>
          </cell>
          <cell r="AJ68">
            <v>40589</v>
          </cell>
          <cell r="AK68" t="str">
            <v/>
          </cell>
          <cell r="AL68">
            <v>5.030247238295634</v>
          </cell>
          <cell r="AM68">
            <v>2011</v>
          </cell>
          <cell r="AN68">
            <v>16</v>
          </cell>
          <cell r="AO68">
            <v>41075</v>
          </cell>
          <cell r="AP68">
            <v>41090</v>
          </cell>
          <cell r="AQ68" t="str">
            <v/>
          </cell>
          <cell r="AR68">
            <v>2012</v>
          </cell>
          <cell r="CJ68" t="str">
            <v>-</v>
          </cell>
          <cell r="CK68" t="str">
            <v>-</v>
          </cell>
          <cell r="CL68" t="str">
            <v>-</v>
          </cell>
          <cell r="CM68" t="str">
            <v>-</v>
          </cell>
          <cell r="CN68">
            <v>0</v>
          </cell>
          <cell r="CQ68" t="str">
            <v>non</v>
          </cell>
          <cell r="CX68">
            <v>0</v>
          </cell>
          <cell r="DE68">
            <v>0</v>
          </cell>
          <cell r="DJ68">
            <v>0</v>
          </cell>
          <cell r="DO68">
            <v>0</v>
          </cell>
          <cell r="DS68">
            <v>0</v>
          </cell>
          <cell r="DT68">
            <v>0</v>
          </cell>
          <cell r="DU68">
            <v>0</v>
          </cell>
          <cell r="ED68" t="str">
            <v>G:\Habitat\OPERATIONNEL HABITAT\02- Operations\Photothèque\image non disponible.jpg</v>
          </cell>
          <cell r="EE68" t="str">
            <v>G:\Habitat\OPERATIONNEL HABITAT\02- Operations\Photothèque\image non disponible.jpg</v>
          </cell>
        </row>
        <row r="69">
          <cell r="A69" t="str">
            <v>CASCADES</v>
          </cell>
          <cell r="B69">
            <v>9676</v>
          </cell>
          <cell r="C69" t="str">
            <v>EST</v>
          </cell>
          <cell r="D69" t="str">
            <v>Plaine des Palmistes</v>
          </cell>
          <cell r="E69" t="str">
            <v>CENTRE VILLE</v>
          </cell>
          <cell r="F69">
            <v>12</v>
          </cell>
          <cell r="G69" t="str">
            <v>LESG</v>
          </cell>
          <cell r="J69" t="str">
            <v>IND</v>
          </cell>
          <cell r="K69" t="str">
            <v>CF</v>
          </cell>
          <cell r="L69" t="str">
            <v>SIDR</v>
          </cell>
          <cell r="M69" t="str">
            <v>maitrisé</v>
          </cell>
          <cell r="N69" t="str">
            <v>BS</v>
          </cell>
          <cell r="O69" t="str">
            <v>OS</v>
          </cell>
          <cell r="P69" t="str">
            <v>LV</v>
          </cell>
          <cell r="Q69" t="str">
            <v>SM</v>
          </cell>
          <cell r="R69">
            <v>2006</v>
          </cell>
          <cell r="T69" t="str">
            <v>temoin sep 2008/prestations CAF OK</v>
          </cell>
          <cell r="U69" t="str">
            <v>ATELIER GAZUT</v>
          </cell>
          <cell r="V69" t="str">
            <v>L - CHANTIER EN COURS</v>
          </cell>
          <cell r="W69">
            <v>39311</v>
          </cell>
          <cell r="X69" t="str">
            <v>d</v>
          </cell>
          <cell r="Y69" t="str">
            <v>97440606A0117</v>
          </cell>
          <cell r="Z69">
            <v>39113</v>
          </cell>
          <cell r="AA69" t="str">
            <v>o</v>
          </cell>
          <cell r="AB69">
            <v>0</v>
          </cell>
          <cell r="AC69" t="str">
            <v>v</v>
          </cell>
          <cell r="AD69">
            <v>0</v>
          </cell>
          <cell r="AE69">
            <v>38989</v>
          </cell>
          <cell r="AF69" t="str">
            <v>f</v>
          </cell>
          <cell r="AG69">
            <v>39080</v>
          </cell>
          <cell r="AH69">
            <v>39050</v>
          </cell>
          <cell r="AI69" t="str">
            <v>ao</v>
          </cell>
          <cell r="AJ69">
            <v>39416</v>
          </cell>
          <cell r="AK69" t="str">
            <v/>
          </cell>
          <cell r="AL69">
            <v>12.033140452393477</v>
          </cell>
          <cell r="AM69">
            <v>2007</v>
          </cell>
          <cell r="AN69">
            <v>15</v>
          </cell>
          <cell r="AO69">
            <v>39872</v>
          </cell>
          <cell r="AP69">
            <v>39887</v>
          </cell>
          <cell r="AQ69" t="str">
            <v>li</v>
          </cell>
          <cell r="AR69">
            <v>2009</v>
          </cell>
          <cell r="CJ69" t="str">
            <v>-</v>
          </cell>
          <cell r="CK69" t="str">
            <v>-</v>
          </cell>
          <cell r="CL69" t="str">
            <v>-</v>
          </cell>
          <cell r="CM69" t="str">
            <v>-</v>
          </cell>
          <cell r="CN69">
            <v>0</v>
          </cell>
          <cell r="CQ69" t="str">
            <v>non</v>
          </cell>
          <cell r="CX69">
            <v>0</v>
          </cell>
          <cell r="DE69">
            <v>0</v>
          </cell>
          <cell r="DJ69">
            <v>0</v>
          </cell>
          <cell r="DO69">
            <v>0</v>
          </cell>
          <cell r="DS69">
            <v>0</v>
          </cell>
          <cell r="DT69">
            <v>0</v>
          </cell>
          <cell r="DU69">
            <v>0</v>
          </cell>
          <cell r="ED69" t="str">
            <v>G:\Habitat\OPERATIONNEL HABITAT\02- Operations\Photothèque\images locatifs\CASCADES\Cascades.jpg</v>
          </cell>
          <cell r="EE69" t="str">
            <v>G:\Habitat\OPERATIONNEL HABITAT\02- Operations\Photothèque\image non disponible.jpg</v>
          </cell>
          <cell r="EJ69">
            <v>18000</v>
          </cell>
        </row>
        <row r="70">
          <cell r="A70" t="str">
            <v>CEYLAN</v>
          </cell>
          <cell r="B70">
            <v>9608</v>
          </cell>
          <cell r="C70" t="str">
            <v>SUD</v>
          </cell>
          <cell r="D70" t="str">
            <v>Saint-Louis</v>
          </cell>
          <cell r="E70" t="str">
            <v>ZAC AVENIR</v>
          </cell>
          <cell r="F70">
            <v>43</v>
          </cell>
          <cell r="G70" t="str">
            <v>LLTS</v>
          </cell>
          <cell r="J70" t="str">
            <v>COL</v>
          </cell>
          <cell r="K70" t="str">
            <v>CF</v>
          </cell>
          <cell r="L70" t="str">
            <v>SIDR</v>
          </cell>
          <cell r="N70" t="str">
            <v>PC</v>
          </cell>
          <cell r="O70" t="str">
            <v>DL</v>
          </cell>
          <cell r="P70" t="str">
            <v>CS</v>
          </cell>
          <cell r="Q70" t="str">
            <v>HBM</v>
          </cell>
          <cell r="R70">
            <v>2005</v>
          </cell>
          <cell r="T70" t="str">
            <v>appel de fond perene</v>
          </cell>
          <cell r="U70" t="str">
            <v>A. JAVELOT</v>
          </cell>
          <cell r="V70" t="str">
            <v>M - LIVRE/GPA</v>
          </cell>
          <cell r="W70">
            <v>38621</v>
          </cell>
          <cell r="X70" t="str">
            <v>d</v>
          </cell>
          <cell r="Y70" t="str">
            <v>97441405A0502</v>
          </cell>
          <cell r="Z70">
            <v>38677</v>
          </cell>
          <cell r="AA70" t="str">
            <v>o</v>
          </cell>
          <cell r="AB70" t="str">
            <v>validé</v>
          </cell>
          <cell r="AC70" t="str">
            <v/>
          </cell>
          <cell r="AD70">
            <v>38624</v>
          </cell>
          <cell r="AE70">
            <v>38621</v>
          </cell>
          <cell r="AF70" t="str">
            <v>f</v>
          </cell>
          <cell r="AG70">
            <v>38722</v>
          </cell>
          <cell r="AH70">
            <v>38859</v>
          </cell>
          <cell r="AI70" t="str">
            <v>ao</v>
          </cell>
          <cell r="AJ70">
            <v>39006</v>
          </cell>
          <cell r="AK70" t="str">
            <v/>
          </cell>
          <cell r="AL70">
            <v>4.8329826407154126</v>
          </cell>
          <cell r="AM70">
            <v>2006</v>
          </cell>
          <cell r="AN70">
            <v>16</v>
          </cell>
          <cell r="AO70">
            <v>39533</v>
          </cell>
          <cell r="AP70">
            <v>39548</v>
          </cell>
          <cell r="AQ70" t="str">
            <v>li</v>
          </cell>
          <cell r="AR70">
            <v>2008</v>
          </cell>
          <cell r="AW70">
            <v>14</v>
          </cell>
          <cell r="AX70">
            <v>57</v>
          </cell>
          <cell r="BA70">
            <v>14</v>
          </cell>
          <cell r="BB70">
            <v>69</v>
          </cell>
          <cell r="BE70">
            <v>11</v>
          </cell>
          <cell r="BF70">
            <v>80</v>
          </cell>
          <cell r="BI70">
            <v>4</v>
          </cell>
          <cell r="BJ70">
            <v>96</v>
          </cell>
          <cell r="BK70">
            <v>43</v>
          </cell>
          <cell r="BL70">
            <v>4.1399999999999997</v>
          </cell>
          <cell r="BM70">
            <v>0.82</v>
          </cell>
          <cell r="BN70">
            <v>0.2</v>
          </cell>
          <cell r="BO70" t="str">
            <v>signée</v>
          </cell>
          <cell r="BP70">
            <v>0.8</v>
          </cell>
          <cell r="BQ70" t="str">
            <v>signée</v>
          </cell>
          <cell r="BX70" t="str">
            <v>signé</v>
          </cell>
          <cell r="BY70">
            <v>3439</v>
          </cell>
          <cell r="BZ70">
            <v>4823</v>
          </cell>
          <cell r="CA70">
            <v>3073.55</v>
          </cell>
          <cell r="CE70" t="str">
            <v>ECS ind</v>
          </cell>
          <cell r="CF70">
            <v>159100</v>
          </cell>
          <cell r="CG70">
            <v>47730</v>
          </cell>
          <cell r="CH70">
            <v>71595</v>
          </cell>
          <cell r="CI70">
            <v>39775</v>
          </cell>
          <cell r="CJ70" t="str">
            <v>-</v>
          </cell>
          <cell r="CK70" t="str">
            <v>-</v>
          </cell>
          <cell r="CL70" t="str">
            <v>-</v>
          </cell>
          <cell r="CM70" t="str">
            <v>-</v>
          </cell>
          <cell r="CN70">
            <v>0</v>
          </cell>
          <cell r="CQ70" t="str">
            <v>oui</v>
          </cell>
          <cell r="CX70">
            <v>0</v>
          </cell>
          <cell r="DE70">
            <v>119325</v>
          </cell>
          <cell r="DJ70">
            <v>119325</v>
          </cell>
          <cell r="DO70">
            <v>0</v>
          </cell>
          <cell r="DQ70">
            <v>92600</v>
          </cell>
          <cell r="DR70">
            <v>32250</v>
          </cell>
          <cell r="DS70">
            <v>124850</v>
          </cell>
          <cell r="DT70">
            <v>249700</v>
          </cell>
          <cell r="DU70">
            <v>369025</v>
          </cell>
          <cell r="ED70" t="str">
            <v>G:\Habitat\OPERATIONNEL HABITAT\02- Operations\Photothèque\images locatifs\Ceylan\pers Ceylan 2.jpg</v>
          </cell>
          <cell r="EE70" t="str">
            <v>G:\Habitat\OPERATIONNEL HABITAT\02- Operations\Photothèque\image non disponible.jpg</v>
          </cell>
        </row>
        <row r="71">
          <cell r="A71" t="str">
            <v>CHEMIN DEPALMAS/HYRONDELLES</v>
          </cell>
          <cell r="C71" t="str">
            <v>NORD</v>
          </cell>
          <cell r="D71" t="str">
            <v>Saint-Denis</v>
          </cell>
          <cell r="E71" t="str">
            <v>LA MONTAGNE</v>
          </cell>
          <cell r="F71">
            <v>9</v>
          </cell>
          <cell r="G71" t="str">
            <v>ACC</v>
          </cell>
          <cell r="J71" t="str">
            <v>IND</v>
          </cell>
          <cell r="K71" t="str">
            <v>RF</v>
          </cell>
          <cell r="M71" t="str">
            <v>maitrisé</v>
          </cell>
          <cell r="N71" t="str">
            <v>PC</v>
          </cell>
          <cell r="O71" t="str">
            <v>DL</v>
          </cell>
          <cell r="P71" t="str">
            <v>NA</v>
          </cell>
          <cell r="R71">
            <v>2008</v>
          </cell>
          <cell r="U71" t="str">
            <v>Atelier des grands arbres</v>
          </cell>
          <cell r="V71" t="str">
            <v>E - APS / PC</v>
          </cell>
          <cell r="W71">
            <v>39807</v>
          </cell>
          <cell r="X71" t="str">
            <v>d</v>
          </cell>
          <cell r="AA71" t="str">
            <v/>
          </cell>
          <cell r="AB71">
            <v>39798</v>
          </cell>
          <cell r="AC71" t="str">
            <v>v</v>
          </cell>
          <cell r="AF71" t="str">
            <v/>
          </cell>
          <cell r="AH71">
            <v>39887</v>
          </cell>
          <cell r="AI71" t="str">
            <v>ao</v>
          </cell>
          <cell r="AJ71">
            <v>39979</v>
          </cell>
          <cell r="AK71" t="str">
            <v/>
          </cell>
          <cell r="AL71">
            <v>3.0247238295633876</v>
          </cell>
          <cell r="AM71">
            <v>2009</v>
          </cell>
          <cell r="AN71">
            <v>12</v>
          </cell>
          <cell r="AO71">
            <v>40344</v>
          </cell>
          <cell r="AP71">
            <v>40359</v>
          </cell>
          <cell r="AQ71" t="str">
            <v/>
          </cell>
          <cell r="AR71">
            <v>2011</v>
          </cell>
          <cell r="CJ71" t="str">
            <v>-</v>
          </cell>
          <cell r="CK71" t="str">
            <v>-</v>
          </cell>
          <cell r="CL71" t="str">
            <v>-</v>
          </cell>
          <cell r="CM71" t="str">
            <v>-</v>
          </cell>
          <cell r="CN71">
            <v>0</v>
          </cell>
          <cell r="CQ71" t="str">
            <v>non</v>
          </cell>
          <cell r="CX71">
            <v>0</v>
          </cell>
          <cell r="DE71">
            <v>0</v>
          </cell>
          <cell r="DJ71">
            <v>0</v>
          </cell>
          <cell r="DO71">
            <v>0</v>
          </cell>
          <cell r="DS71">
            <v>0</v>
          </cell>
          <cell r="DT71">
            <v>0</v>
          </cell>
          <cell r="DU71">
            <v>0</v>
          </cell>
          <cell r="ED71" t="str">
            <v>G:\Habitat\OPERATIONNEL HABITAT\02- Operations\Photothèque\image non disponible.jpg</v>
          </cell>
          <cell r="EE71" t="str">
            <v>G:\Habitat\OPERATIONNEL HABITAT\02- Operations\Photothèque\image non disponible.jpg</v>
          </cell>
        </row>
        <row r="72">
          <cell r="A72" t="str">
            <v>CHEMIN DES PECHERS</v>
          </cell>
          <cell r="B72">
            <v>9706</v>
          </cell>
          <cell r="C72" t="str">
            <v>NORD</v>
          </cell>
          <cell r="D72" t="str">
            <v>Saint-Denis</v>
          </cell>
          <cell r="F72">
            <v>20</v>
          </cell>
          <cell r="G72" t="str">
            <v>LES+</v>
          </cell>
          <cell r="J72" t="str">
            <v>IND</v>
          </cell>
          <cell r="M72" t="str">
            <v>en cours d'acq</v>
          </cell>
          <cell r="N72" t="str">
            <v>BS</v>
          </cell>
          <cell r="O72" t="str">
            <v>FG</v>
          </cell>
          <cell r="P72" t="str">
            <v>LV</v>
          </cell>
          <cell r="R72">
            <v>2007</v>
          </cell>
          <cell r="S72">
            <v>0</v>
          </cell>
          <cell r="T72" t="str">
            <v>sub commune/sub caf - il avait été convenu une participation de la ville à hauteur de 100 000 € lors de l'instruction du dossier - relance en cours</v>
          </cell>
          <cell r="U72" t="str">
            <v>ATELIER GAZUT</v>
          </cell>
          <cell r="V72" t="str">
            <v>I - ACT</v>
          </cell>
          <cell r="W72">
            <v>39340</v>
          </cell>
          <cell r="X72" t="str">
            <v>d</v>
          </cell>
          <cell r="Y72" t="str">
            <v>97407a0435</v>
          </cell>
          <cell r="Z72">
            <v>39568</v>
          </cell>
          <cell r="AA72" t="str">
            <v>o</v>
          </cell>
          <cell r="AB72">
            <v>39337</v>
          </cell>
          <cell r="AC72" t="str">
            <v>v</v>
          </cell>
          <cell r="AD72">
            <v>39387</v>
          </cell>
          <cell r="AE72">
            <v>39352</v>
          </cell>
          <cell r="AG72" t="str">
            <v>17/012008</v>
          </cell>
          <cell r="AH72">
            <v>39653</v>
          </cell>
          <cell r="AI72" t="str">
            <v>ao</v>
          </cell>
          <cell r="AJ72">
            <v>39845</v>
          </cell>
          <cell r="AK72" t="str">
            <v>ch</v>
          </cell>
          <cell r="AL72">
            <v>6.3124671225670701</v>
          </cell>
          <cell r="AM72">
            <v>2009</v>
          </cell>
          <cell r="AN72">
            <v>17</v>
          </cell>
          <cell r="AO72">
            <v>40360</v>
          </cell>
          <cell r="AP72">
            <v>40375</v>
          </cell>
          <cell r="AQ72" t="str">
            <v/>
          </cell>
          <cell r="AR72">
            <v>2010</v>
          </cell>
          <cell r="CJ72" t="str">
            <v>-</v>
          </cell>
          <cell r="CK72" t="str">
            <v>-</v>
          </cell>
          <cell r="CL72" t="str">
            <v>-</v>
          </cell>
          <cell r="CN72">
            <v>0</v>
          </cell>
          <cell r="CQ72" t="str">
            <v>non</v>
          </cell>
          <cell r="CX72">
            <v>0</v>
          </cell>
          <cell r="DE72">
            <v>0</v>
          </cell>
          <cell r="DJ72">
            <v>0</v>
          </cell>
          <cell r="DO72">
            <v>0</v>
          </cell>
          <cell r="DS72">
            <v>0</v>
          </cell>
          <cell r="DT72">
            <v>0</v>
          </cell>
          <cell r="DU72">
            <v>0</v>
          </cell>
          <cell r="ED72" t="str">
            <v>G:\Habitat\OPERATIONNEL HABITAT\02- Operations\Photothèque\image non disponible.jpg</v>
          </cell>
          <cell r="EE72" t="str">
            <v>G:\Habitat\OPERATIONNEL HABITAT\02- Operations\Photothèque\image non disponible.jpg</v>
          </cell>
        </row>
        <row r="73">
          <cell r="A73" t="str">
            <v>CHEMIN FINETTE</v>
          </cell>
          <cell r="C73" t="str">
            <v>NORD</v>
          </cell>
          <cell r="D73" t="str">
            <v>Saint-Denis</v>
          </cell>
          <cell r="F73">
            <v>50</v>
          </cell>
          <cell r="G73" t="str">
            <v>LLTS</v>
          </cell>
          <cell r="J73" t="str">
            <v>MIXT</v>
          </cell>
          <cell r="K73" t="str">
            <v>RF</v>
          </cell>
          <cell r="N73" t="str">
            <v>JPM</v>
          </cell>
          <cell r="O73" t="str">
            <v>PE</v>
          </cell>
          <cell r="P73" t="str">
            <v>CC</v>
          </cell>
          <cell r="R73">
            <v>2009</v>
          </cell>
          <cell r="T73" t="str">
            <v>Mixité - vérifier si présence du réseau d'assainissement - faisabilité présenter à DDE en sept 2008</v>
          </cell>
          <cell r="U73" t="str">
            <v>procedure formalisée</v>
          </cell>
          <cell r="V73" t="str">
            <v>B - ETUDE PRE-OP</v>
          </cell>
          <cell r="W73" t="str">
            <v>15/03/209</v>
          </cell>
          <cell r="Z73">
            <v>39979</v>
          </cell>
          <cell r="AA73" t="str">
            <v/>
          </cell>
          <cell r="AB73">
            <v>39873</v>
          </cell>
          <cell r="AC73" t="str">
            <v>v</v>
          </cell>
          <cell r="AE73">
            <v>40071</v>
          </cell>
          <cell r="AH73">
            <v>40086</v>
          </cell>
          <cell r="AI73" t="str">
            <v/>
          </cell>
          <cell r="AJ73">
            <v>40267</v>
          </cell>
          <cell r="AK73" t="str">
            <v/>
          </cell>
          <cell r="AL73">
            <v>5.9508153603366649</v>
          </cell>
          <cell r="AM73">
            <v>2010</v>
          </cell>
          <cell r="AN73">
            <v>12</v>
          </cell>
          <cell r="AO73">
            <v>40632</v>
          </cell>
          <cell r="AP73">
            <v>40647</v>
          </cell>
          <cell r="AQ73" t="str">
            <v/>
          </cell>
          <cell r="AR73">
            <v>2011</v>
          </cell>
          <cell r="CJ73" t="str">
            <v>-</v>
          </cell>
          <cell r="CK73" t="str">
            <v>-</v>
          </cell>
          <cell r="CL73" t="str">
            <v>-</v>
          </cell>
          <cell r="CM73" t="str">
            <v>-</v>
          </cell>
          <cell r="CN73">
            <v>0</v>
          </cell>
          <cell r="CQ73" t="str">
            <v>non</v>
          </cell>
          <cell r="CX73">
            <v>0</v>
          </cell>
          <cell r="DE73">
            <v>0</v>
          </cell>
          <cell r="DJ73">
            <v>0</v>
          </cell>
          <cell r="DO73">
            <v>0</v>
          </cell>
          <cell r="DS73">
            <v>0</v>
          </cell>
          <cell r="DT73">
            <v>0</v>
          </cell>
          <cell r="DU73">
            <v>0</v>
          </cell>
          <cell r="ED73" t="str">
            <v>G:\Habitat\OPERATIONNEL HABITAT\02- Operations\Photothèque\image non disponible.jpg</v>
          </cell>
          <cell r="EE73" t="str">
            <v>G:\Habitat\OPERATIONNEL HABITAT\02- Operations\Photothèque\image non disponible.jpg</v>
          </cell>
        </row>
        <row r="74">
          <cell r="A74" t="str">
            <v>CHEMIN RICQUEBOURG</v>
          </cell>
          <cell r="B74">
            <v>9468</v>
          </cell>
          <cell r="C74" t="str">
            <v>OUEST</v>
          </cell>
          <cell r="D74" t="str">
            <v>Saint-Leu</v>
          </cell>
          <cell r="E74" t="str">
            <v>VRD COMMUN /FRAFU 2</v>
          </cell>
          <cell r="F74">
            <v>32</v>
          </cell>
          <cell r="G74" t="str">
            <v>LESG</v>
          </cell>
          <cell r="J74" t="str">
            <v>IND</v>
          </cell>
          <cell r="K74" t="str">
            <v>CF</v>
          </cell>
          <cell r="L74" t="str">
            <v>SIDR</v>
          </cell>
          <cell r="N74" t="str">
            <v>EC</v>
          </cell>
          <cell r="O74" t="str">
            <v>OS</v>
          </cell>
          <cell r="P74" t="str">
            <v>LV</v>
          </cell>
          <cell r="Q74" t="str">
            <v>EC</v>
          </cell>
          <cell r="R74">
            <v>2003</v>
          </cell>
          <cell r="U74" t="str">
            <v>DELANDE SOAA</v>
          </cell>
          <cell r="V74" t="str">
            <v>M - LIVRE/GPA</v>
          </cell>
          <cell r="W74">
            <v>37819</v>
          </cell>
          <cell r="X74" t="str">
            <v>d</v>
          </cell>
          <cell r="Z74">
            <v>37903</v>
          </cell>
          <cell r="AA74" t="str">
            <v>o</v>
          </cell>
          <cell r="AB74" t="str">
            <v>validé</v>
          </cell>
          <cell r="AC74" t="str">
            <v/>
          </cell>
          <cell r="AD74">
            <v>0</v>
          </cell>
          <cell r="AE74">
            <v>37909</v>
          </cell>
          <cell r="AF74" t="str">
            <v>f</v>
          </cell>
          <cell r="AG74">
            <v>37967</v>
          </cell>
          <cell r="AH74">
            <v>38122</v>
          </cell>
          <cell r="AI74" t="str">
            <v>ao</v>
          </cell>
          <cell r="AJ74">
            <v>38198</v>
          </cell>
          <cell r="AK74" t="str">
            <v/>
          </cell>
          <cell r="AL74">
            <v>2.4986849026827986</v>
          </cell>
          <cell r="AM74">
            <v>2004</v>
          </cell>
          <cell r="AN74">
            <v>16</v>
          </cell>
          <cell r="AO74">
            <v>38686</v>
          </cell>
          <cell r="AP74">
            <v>38701</v>
          </cell>
          <cell r="AQ74" t="str">
            <v>li</v>
          </cell>
          <cell r="AR74">
            <v>2005</v>
          </cell>
          <cell r="CJ74" t="str">
            <v>-</v>
          </cell>
          <cell r="CK74" t="str">
            <v>-</v>
          </cell>
          <cell r="CL74" t="str">
            <v>-</v>
          </cell>
          <cell r="CM74" t="str">
            <v>-</v>
          </cell>
          <cell r="CN74">
            <v>0</v>
          </cell>
          <cell r="CQ74" t="str">
            <v>oui</v>
          </cell>
          <cell r="CX74">
            <v>0</v>
          </cell>
          <cell r="DE74">
            <v>0</v>
          </cell>
          <cell r="DJ74">
            <v>0</v>
          </cell>
          <cell r="DO74">
            <v>0</v>
          </cell>
          <cell r="DS74">
            <v>0</v>
          </cell>
          <cell r="DT74">
            <v>0</v>
          </cell>
          <cell r="DU74">
            <v>0</v>
          </cell>
          <cell r="ED74" t="str">
            <v>G:\Habitat\OPERATIONNEL HABITAT\02- Operations\Photothèque\image non disponible.jpg</v>
          </cell>
          <cell r="EE74" t="str">
            <v>G:\Habitat\OPERATIONNEL HABITAT\02- Operations\Photothèque\image non disponible.jpg</v>
          </cell>
        </row>
        <row r="75">
          <cell r="A75" t="str">
            <v>CHYPRE</v>
          </cell>
          <cell r="B75">
            <v>9655</v>
          </cell>
          <cell r="C75" t="str">
            <v>SUD</v>
          </cell>
          <cell r="D75" t="str">
            <v>Tampon</v>
          </cell>
          <cell r="E75" t="str">
            <v>TERRAIN BERTHEAU</v>
          </cell>
          <cell r="F75">
            <v>71</v>
          </cell>
          <cell r="G75" t="str">
            <v>LLS</v>
          </cell>
          <cell r="I75" t="str">
            <v>BZ</v>
          </cell>
          <cell r="J75" t="str">
            <v>COL</v>
          </cell>
          <cell r="K75" t="str">
            <v>RF</v>
          </cell>
          <cell r="M75" t="str">
            <v>maitrisé</v>
          </cell>
          <cell r="N75" t="str">
            <v>LC</v>
          </cell>
          <cell r="O75" t="str">
            <v>CA</v>
          </cell>
          <cell r="P75" t="str">
            <v>AM</v>
          </cell>
          <cell r="R75">
            <v>2006</v>
          </cell>
          <cell r="S75">
            <v>1</v>
          </cell>
          <cell r="T75" t="str">
            <v xml:space="preserve">temoin 10/2007/meubles attente chaise définitives/Devis bornes WIFI </v>
          </cell>
          <cell r="U75" t="str">
            <v>SAULNIER</v>
          </cell>
          <cell r="V75" t="str">
            <v>M - LIVRE/GPA</v>
          </cell>
          <cell r="W75">
            <v>38794</v>
          </cell>
          <cell r="X75" t="str">
            <v>d</v>
          </cell>
          <cell r="Y75" t="str">
            <v>97442206A0225</v>
          </cell>
          <cell r="Z75">
            <v>38947</v>
          </cell>
          <cell r="AA75" t="str">
            <v>o</v>
          </cell>
          <cell r="AB75">
            <v>38974</v>
          </cell>
          <cell r="AC75" t="str">
            <v>v</v>
          </cell>
          <cell r="AD75">
            <v>39030</v>
          </cell>
          <cell r="AE75">
            <v>38832</v>
          </cell>
          <cell r="AF75" t="str">
            <v>f</v>
          </cell>
          <cell r="AG75">
            <v>38992</v>
          </cell>
          <cell r="AH75">
            <v>38972</v>
          </cell>
          <cell r="AI75" t="str">
            <v>ao</v>
          </cell>
          <cell r="AJ75">
            <v>39097</v>
          </cell>
          <cell r="AK75" t="str">
            <v/>
          </cell>
          <cell r="AL75">
            <v>4.1096791162546031</v>
          </cell>
          <cell r="AM75">
            <v>2007</v>
          </cell>
          <cell r="AN75">
            <v>15</v>
          </cell>
          <cell r="AO75">
            <v>39568</v>
          </cell>
          <cell r="AP75">
            <v>39659</v>
          </cell>
          <cell r="AQ75" t="str">
            <v>li</v>
          </cell>
          <cell r="AR75">
            <v>2008</v>
          </cell>
          <cell r="AS75">
            <v>54</v>
          </cell>
          <cell r="AT75">
            <v>22</v>
          </cell>
          <cell r="AU75">
            <v>16</v>
          </cell>
          <cell r="AV75">
            <v>31</v>
          </cell>
          <cell r="BE75">
            <v>1</v>
          </cell>
          <cell r="BF75">
            <v>79</v>
          </cell>
          <cell r="BK75">
            <v>71</v>
          </cell>
          <cell r="BL75">
            <v>9.1999999999999993</v>
          </cell>
          <cell r="BM75">
            <v>0.82</v>
          </cell>
          <cell r="BN75">
            <v>0.2</v>
          </cell>
          <cell r="BO75" t="str">
            <v>signée</v>
          </cell>
          <cell r="BP75">
            <v>0.8</v>
          </cell>
          <cell r="BQ75" t="str">
            <v>signée</v>
          </cell>
          <cell r="BX75" t="str">
            <v>signé</v>
          </cell>
          <cell r="BY75">
            <v>2355</v>
          </cell>
          <cell r="BZ75">
            <v>2205</v>
          </cell>
          <cell r="CA75">
            <v>1871.23</v>
          </cell>
          <cell r="CE75" t="str">
            <v>ECS coll</v>
          </cell>
          <cell r="CI75" t="str">
            <v>D faite</v>
          </cell>
          <cell r="CJ75" t="str">
            <v>-</v>
          </cell>
          <cell r="CK75" t="str">
            <v>-</v>
          </cell>
          <cell r="CL75" t="str">
            <v>-</v>
          </cell>
          <cell r="CM75" t="str">
            <v>-</v>
          </cell>
          <cell r="CN75">
            <v>0</v>
          </cell>
          <cell r="CQ75" t="str">
            <v>oui</v>
          </cell>
          <cell r="CX75">
            <v>0</v>
          </cell>
          <cell r="DE75">
            <v>0</v>
          </cell>
          <cell r="DJ75">
            <v>0</v>
          </cell>
          <cell r="DO75">
            <v>0</v>
          </cell>
          <cell r="DQ75">
            <v>91925</v>
          </cell>
          <cell r="DR75">
            <v>62125</v>
          </cell>
          <cell r="DS75">
            <v>154050</v>
          </cell>
          <cell r="DT75">
            <v>308100</v>
          </cell>
          <cell r="DU75">
            <v>308100</v>
          </cell>
          <cell r="ED75" t="str">
            <v>G:\Habitat\OPERATIONNEL HABITAT\02- Operations\Photothèque\images locatifs\CHYPRE\chypre.jpg</v>
          </cell>
          <cell r="EE75" t="str">
            <v>G:\Habitat\OPERATIONNEL HABITAT\02- Operations\Photothèque\image non disponible.jpg</v>
          </cell>
        </row>
        <row r="76">
          <cell r="A76" t="str">
            <v>COCOS</v>
          </cell>
          <cell r="B76">
            <v>9691</v>
          </cell>
          <cell r="C76" t="str">
            <v>NORD</v>
          </cell>
          <cell r="D76" t="str">
            <v>Saint-Denis</v>
          </cell>
          <cell r="E76" t="str">
            <v>RHI HYACINTHE CARAMBOLES</v>
          </cell>
          <cell r="F76">
            <v>38</v>
          </cell>
          <cell r="G76" t="str">
            <v>LLTS</v>
          </cell>
          <cell r="J76" t="str">
            <v>COL</v>
          </cell>
          <cell r="K76" t="str">
            <v>CF</v>
          </cell>
          <cell r="L76" t="str">
            <v>SIDR</v>
          </cell>
          <cell r="M76" t="str">
            <v>maitrisé</v>
          </cell>
          <cell r="N76" t="str">
            <v>JEM</v>
          </cell>
          <cell r="O76" t="str">
            <v>PE</v>
          </cell>
          <cell r="P76" t="str">
            <v>CC</v>
          </cell>
          <cell r="Q76" t="str">
            <v>AR</v>
          </cell>
          <cell r="R76">
            <v>2008</v>
          </cell>
          <cell r="S76">
            <v>1</v>
          </cell>
          <cell r="T76" t="str">
            <v>Lié au relogement dans Lacroix + Démolitions</v>
          </cell>
          <cell r="U76" t="str">
            <v>Atelier GROUARD</v>
          </cell>
          <cell r="V76" t="str">
            <v>G - PROJET</v>
          </cell>
          <cell r="W76">
            <v>39670</v>
          </cell>
          <cell r="X76" t="str">
            <v>d</v>
          </cell>
          <cell r="Z76">
            <v>39751</v>
          </cell>
          <cell r="AA76" t="str">
            <v>o</v>
          </cell>
          <cell r="AB76">
            <v>39595</v>
          </cell>
          <cell r="AC76" t="str">
            <v>v</v>
          </cell>
          <cell r="AD76">
            <v>39710</v>
          </cell>
          <cell r="AE76">
            <v>39715</v>
          </cell>
          <cell r="AF76" t="str">
            <v>f</v>
          </cell>
          <cell r="AH76">
            <v>39918</v>
          </cell>
          <cell r="AI76" t="str">
            <v>ao</v>
          </cell>
          <cell r="AJ76">
            <v>40101</v>
          </cell>
          <cell r="AK76" t="str">
            <v/>
          </cell>
          <cell r="AL76">
            <v>6.0165702261967384</v>
          </cell>
          <cell r="AM76">
            <v>2009</v>
          </cell>
          <cell r="AN76">
            <v>15</v>
          </cell>
          <cell r="AO76">
            <v>40558</v>
          </cell>
          <cell r="AP76">
            <v>40573</v>
          </cell>
          <cell r="AQ76" t="str">
            <v/>
          </cell>
          <cell r="AR76">
            <v>2011</v>
          </cell>
          <cell r="BK76">
            <v>0</v>
          </cell>
          <cell r="BL76">
            <v>5.57</v>
          </cell>
          <cell r="CJ76" t="str">
            <v>SCI Saint Denis</v>
          </cell>
          <cell r="CK76" t="str">
            <v>INFI</v>
          </cell>
          <cell r="CL76">
            <v>39801</v>
          </cell>
          <cell r="CM76" t="str">
            <v>-</v>
          </cell>
          <cell r="CN76">
            <v>0</v>
          </cell>
          <cell r="CO76" t="str">
            <v>199 undecies A</v>
          </cell>
          <cell r="CQ76" t="str">
            <v>non</v>
          </cell>
          <cell r="CX76">
            <v>0</v>
          </cell>
          <cell r="DE76">
            <v>0</v>
          </cell>
          <cell r="DJ76">
            <v>0</v>
          </cell>
          <cell r="DO76">
            <v>0</v>
          </cell>
          <cell r="DS76">
            <v>0</v>
          </cell>
          <cell r="DT76">
            <v>0</v>
          </cell>
          <cell r="DU76">
            <v>0</v>
          </cell>
          <cell r="ED76" t="str">
            <v>G:\Habitat\OPERATIONNEL HABITAT\02- Operations\Photothèque\image non disponible.jpg</v>
          </cell>
          <cell r="EE76" t="str">
            <v>G:\Habitat\OPERATIONNEL HABITAT\02- Operations\Photothèque\image non disponible.jpg</v>
          </cell>
        </row>
        <row r="77">
          <cell r="A77" t="str">
            <v>CŒUR DE VILLE</v>
          </cell>
          <cell r="C77" t="str">
            <v>EST</v>
          </cell>
          <cell r="D77" t="str">
            <v>Plaine des Palmistes</v>
          </cell>
          <cell r="E77" t="str">
            <v>CENTRE VILLE</v>
          </cell>
          <cell r="F77">
            <v>33</v>
          </cell>
          <cell r="G77" t="str">
            <v>LLTS</v>
          </cell>
          <cell r="J77" t="str">
            <v>COL</v>
          </cell>
          <cell r="N77" t="str">
            <v>Cla</v>
          </cell>
          <cell r="Q77" t="str">
            <v>SM</v>
          </cell>
          <cell r="R77">
            <v>2011</v>
          </cell>
          <cell r="T77" t="str">
            <v>ZAC en cours de création (travaux ZAC en 2010)</v>
          </cell>
          <cell r="AA77" t="str">
            <v/>
          </cell>
          <cell r="AC77" t="str">
            <v/>
          </cell>
          <cell r="AI77" t="str">
            <v/>
          </cell>
          <cell r="AK77" t="str">
            <v/>
          </cell>
          <cell r="AL77">
            <v>0</v>
          </cell>
          <cell r="AQ77" t="str">
            <v/>
          </cell>
          <cell r="CJ77" t="str">
            <v>-</v>
          </cell>
          <cell r="CK77" t="str">
            <v>-</v>
          </cell>
          <cell r="CL77" t="str">
            <v>-</v>
          </cell>
          <cell r="CM77" t="str">
            <v>-</v>
          </cell>
          <cell r="CN77">
            <v>0</v>
          </cell>
          <cell r="CQ77" t="str">
            <v>non</v>
          </cell>
          <cell r="CX77">
            <v>0</v>
          </cell>
          <cell r="DE77">
            <v>0</v>
          </cell>
          <cell r="DJ77">
            <v>0</v>
          </cell>
          <cell r="DO77">
            <v>0</v>
          </cell>
          <cell r="DS77">
            <v>0</v>
          </cell>
          <cell r="DT77">
            <v>0</v>
          </cell>
          <cell r="DU77">
            <v>0</v>
          </cell>
          <cell r="ED77" t="str">
            <v>G:\Habitat\OPERATIONNEL HABITAT\02- Operations\Photothèque\image non disponible.jpg</v>
          </cell>
          <cell r="EE77" t="str">
            <v>G:\Habitat\OPERATIONNEL HABITAT\02- Operations\Photothèque\image non disponible.jpg</v>
          </cell>
        </row>
        <row r="78">
          <cell r="A78" t="str">
            <v>COLLEGE 23EME</v>
          </cell>
          <cell r="C78" t="str">
            <v>SUD</v>
          </cell>
          <cell r="D78" t="str">
            <v>Tampon</v>
          </cell>
          <cell r="E78" t="str">
            <v>23EME - Z2</v>
          </cell>
          <cell r="F78">
            <v>30</v>
          </cell>
          <cell r="G78" t="str">
            <v>LESG</v>
          </cell>
          <cell r="J78" t="str">
            <v>IND</v>
          </cell>
          <cell r="K78" t="str">
            <v>RF</v>
          </cell>
          <cell r="N78" t="str">
            <v>N.A.</v>
          </cell>
          <cell r="R78">
            <v>2011</v>
          </cell>
          <cell r="T78" t="str">
            <v>Absence d'assainissement - une station STEP est en cours d'étude - La DDE &amp; la mairie souhaite une que la SIDR fasse une approche financière d'une solution avec assainissement semi collectif</v>
          </cell>
          <cell r="V78" t="str">
            <v>A - NON LANCE</v>
          </cell>
          <cell r="X78" t="str">
            <v/>
          </cell>
          <cell r="AA78" t="str">
            <v/>
          </cell>
          <cell r="AC78" t="str">
            <v/>
          </cell>
          <cell r="AF78" t="str">
            <v/>
          </cell>
          <cell r="AI78" t="str">
            <v/>
          </cell>
          <cell r="AK78" t="str">
            <v/>
          </cell>
          <cell r="AL78">
            <v>0</v>
          </cell>
          <cell r="AM78" t="str">
            <v/>
          </cell>
          <cell r="AO78" t="str">
            <v/>
          </cell>
          <cell r="AP78" t="str">
            <v/>
          </cell>
          <cell r="AQ78" t="str">
            <v/>
          </cell>
          <cell r="AR78" t="str">
            <v/>
          </cell>
          <cell r="CJ78" t="str">
            <v>-</v>
          </cell>
          <cell r="CK78" t="str">
            <v>-</v>
          </cell>
          <cell r="CL78" t="str">
            <v>-</v>
          </cell>
          <cell r="CM78" t="str">
            <v>-</v>
          </cell>
          <cell r="CN78">
            <v>0</v>
          </cell>
          <cell r="CQ78" t="str">
            <v>non</v>
          </cell>
          <cell r="CX78">
            <v>0</v>
          </cell>
          <cell r="DE78">
            <v>0</v>
          </cell>
          <cell r="DJ78">
            <v>0</v>
          </cell>
          <cell r="DO78">
            <v>0</v>
          </cell>
          <cell r="DS78">
            <v>0</v>
          </cell>
          <cell r="DT78">
            <v>0</v>
          </cell>
          <cell r="DU78">
            <v>0</v>
          </cell>
          <cell r="ED78" t="str">
            <v>G:\Habitat\OPERATIONNEL HABITAT\02- Operations\Photothèque\image non disponible.jpg</v>
          </cell>
          <cell r="EE78" t="str">
            <v>G:\Habitat\OPERATIONNEL HABITAT\02- Operations\Photothèque\image non disponible.jpg</v>
          </cell>
        </row>
        <row r="79">
          <cell r="A79" t="str">
            <v>COLLEGE 23EME b</v>
          </cell>
          <cell r="C79" t="str">
            <v>SUD</v>
          </cell>
          <cell r="D79" t="str">
            <v>Tampon</v>
          </cell>
          <cell r="E79" t="str">
            <v>23EME - Z2</v>
          </cell>
          <cell r="F79">
            <v>25</v>
          </cell>
          <cell r="G79" t="str">
            <v>LLS</v>
          </cell>
          <cell r="J79" t="str">
            <v>MV</v>
          </cell>
          <cell r="K79" t="str">
            <v>RF</v>
          </cell>
          <cell r="N79" t="str">
            <v>N.A.</v>
          </cell>
          <cell r="R79">
            <v>2011</v>
          </cell>
          <cell r="T79" t="str">
            <v>Absence d'assainissement - une station STEP est en cours d'étude - La DDE &amp; la mairie souhaite une que la SIDR fasse une approche financière d'une solution avec assainissement semi collectif</v>
          </cell>
          <cell r="V79" t="str">
            <v>A - NON LANCE</v>
          </cell>
          <cell r="X79" t="str">
            <v/>
          </cell>
          <cell r="AA79" t="str">
            <v/>
          </cell>
          <cell r="AC79" t="str">
            <v/>
          </cell>
          <cell r="AF79" t="str">
            <v/>
          </cell>
          <cell r="AI79" t="str">
            <v/>
          </cell>
          <cell r="AK79" t="str">
            <v/>
          </cell>
          <cell r="AL79">
            <v>0</v>
          </cell>
          <cell r="AM79" t="str">
            <v/>
          </cell>
          <cell r="AO79" t="str">
            <v/>
          </cell>
          <cell r="AP79" t="str">
            <v/>
          </cell>
          <cell r="AQ79" t="str">
            <v/>
          </cell>
          <cell r="CJ79" t="str">
            <v>-</v>
          </cell>
          <cell r="CK79" t="str">
            <v>-</v>
          </cell>
          <cell r="CL79" t="str">
            <v>-</v>
          </cell>
          <cell r="CM79" t="str">
            <v>-</v>
          </cell>
          <cell r="CN79">
            <v>0</v>
          </cell>
          <cell r="CQ79" t="str">
            <v>non</v>
          </cell>
          <cell r="CX79">
            <v>0</v>
          </cell>
          <cell r="DE79">
            <v>0</v>
          </cell>
          <cell r="DJ79">
            <v>0</v>
          </cell>
          <cell r="DO79">
            <v>0</v>
          </cell>
          <cell r="DS79">
            <v>0</v>
          </cell>
          <cell r="DT79">
            <v>0</v>
          </cell>
          <cell r="DU79">
            <v>0</v>
          </cell>
          <cell r="ED79" t="str">
            <v>G:\Habitat\OPERATIONNEL HABITAT\02- Operations\Photothèque\image non disponible.jpg</v>
          </cell>
          <cell r="EE79" t="str">
            <v>G:\Habitat\OPERATIONNEL HABITAT\02- Operations\Photothèque\image non disponible.jpg</v>
          </cell>
        </row>
        <row r="80">
          <cell r="A80" t="str">
            <v>COOK</v>
          </cell>
          <cell r="C80" t="str">
            <v>EST</v>
          </cell>
          <cell r="D80" t="str">
            <v>Saint-Benoît</v>
          </cell>
          <cell r="E80" t="str">
            <v>BRAS CANOT - PREVOISY</v>
          </cell>
          <cell r="F80">
            <v>50</v>
          </cell>
          <cell r="G80" t="str">
            <v>LLTS</v>
          </cell>
          <cell r="J80" t="str">
            <v>COL</v>
          </cell>
          <cell r="K80" t="str">
            <v>CF</v>
          </cell>
          <cell r="L80" t="str">
            <v>SIDR</v>
          </cell>
          <cell r="N80" t="str">
            <v>CLa</v>
          </cell>
          <cell r="Q80" t="str">
            <v>AR</v>
          </cell>
          <cell r="R80">
            <v>2011</v>
          </cell>
          <cell r="T80" t="str">
            <v>Opération d'aménagement (SIDR) à prévoir - attente livraison primaire SEMAC</v>
          </cell>
          <cell r="V80" t="str">
            <v>A - NON LANCE</v>
          </cell>
          <cell r="X80" t="str">
            <v/>
          </cell>
          <cell r="AA80" t="str">
            <v/>
          </cell>
          <cell r="AC80" t="str">
            <v/>
          </cell>
          <cell r="AF80" t="str">
            <v/>
          </cell>
          <cell r="AI80" t="str">
            <v/>
          </cell>
          <cell r="AK80" t="str">
            <v/>
          </cell>
          <cell r="AL80">
            <v>0</v>
          </cell>
          <cell r="AM80" t="str">
            <v/>
          </cell>
          <cell r="AO80" t="str">
            <v/>
          </cell>
          <cell r="AP80" t="str">
            <v/>
          </cell>
          <cell r="AQ80" t="str">
            <v/>
          </cell>
          <cell r="CJ80" t="str">
            <v>-</v>
          </cell>
          <cell r="CK80" t="str">
            <v>-</v>
          </cell>
          <cell r="CL80" t="str">
            <v>-</v>
          </cell>
          <cell r="CM80" t="str">
            <v>-</v>
          </cell>
          <cell r="CN80">
            <v>0</v>
          </cell>
          <cell r="CQ80" t="str">
            <v>non</v>
          </cell>
          <cell r="CX80">
            <v>0</v>
          </cell>
          <cell r="DE80">
            <v>0</v>
          </cell>
          <cell r="DJ80">
            <v>0</v>
          </cell>
          <cell r="DO80">
            <v>0</v>
          </cell>
          <cell r="DS80">
            <v>0</v>
          </cell>
          <cell r="DT80">
            <v>0</v>
          </cell>
          <cell r="DU80">
            <v>0</v>
          </cell>
          <cell r="ED80" t="str">
            <v>G:\Habitat\OPERATIONNEL HABITAT\02- Operations\Photothèque\image non disponible.jpg</v>
          </cell>
          <cell r="EE80" t="str">
            <v>G:\Habitat\OPERATIONNEL HABITAT\02- Operations\Photothèque\image non disponible.jpg</v>
          </cell>
        </row>
        <row r="81">
          <cell r="A81" t="str">
            <v>CORDELIA</v>
          </cell>
          <cell r="B81">
            <v>9658</v>
          </cell>
          <cell r="C81" t="str">
            <v>OUEST</v>
          </cell>
          <cell r="D81" t="str">
            <v>Saint-Paul</v>
          </cell>
          <cell r="E81" t="str">
            <v>BOIS DE NEFLES</v>
          </cell>
          <cell r="F81">
            <v>38</v>
          </cell>
          <cell r="G81" t="str">
            <v>ACC</v>
          </cell>
          <cell r="J81" t="str">
            <v>IND</v>
          </cell>
          <cell r="K81" t="str">
            <v>RF</v>
          </cell>
          <cell r="M81" t="str">
            <v>maitrisé</v>
          </cell>
          <cell r="N81" t="str">
            <v>PC</v>
          </cell>
          <cell r="O81" t="str">
            <v>JH</v>
          </cell>
          <cell r="P81" t="str">
            <v>NA</v>
          </cell>
          <cell r="R81">
            <v>2006</v>
          </cell>
          <cell r="T81" t="str">
            <v>temoin 15/10/2007</v>
          </cell>
          <cell r="U81" t="str">
            <v>ATELIER GAZUT</v>
          </cell>
          <cell r="V81" t="str">
            <v>L - CHANTIER EN COURS</v>
          </cell>
          <cell r="W81">
            <v>38581</v>
          </cell>
          <cell r="X81" t="str">
            <v>d</v>
          </cell>
          <cell r="Z81">
            <v>38699</v>
          </cell>
          <cell r="AA81" t="str">
            <v>o</v>
          </cell>
          <cell r="AB81" t="str">
            <v>validé</v>
          </cell>
          <cell r="AC81" t="str">
            <v/>
          </cell>
          <cell r="AD81" t="str">
            <v>v</v>
          </cell>
          <cell r="AF81" t="str">
            <v/>
          </cell>
          <cell r="AH81">
            <v>38808</v>
          </cell>
          <cell r="AI81" t="str">
            <v>ao</v>
          </cell>
          <cell r="AJ81">
            <v>38930</v>
          </cell>
          <cell r="AK81" t="str">
            <v/>
          </cell>
          <cell r="AL81">
            <v>4.011046817464492</v>
          </cell>
          <cell r="AM81">
            <v>2006</v>
          </cell>
          <cell r="AN81">
            <v>28</v>
          </cell>
          <cell r="AO81">
            <v>39813</v>
          </cell>
          <cell r="AP81">
            <v>39813</v>
          </cell>
          <cell r="AQ81" t="str">
            <v>li</v>
          </cell>
          <cell r="AR81">
            <v>2008</v>
          </cell>
          <cell r="CJ81" t="str">
            <v>Villas Cordélia</v>
          </cell>
          <cell r="CK81" t="str">
            <v>INFI</v>
          </cell>
          <cell r="CL81" t="str">
            <v>S.O.</v>
          </cell>
          <cell r="CM81" t="str">
            <v>S.O.</v>
          </cell>
          <cell r="CN81">
            <v>0</v>
          </cell>
          <cell r="CO81" t="str">
            <v>S.O</v>
          </cell>
          <cell r="CQ81" t="str">
            <v>oui</v>
          </cell>
          <cell r="CX81">
            <v>0</v>
          </cell>
          <cell r="DE81">
            <v>0</v>
          </cell>
          <cell r="DJ81">
            <v>0</v>
          </cell>
          <cell r="DO81">
            <v>0</v>
          </cell>
          <cell r="DS81">
            <v>0</v>
          </cell>
          <cell r="DT81">
            <v>0</v>
          </cell>
          <cell r="DU81">
            <v>0</v>
          </cell>
          <cell r="ED81" t="str">
            <v>G:\Habitat\OPERATIONNEL HABITAT\02- Operations\Photothèque\images accession\Cordelia\cordelia-rvb.jpg</v>
          </cell>
          <cell r="EE81" t="str">
            <v>G:\Habitat\OPERATIONNEL HABITAT\02- Operations\Photothèque\images accession\Cordelia\CORDELIA.jpg</v>
          </cell>
        </row>
        <row r="82">
          <cell r="A82" t="str">
            <v>CORFOU</v>
          </cell>
          <cell r="C82" t="str">
            <v>EST</v>
          </cell>
          <cell r="D82" t="str">
            <v>Saint-Benoît</v>
          </cell>
          <cell r="E82" t="str">
            <v>BRAS CANOT - PREVOISY</v>
          </cell>
          <cell r="F82">
            <v>30</v>
          </cell>
          <cell r="G82" t="str">
            <v>LLS</v>
          </cell>
          <cell r="J82" t="str">
            <v>MV</v>
          </cell>
          <cell r="K82" t="str">
            <v>CF</v>
          </cell>
          <cell r="L82" t="str">
            <v>SIDR</v>
          </cell>
          <cell r="N82" t="str">
            <v>CLa</v>
          </cell>
          <cell r="P82" t="str">
            <v>CC</v>
          </cell>
          <cell r="Q82" t="str">
            <v>AR</v>
          </cell>
          <cell r="R82">
            <v>2010</v>
          </cell>
          <cell r="S82">
            <v>0</v>
          </cell>
          <cell r="T82" t="str">
            <v>Opération d'aménagement (SIDR) à prévoir - attente livraison primaire SEMAC</v>
          </cell>
          <cell r="V82" t="str">
            <v>A - NON LANCE</v>
          </cell>
          <cell r="X82" t="str">
            <v/>
          </cell>
          <cell r="AA82" t="str">
            <v/>
          </cell>
          <cell r="AC82" t="str">
            <v/>
          </cell>
          <cell r="AF82" t="str">
            <v/>
          </cell>
          <cell r="AI82" t="str">
            <v/>
          </cell>
          <cell r="AK82" t="str">
            <v/>
          </cell>
          <cell r="AL82">
            <v>0</v>
          </cell>
          <cell r="AM82" t="str">
            <v/>
          </cell>
          <cell r="AO82" t="str">
            <v/>
          </cell>
          <cell r="AP82" t="str">
            <v/>
          </cell>
          <cell r="AQ82" t="str">
            <v/>
          </cell>
          <cell r="BK82">
            <v>0</v>
          </cell>
          <cell r="CJ82" t="str">
            <v>-</v>
          </cell>
          <cell r="CK82" t="str">
            <v>-</v>
          </cell>
          <cell r="CL82" t="str">
            <v>-</v>
          </cell>
          <cell r="CM82" t="str">
            <v>-</v>
          </cell>
          <cell r="CN82">
            <v>0</v>
          </cell>
          <cell r="CQ82" t="str">
            <v>non</v>
          </cell>
          <cell r="CX82">
            <v>0</v>
          </cell>
          <cell r="DE82">
            <v>0</v>
          </cell>
          <cell r="DJ82">
            <v>0</v>
          </cell>
          <cell r="DO82">
            <v>0</v>
          </cell>
          <cell r="DS82">
            <v>0</v>
          </cell>
          <cell r="DT82">
            <v>0</v>
          </cell>
          <cell r="DU82">
            <v>0</v>
          </cell>
          <cell r="ED82" t="str">
            <v>G:\Habitat\OPERATIONNEL HABITAT\02- Operations\Photothèque\image non disponible.jpg</v>
          </cell>
          <cell r="EE82" t="str">
            <v>G:\Habitat\OPERATIONNEL HABITAT\02- Operations\Photothèque\image non disponible.jpg</v>
          </cell>
        </row>
        <row r="83">
          <cell r="A83" t="str">
            <v>COROSSOL ex CHAGOS 1</v>
          </cell>
          <cell r="B83">
            <v>9694</v>
          </cell>
          <cell r="C83" t="str">
            <v>EST</v>
          </cell>
          <cell r="D83" t="str">
            <v>Saint-André</v>
          </cell>
          <cell r="E83" t="str">
            <v>RHI 2 LES MANGUIERS</v>
          </cell>
          <cell r="F83">
            <v>18</v>
          </cell>
          <cell r="G83" t="str">
            <v>LLS</v>
          </cell>
          <cell r="J83" t="str">
            <v>MV</v>
          </cell>
          <cell r="K83" t="str">
            <v>CF</v>
          </cell>
          <cell r="L83" t="str">
            <v>SIDR</v>
          </cell>
          <cell r="M83" t="str">
            <v>maitrisé</v>
          </cell>
          <cell r="N83" t="str">
            <v>BB</v>
          </cell>
          <cell r="O83" t="str">
            <v>JMO</v>
          </cell>
          <cell r="P83" t="str">
            <v>CC</v>
          </cell>
          <cell r="Q83" t="str">
            <v>SPG</v>
          </cell>
          <cell r="R83">
            <v>2007</v>
          </cell>
          <cell r="S83">
            <v>1</v>
          </cell>
          <cell r="T83" t="str">
            <v>attente VRD Rhi les manguiers/AO commun</v>
          </cell>
          <cell r="U83" t="str">
            <v>SOAA MEUNIER</v>
          </cell>
          <cell r="V83" t="str">
            <v>H - APPEL D'OFFRES</v>
          </cell>
          <cell r="W83">
            <v>39352</v>
          </cell>
          <cell r="X83" t="str">
            <v>d</v>
          </cell>
          <cell r="Y83" t="str">
            <v>97440907a0538</v>
          </cell>
          <cell r="Z83">
            <v>39462</v>
          </cell>
          <cell r="AA83" t="str">
            <v>o</v>
          </cell>
          <cell r="AB83">
            <v>39337</v>
          </cell>
          <cell r="AC83" t="str">
            <v>v</v>
          </cell>
          <cell r="AD83">
            <v>39597</v>
          </cell>
          <cell r="AE83">
            <v>39353</v>
          </cell>
          <cell r="AF83" t="str">
            <v>f</v>
          </cell>
          <cell r="AG83">
            <v>39464</v>
          </cell>
          <cell r="AH83">
            <v>39722</v>
          </cell>
          <cell r="AI83" t="str">
            <v>ao</v>
          </cell>
          <cell r="AJ83">
            <v>39873</v>
          </cell>
          <cell r="AK83" t="str">
            <v>ch</v>
          </cell>
          <cell r="AL83">
            <v>4.9644923724355605</v>
          </cell>
          <cell r="AM83">
            <v>2009</v>
          </cell>
          <cell r="AN83">
            <v>16</v>
          </cell>
          <cell r="AO83">
            <v>40360</v>
          </cell>
          <cell r="AP83">
            <v>40375</v>
          </cell>
          <cell r="AQ83" t="str">
            <v/>
          </cell>
          <cell r="AR83">
            <v>2010</v>
          </cell>
          <cell r="BK83">
            <v>0</v>
          </cell>
          <cell r="BL83">
            <v>5.89</v>
          </cell>
          <cell r="CJ83" t="str">
            <v>SCI Saint Pierre</v>
          </cell>
          <cell r="CK83" t="str">
            <v>INFI</v>
          </cell>
          <cell r="CL83">
            <v>39773</v>
          </cell>
          <cell r="CM83" t="str">
            <v>-</v>
          </cell>
          <cell r="CN83">
            <v>0</v>
          </cell>
          <cell r="CO83" t="str">
            <v>199 undecies A</v>
          </cell>
          <cell r="CQ83" t="str">
            <v>non</v>
          </cell>
          <cell r="CX83">
            <v>0</v>
          </cell>
          <cell r="DE83">
            <v>0</v>
          </cell>
          <cell r="DJ83">
            <v>0</v>
          </cell>
          <cell r="DO83">
            <v>0</v>
          </cell>
          <cell r="DS83">
            <v>0</v>
          </cell>
          <cell r="DT83">
            <v>0</v>
          </cell>
          <cell r="DU83">
            <v>0</v>
          </cell>
          <cell r="ED83" t="str">
            <v>G:\Habitat\OPERATIONNEL HABITAT\02- Operations\Photothèque\image non disponible.jpg</v>
          </cell>
          <cell r="EE83" t="str">
            <v>G:\Habitat\OPERATIONNEL HABITAT\02- Operations\Photothèque\image non disponible.jpg</v>
          </cell>
        </row>
        <row r="84">
          <cell r="A84" t="str">
            <v>CRESSON DE FONTAINE</v>
          </cell>
          <cell r="B84">
            <v>9491</v>
          </cell>
          <cell r="C84" t="str">
            <v>EST</v>
          </cell>
          <cell r="D84" t="str">
            <v>Saint-André</v>
          </cell>
          <cell r="E84" t="str">
            <v>ZAC CRESSONIERE</v>
          </cell>
          <cell r="F84">
            <v>29</v>
          </cell>
          <cell r="G84" t="str">
            <v>LESG</v>
          </cell>
          <cell r="J84" t="str">
            <v>IND</v>
          </cell>
          <cell r="K84" t="str">
            <v>CF</v>
          </cell>
          <cell r="L84" t="str">
            <v>SIDR</v>
          </cell>
          <cell r="N84" t="str">
            <v>EC</v>
          </cell>
          <cell r="O84" t="str">
            <v>OS</v>
          </cell>
          <cell r="P84" t="str">
            <v>LV</v>
          </cell>
          <cell r="Q84" t="str">
            <v>SPG</v>
          </cell>
          <cell r="R84">
            <v>2004</v>
          </cell>
          <cell r="U84" t="str">
            <v>SOAA MEUNIER</v>
          </cell>
          <cell r="V84" t="str">
            <v>M - LIVRE/GPA</v>
          </cell>
          <cell r="W84">
            <v>37820</v>
          </cell>
          <cell r="X84" t="str">
            <v>d</v>
          </cell>
          <cell r="Z84">
            <v>38001</v>
          </cell>
          <cell r="AA84" t="str">
            <v>o</v>
          </cell>
          <cell r="AB84" t="str">
            <v>validé</v>
          </cell>
          <cell r="AC84" t="str">
            <v/>
          </cell>
          <cell r="AD84">
            <v>39597</v>
          </cell>
          <cell r="AE84">
            <v>38229</v>
          </cell>
          <cell r="AF84" t="str">
            <v>f</v>
          </cell>
          <cell r="AG84">
            <v>38343</v>
          </cell>
          <cell r="AH84">
            <v>38426</v>
          </cell>
          <cell r="AI84" t="str">
            <v>ao</v>
          </cell>
          <cell r="AJ84">
            <v>38565</v>
          </cell>
          <cell r="AK84" t="str">
            <v/>
          </cell>
          <cell r="AL84">
            <v>4.5699631772751186</v>
          </cell>
          <cell r="AM84">
            <v>2005</v>
          </cell>
          <cell r="AN84">
            <v>16</v>
          </cell>
          <cell r="AO84">
            <v>39052</v>
          </cell>
          <cell r="AP84">
            <v>39324</v>
          </cell>
          <cell r="AQ84" t="str">
            <v>li</v>
          </cell>
          <cell r="AR84">
            <v>2007</v>
          </cell>
          <cell r="CJ84" t="str">
            <v>-</v>
          </cell>
          <cell r="CK84" t="str">
            <v>-</v>
          </cell>
          <cell r="CL84" t="str">
            <v>-</v>
          </cell>
          <cell r="CM84" t="str">
            <v>-</v>
          </cell>
          <cell r="CN84">
            <v>0</v>
          </cell>
          <cell r="CQ84" t="str">
            <v>oui</v>
          </cell>
          <cell r="CX84">
            <v>0</v>
          </cell>
          <cell r="DE84">
            <v>0</v>
          </cell>
          <cell r="DJ84">
            <v>0</v>
          </cell>
          <cell r="DO84">
            <v>0</v>
          </cell>
          <cell r="DS84">
            <v>0</v>
          </cell>
          <cell r="DT84">
            <v>0</v>
          </cell>
          <cell r="DU84">
            <v>0</v>
          </cell>
          <cell r="ED84" t="str">
            <v>G:\Habitat\OPERATIONNEL HABITAT\02- Operations\Photothèque\image non disponible.jpg</v>
          </cell>
          <cell r="EE84" t="str">
            <v>G:\Habitat\OPERATIONNEL HABITAT\02- Operations\Photothèque\image non disponible.jpg</v>
          </cell>
        </row>
        <row r="85">
          <cell r="A85" t="str">
            <v>Croix rouge</v>
          </cell>
          <cell r="C85" t="str">
            <v>SUD</v>
          </cell>
          <cell r="D85" t="str">
            <v>Saint-Pierre</v>
          </cell>
          <cell r="E85" t="str">
            <v>RHI BASSE TERRE</v>
          </cell>
          <cell r="F85">
            <v>10</v>
          </cell>
          <cell r="G85" t="str">
            <v>LLTS</v>
          </cell>
          <cell r="J85" t="str">
            <v>MIXT</v>
          </cell>
          <cell r="K85" t="str">
            <v>CF</v>
          </cell>
          <cell r="L85" t="str">
            <v>SIDR</v>
          </cell>
          <cell r="M85" t="str">
            <v>non maitrisé</v>
          </cell>
          <cell r="N85" t="str">
            <v>EC</v>
          </cell>
          <cell r="R85">
            <v>2012</v>
          </cell>
          <cell r="V85" t="str">
            <v>A - NON LANCE</v>
          </cell>
          <cell r="AA85" t="str">
            <v/>
          </cell>
          <cell r="AC85" t="str">
            <v/>
          </cell>
          <cell r="AI85" t="str">
            <v/>
          </cell>
          <cell r="AK85" t="str">
            <v/>
          </cell>
          <cell r="AL85">
            <v>0</v>
          </cell>
          <cell r="AQ85" t="str">
            <v/>
          </cell>
          <cell r="CJ85" t="str">
            <v>-</v>
          </cell>
          <cell r="CK85" t="str">
            <v>-</v>
          </cell>
          <cell r="CL85" t="str">
            <v>-</v>
          </cell>
          <cell r="CM85" t="str">
            <v>-</v>
          </cell>
          <cell r="CN85">
            <v>0</v>
          </cell>
          <cell r="CQ85" t="str">
            <v>non</v>
          </cell>
          <cell r="CX85">
            <v>0</v>
          </cell>
          <cell r="DE85">
            <v>0</v>
          </cell>
          <cell r="DJ85">
            <v>0</v>
          </cell>
          <cell r="DO85">
            <v>0</v>
          </cell>
          <cell r="DS85">
            <v>0</v>
          </cell>
          <cell r="DT85">
            <v>0</v>
          </cell>
          <cell r="DU85">
            <v>0</v>
          </cell>
          <cell r="ED85" t="str">
            <v>G:\Habitat\OPERATIONNEL HABITAT\02- Operations\Photothèque\image non disponible.jpg</v>
          </cell>
          <cell r="EE85" t="str">
            <v>G:\Habitat\OPERATIONNEL HABITAT\02- Operations\Photothèque\image non disponible.jpg</v>
          </cell>
        </row>
        <row r="86">
          <cell r="A86" t="str">
            <v>DARDANELLES 1</v>
          </cell>
          <cell r="B86">
            <v>9507</v>
          </cell>
          <cell r="C86" t="str">
            <v>OUEST</v>
          </cell>
          <cell r="D86" t="str">
            <v>Port</v>
          </cell>
          <cell r="E86" t="str">
            <v>RHI SAY PISCINE</v>
          </cell>
          <cell r="F86">
            <v>21</v>
          </cell>
          <cell r="G86" t="str">
            <v>LLS</v>
          </cell>
          <cell r="J86" t="str">
            <v>MV</v>
          </cell>
          <cell r="K86" t="str">
            <v>CF</v>
          </cell>
          <cell r="L86" t="str">
            <v>SIDR</v>
          </cell>
          <cell r="N86" t="str">
            <v>CLa</v>
          </cell>
          <cell r="O86" t="str">
            <v>GG</v>
          </cell>
          <cell r="P86" t="str">
            <v>CC</v>
          </cell>
          <cell r="Q86" t="str">
            <v>OP</v>
          </cell>
          <cell r="R86">
            <v>2003</v>
          </cell>
          <cell r="T86" t="str">
            <v>appel de fond solaire /releve des problèmes de fonctionnement/réunion SIDR Ville 6/3/2008</v>
          </cell>
          <cell r="U86" t="str">
            <v>ATELIER CHEYSSIAL</v>
          </cell>
          <cell r="V86" t="str">
            <v>M - LIVRE/GPA</v>
          </cell>
          <cell r="W86">
            <v>37840</v>
          </cell>
          <cell r="X86" t="str">
            <v>d</v>
          </cell>
          <cell r="Y86" t="str">
            <v>97440703A0060</v>
          </cell>
          <cell r="Z86">
            <v>37907</v>
          </cell>
          <cell r="AA86" t="str">
            <v>o</v>
          </cell>
          <cell r="AB86" t="str">
            <v>validé</v>
          </cell>
          <cell r="AC86" t="str">
            <v/>
          </cell>
          <cell r="AE86">
            <v>37887</v>
          </cell>
          <cell r="AF86" t="str">
            <v>f</v>
          </cell>
          <cell r="AG86" t="str">
            <v>O</v>
          </cell>
          <cell r="AH86">
            <v>38250</v>
          </cell>
          <cell r="AI86" t="str">
            <v>ao</v>
          </cell>
          <cell r="AJ86">
            <v>38467</v>
          </cell>
          <cell r="AK86" t="str">
            <v/>
          </cell>
          <cell r="AL86">
            <v>7.1344029458179907</v>
          </cell>
          <cell r="AM86">
            <v>2005</v>
          </cell>
          <cell r="AN86">
            <v>18</v>
          </cell>
          <cell r="AO86">
            <v>39015</v>
          </cell>
          <cell r="AP86">
            <v>39066</v>
          </cell>
          <cell r="AQ86" t="str">
            <v>li</v>
          </cell>
          <cell r="AR86">
            <v>2006</v>
          </cell>
          <cell r="BN86">
            <v>0.2</v>
          </cell>
          <cell r="BO86" t="str">
            <v>signée</v>
          </cell>
          <cell r="BP86">
            <v>0.8</v>
          </cell>
          <cell r="BQ86" t="str">
            <v>signée</v>
          </cell>
          <cell r="BX86" t="str">
            <v>signé</v>
          </cell>
          <cell r="CA86">
            <v>3902.89</v>
          </cell>
          <cell r="CE86" t="str">
            <v>ECS ind</v>
          </cell>
          <cell r="CF86">
            <v>95065</v>
          </cell>
          <cell r="CG86">
            <v>28819</v>
          </cell>
          <cell r="CH86">
            <v>43229</v>
          </cell>
          <cell r="CI86">
            <v>24016</v>
          </cell>
          <cell r="CJ86" t="str">
            <v>-</v>
          </cell>
          <cell r="CK86" t="str">
            <v>-</v>
          </cell>
          <cell r="CL86" t="str">
            <v>-</v>
          </cell>
          <cell r="CM86" t="str">
            <v>-</v>
          </cell>
          <cell r="CN86">
            <v>0</v>
          </cell>
          <cell r="CQ86" t="str">
            <v>oui</v>
          </cell>
          <cell r="CR86">
            <v>71718</v>
          </cell>
          <cell r="CT86">
            <v>3011890</v>
          </cell>
          <cell r="CX86">
            <v>3083608</v>
          </cell>
          <cell r="DE86">
            <v>72048</v>
          </cell>
          <cell r="DJ86">
            <v>72048</v>
          </cell>
          <cell r="DO86">
            <v>0</v>
          </cell>
          <cell r="DQ86">
            <v>92802</v>
          </cell>
          <cell r="DR86">
            <v>24016</v>
          </cell>
          <cell r="DS86">
            <v>116818</v>
          </cell>
          <cell r="DT86">
            <v>233636</v>
          </cell>
          <cell r="DU86">
            <v>-2777924</v>
          </cell>
          <cell r="ED86" t="str">
            <v>G:\Habitat\OPERATIONNEL HABITAT\02- Operations\Photothèque\images locatifs\Dardanelles\pers 1 Dardannelles.jpg</v>
          </cell>
          <cell r="EE86" t="str">
            <v>G:\Habitat\OPERATIONNEL HABITAT\02- Operations\Photothèque\image non disponible.jpg</v>
          </cell>
        </row>
        <row r="87">
          <cell r="A87" t="str">
            <v>DARDANELLES 2</v>
          </cell>
          <cell r="B87">
            <v>9507</v>
          </cell>
          <cell r="C87" t="str">
            <v>OUEST</v>
          </cell>
          <cell r="D87" t="str">
            <v>Port</v>
          </cell>
          <cell r="E87" t="str">
            <v>RHI SAY PISCINE</v>
          </cell>
          <cell r="F87">
            <v>25</v>
          </cell>
          <cell r="G87" t="str">
            <v>LLS</v>
          </cell>
          <cell r="J87" t="str">
            <v>MV</v>
          </cell>
          <cell r="K87" t="str">
            <v>CF</v>
          </cell>
          <cell r="L87" t="str">
            <v>SIDR</v>
          </cell>
          <cell r="N87" t="str">
            <v>CLa</v>
          </cell>
          <cell r="O87" t="str">
            <v>GG</v>
          </cell>
          <cell r="P87" t="str">
            <v>CC</v>
          </cell>
          <cell r="Q87" t="str">
            <v>OP</v>
          </cell>
          <cell r="R87">
            <v>2003</v>
          </cell>
          <cell r="T87" t="str">
            <v xml:space="preserve"> demande solaire?/gestion ts amélioration avec DGI</v>
          </cell>
          <cell r="U87" t="str">
            <v>ATELIER CHEYSSIAL</v>
          </cell>
          <cell r="V87" t="str">
            <v>M - LIVRE/GPA</v>
          </cell>
          <cell r="W87">
            <v>37840</v>
          </cell>
          <cell r="X87" t="str">
            <v>d</v>
          </cell>
          <cell r="Y87" t="str">
            <v>97440703A0060</v>
          </cell>
          <cell r="Z87">
            <v>37907</v>
          </cell>
          <cell r="AA87" t="str">
            <v>o</v>
          </cell>
          <cell r="AB87" t="str">
            <v>validé</v>
          </cell>
          <cell r="AC87" t="str">
            <v/>
          </cell>
          <cell r="AE87">
            <v>37887</v>
          </cell>
          <cell r="AF87" t="str">
            <v>f</v>
          </cell>
          <cell r="AG87" t="str">
            <v>O</v>
          </cell>
          <cell r="AH87">
            <v>38250</v>
          </cell>
          <cell r="AI87" t="str">
            <v>ao</v>
          </cell>
          <cell r="AJ87">
            <v>38467</v>
          </cell>
          <cell r="AK87" t="str">
            <v/>
          </cell>
          <cell r="AL87">
            <v>7.1344029458179907</v>
          </cell>
          <cell r="AM87">
            <v>2005</v>
          </cell>
          <cell r="AN87">
            <v>18</v>
          </cell>
          <cell r="AO87">
            <v>39015</v>
          </cell>
          <cell r="AP87">
            <v>39182</v>
          </cell>
          <cell r="AQ87" t="str">
            <v>li</v>
          </cell>
          <cell r="AR87">
            <v>2007</v>
          </cell>
          <cell r="CJ87" t="str">
            <v>-</v>
          </cell>
          <cell r="CK87" t="str">
            <v>-</v>
          </cell>
          <cell r="CL87" t="str">
            <v>-</v>
          </cell>
          <cell r="CM87" t="str">
            <v>-</v>
          </cell>
          <cell r="CN87">
            <v>0</v>
          </cell>
          <cell r="CQ87" t="str">
            <v>oui</v>
          </cell>
          <cell r="CX87">
            <v>0</v>
          </cell>
          <cell r="DE87">
            <v>0</v>
          </cell>
          <cell r="DJ87">
            <v>0</v>
          </cell>
          <cell r="DO87">
            <v>0</v>
          </cell>
          <cell r="DS87">
            <v>0</v>
          </cell>
          <cell r="DT87">
            <v>0</v>
          </cell>
          <cell r="DU87">
            <v>0</v>
          </cell>
          <cell r="ED87" t="str">
            <v>G:\Habitat\OPERATIONNEL HABITAT\02- Operations\Photothèque\images locatifs\Dardanelles\pers 1 Dardannelles.jpg</v>
          </cell>
          <cell r="EE87" t="str">
            <v>G:\Habitat\OPERATIONNEL HABITAT\02- Operations\Photothèque\image non disponible.jpg</v>
          </cell>
        </row>
        <row r="88">
          <cell r="A88" t="str">
            <v>DIFFUS SORNOM/GARDEBIEN</v>
          </cell>
          <cell r="B88">
            <v>9501</v>
          </cell>
          <cell r="C88" t="str">
            <v>NORD</v>
          </cell>
          <cell r="D88" t="str">
            <v>Saint-Denis</v>
          </cell>
          <cell r="E88" t="str">
            <v>RHI PAVADE</v>
          </cell>
          <cell r="F88">
            <v>1</v>
          </cell>
          <cell r="G88" t="str">
            <v>LESD</v>
          </cell>
          <cell r="J88" t="str">
            <v>IND</v>
          </cell>
          <cell r="K88" t="str">
            <v>CF</v>
          </cell>
          <cell r="L88" t="str">
            <v>SIDR</v>
          </cell>
          <cell r="N88" t="str">
            <v>EC</v>
          </cell>
          <cell r="O88" t="str">
            <v>EC</v>
          </cell>
          <cell r="P88" t="str">
            <v>VS</v>
          </cell>
          <cell r="Q88" t="str">
            <v>FB</v>
          </cell>
          <cell r="R88">
            <v>2004</v>
          </cell>
          <cell r="U88" t="str">
            <v>CAMART</v>
          </cell>
          <cell r="V88" t="str">
            <v>M - LIVRE/GPA</v>
          </cell>
          <cell r="X88" t="str">
            <v/>
          </cell>
          <cell r="AA88" t="str">
            <v/>
          </cell>
          <cell r="AC88" t="str">
            <v/>
          </cell>
          <cell r="AF88" t="str">
            <v/>
          </cell>
          <cell r="AH88">
            <v>38122</v>
          </cell>
          <cell r="AI88" t="str">
            <v>ao</v>
          </cell>
          <cell r="AJ88">
            <v>38183</v>
          </cell>
          <cell r="AK88" t="str">
            <v/>
          </cell>
          <cell r="AL88">
            <v>2.005523408732246</v>
          </cell>
          <cell r="AM88">
            <v>2004</v>
          </cell>
          <cell r="AN88">
            <v>8</v>
          </cell>
          <cell r="AO88">
            <v>38426</v>
          </cell>
          <cell r="AP88">
            <v>38533</v>
          </cell>
          <cell r="AQ88" t="str">
            <v>li</v>
          </cell>
          <cell r="AR88">
            <v>2005</v>
          </cell>
          <cell r="CJ88" t="str">
            <v>-</v>
          </cell>
          <cell r="CK88" t="str">
            <v>-</v>
          </cell>
          <cell r="CL88" t="str">
            <v>-</v>
          </cell>
          <cell r="CM88" t="str">
            <v>-</v>
          </cell>
          <cell r="CN88">
            <v>0</v>
          </cell>
          <cell r="CQ88" t="str">
            <v>oui</v>
          </cell>
          <cell r="CX88">
            <v>0</v>
          </cell>
          <cell r="DE88">
            <v>0</v>
          </cell>
          <cell r="DJ88">
            <v>0</v>
          </cell>
          <cell r="DO88">
            <v>0</v>
          </cell>
          <cell r="DS88">
            <v>0</v>
          </cell>
          <cell r="DT88">
            <v>0</v>
          </cell>
          <cell r="DU88">
            <v>0</v>
          </cell>
          <cell r="ED88" t="str">
            <v>G:\Habitat\OPERATIONNEL HABITAT\02- Operations\Photothèque\image non disponible.jpg</v>
          </cell>
          <cell r="EE88" t="str">
            <v>G:\Habitat\OPERATIONNEL HABITAT\02- Operations\Photothèque\image non disponible.jpg</v>
          </cell>
        </row>
        <row r="89">
          <cell r="A89" t="str">
            <v>DISTILLERIE</v>
          </cell>
          <cell r="B89">
            <v>9610</v>
          </cell>
          <cell r="C89" t="str">
            <v>SUD</v>
          </cell>
          <cell r="D89" t="str">
            <v>Saint-Pierre</v>
          </cell>
          <cell r="E89" t="str">
            <v>RUE A BABET</v>
          </cell>
          <cell r="F89">
            <v>22</v>
          </cell>
          <cell r="G89" t="str">
            <v>ACC</v>
          </cell>
          <cell r="J89" t="str">
            <v>COL</v>
          </cell>
          <cell r="K89" t="str">
            <v>RF</v>
          </cell>
          <cell r="N89" t="str">
            <v>LC</v>
          </cell>
          <cell r="P89" t="str">
            <v>NA</v>
          </cell>
          <cell r="R89">
            <v>2009</v>
          </cell>
          <cell r="U89" t="str">
            <v>LUCAS</v>
          </cell>
          <cell r="V89" t="str">
            <v>E - APS / PC</v>
          </cell>
          <cell r="W89">
            <v>39807</v>
          </cell>
          <cell r="X89" t="str">
            <v>d</v>
          </cell>
          <cell r="Z89">
            <v>39798</v>
          </cell>
          <cell r="AA89" t="str">
            <v>o</v>
          </cell>
          <cell r="AB89">
            <v>39736</v>
          </cell>
          <cell r="AC89" t="str">
            <v>v</v>
          </cell>
          <cell r="AF89" t="str">
            <v/>
          </cell>
          <cell r="AH89">
            <v>39979</v>
          </cell>
          <cell r="AI89" t="str">
            <v/>
          </cell>
          <cell r="AJ89">
            <v>40071</v>
          </cell>
          <cell r="AK89" t="str">
            <v/>
          </cell>
          <cell r="AL89">
            <v>3.0247238295633876</v>
          </cell>
          <cell r="AM89">
            <v>2009</v>
          </cell>
          <cell r="AN89">
            <v>12</v>
          </cell>
          <cell r="AO89">
            <v>40436</v>
          </cell>
          <cell r="AP89">
            <v>40451</v>
          </cell>
          <cell r="AQ89" t="str">
            <v/>
          </cell>
          <cell r="AR89">
            <v>2011</v>
          </cell>
          <cell r="CJ89" t="str">
            <v>-</v>
          </cell>
          <cell r="CK89" t="str">
            <v>-</v>
          </cell>
          <cell r="CL89" t="str">
            <v>-</v>
          </cell>
          <cell r="CM89" t="str">
            <v>-</v>
          </cell>
          <cell r="CN89">
            <v>0</v>
          </cell>
          <cell r="CQ89" t="str">
            <v>non</v>
          </cell>
          <cell r="CX89">
            <v>0</v>
          </cell>
          <cell r="DE89">
            <v>0</v>
          </cell>
          <cell r="DJ89">
            <v>0</v>
          </cell>
          <cell r="DO89">
            <v>0</v>
          </cell>
          <cell r="DS89">
            <v>0</v>
          </cell>
          <cell r="DT89">
            <v>0</v>
          </cell>
          <cell r="DU89">
            <v>0</v>
          </cell>
          <cell r="ED89" t="str">
            <v>G:\Habitat\OPERATIONNEL HABITAT\02- Operations\Photothèque\image non disponible.jpg</v>
          </cell>
          <cell r="EE89" t="str">
            <v>G:\Habitat\OPERATIONNEL HABITAT\02- Operations\Photothèque\image non disponible.jpg</v>
          </cell>
        </row>
        <row r="90">
          <cell r="A90" t="str">
            <v>Enquette 3</v>
          </cell>
          <cell r="C90" t="str">
            <v>SUD</v>
          </cell>
          <cell r="D90" t="str">
            <v>Saint-Pierre</v>
          </cell>
          <cell r="E90" t="str">
            <v>RHI BASSE TERRE</v>
          </cell>
          <cell r="F90">
            <v>16</v>
          </cell>
          <cell r="G90" t="str">
            <v>LLTS</v>
          </cell>
          <cell r="J90" t="str">
            <v>MIXT</v>
          </cell>
          <cell r="K90" t="str">
            <v>CF</v>
          </cell>
          <cell r="L90" t="str">
            <v>SIDR</v>
          </cell>
          <cell r="M90" t="str">
            <v>non maitrisé</v>
          </cell>
          <cell r="N90" t="str">
            <v>N.A.</v>
          </cell>
          <cell r="R90">
            <v>2011</v>
          </cell>
          <cell r="V90" t="str">
            <v>A - NON LANCE</v>
          </cell>
          <cell r="AA90" t="str">
            <v/>
          </cell>
          <cell r="AC90" t="str">
            <v/>
          </cell>
          <cell r="AI90" t="str">
            <v/>
          </cell>
          <cell r="AK90" t="str">
            <v/>
          </cell>
          <cell r="AL90">
            <v>0</v>
          </cell>
          <cell r="AQ90" t="str">
            <v/>
          </cell>
          <cell r="CJ90" t="str">
            <v>-</v>
          </cell>
          <cell r="CK90" t="str">
            <v>-</v>
          </cell>
          <cell r="CL90" t="str">
            <v>-</v>
          </cell>
          <cell r="CM90" t="str">
            <v>-</v>
          </cell>
          <cell r="CN90">
            <v>0</v>
          </cell>
          <cell r="CQ90" t="str">
            <v>non</v>
          </cell>
          <cell r="CX90">
            <v>0</v>
          </cell>
          <cell r="DE90">
            <v>0</v>
          </cell>
          <cell r="DJ90">
            <v>0</v>
          </cell>
          <cell r="DO90">
            <v>0</v>
          </cell>
          <cell r="DS90">
            <v>0</v>
          </cell>
          <cell r="DT90">
            <v>0</v>
          </cell>
          <cell r="DU90">
            <v>0</v>
          </cell>
          <cell r="ED90" t="str">
            <v>G:\Habitat\OPERATIONNEL HABITAT\02- Operations\Photothèque\image non disponible.jpg</v>
          </cell>
          <cell r="EE90" t="str">
            <v>G:\Habitat\OPERATIONNEL HABITAT\02- Operations\Photothèque\image non disponible.jpg</v>
          </cell>
        </row>
        <row r="91">
          <cell r="A91" t="str">
            <v>ERYTHRINES 1</v>
          </cell>
          <cell r="B91">
            <v>9546</v>
          </cell>
          <cell r="C91" t="str">
            <v>EST</v>
          </cell>
          <cell r="D91" t="str">
            <v>Saint-André</v>
          </cell>
          <cell r="E91" t="str">
            <v>RHI CAMBUSTON SEDRE</v>
          </cell>
          <cell r="F91">
            <v>24</v>
          </cell>
          <cell r="G91" t="str">
            <v>LLS</v>
          </cell>
          <cell r="J91" t="str">
            <v>IND</v>
          </cell>
          <cell r="K91" t="str">
            <v>CF</v>
          </cell>
          <cell r="L91" t="str">
            <v>SEDRE</v>
          </cell>
          <cell r="M91" t="str">
            <v>maitrisé</v>
          </cell>
          <cell r="N91" t="str">
            <v>JPM</v>
          </cell>
          <cell r="O91" t="str">
            <v>JMO</v>
          </cell>
          <cell r="P91" t="str">
            <v>CC</v>
          </cell>
          <cell r="R91">
            <v>2005</v>
          </cell>
          <cell r="T91" t="str">
            <v>acquisition fonciére sep 2008 serde/sidr</v>
          </cell>
          <cell r="U91" t="str">
            <v>SOAA MEUNIER</v>
          </cell>
          <cell r="V91" t="str">
            <v>L - CHANTIER EN COURS</v>
          </cell>
          <cell r="W91">
            <v>38533</v>
          </cell>
          <cell r="X91" t="str">
            <v>d</v>
          </cell>
          <cell r="Y91" t="str">
            <v>97440904A0337</v>
          </cell>
          <cell r="Z91">
            <v>38741</v>
          </cell>
          <cell r="AA91" t="str">
            <v>o</v>
          </cell>
          <cell r="AB91" t="str">
            <v>validé</v>
          </cell>
          <cell r="AC91" t="str">
            <v/>
          </cell>
          <cell r="AE91">
            <v>38553</v>
          </cell>
          <cell r="AF91" t="str">
            <v>f</v>
          </cell>
          <cell r="AG91">
            <v>38722</v>
          </cell>
          <cell r="AH91">
            <v>38985</v>
          </cell>
          <cell r="AI91" t="str">
            <v>ao</v>
          </cell>
          <cell r="AJ91">
            <v>39359</v>
          </cell>
          <cell r="AK91" t="str">
            <v/>
          </cell>
          <cell r="AL91">
            <v>12.296159915833771</v>
          </cell>
          <cell r="AM91">
            <v>2007</v>
          </cell>
          <cell r="AN91">
            <v>17</v>
          </cell>
          <cell r="AO91">
            <v>39876</v>
          </cell>
          <cell r="AP91">
            <v>39891</v>
          </cell>
          <cell r="AQ91" t="str">
            <v>li</v>
          </cell>
          <cell r="AR91">
            <v>2009</v>
          </cell>
          <cell r="BA91">
            <v>16</v>
          </cell>
          <cell r="BB91">
            <v>70.31</v>
          </cell>
          <cell r="BE91">
            <v>7</v>
          </cell>
          <cell r="BF91">
            <v>79.430000000000007</v>
          </cell>
          <cell r="BI91">
            <v>1</v>
          </cell>
          <cell r="BJ91">
            <v>88.56</v>
          </cell>
          <cell r="BK91">
            <v>24</v>
          </cell>
          <cell r="BL91">
            <v>5.51</v>
          </cell>
          <cell r="BM91">
            <v>0.3</v>
          </cell>
          <cell r="BN91">
            <v>0.4</v>
          </cell>
          <cell r="BO91" t="str">
            <v>transmis</v>
          </cell>
          <cell r="BP91">
            <v>0.6</v>
          </cell>
          <cell r="BQ91" t="str">
            <v xml:space="preserve">transmis </v>
          </cell>
          <cell r="BX91" t="str">
            <v>en attente garanties emprunts</v>
          </cell>
          <cell r="BY91">
            <v>1873</v>
          </cell>
          <cell r="BZ91">
            <v>2627</v>
          </cell>
          <cell r="CA91">
            <v>1824</v>
          </cell>
          <cell r="CE91" t="str">
            <v>ECS ind</v>
          </cell>
          <cell r="CF91">
            <v>60000</v>
          </cell>
          <cell r="CG91">
            <v>18000</v>
          </cell>
          <cell r="CH91">
            <v>27000</v>
          </cell>
          <cell r="CI91" t="str">
            <v>D le10/2007</v>
          </cell>
          <cell r="CJ91" t="str">
            <v>-</v>
          </cell>
          <cell r="CK91" t="str">
            <v>-</v>
          </cell>
          <cell r="CL91" t="str">
            <v>-</v>
          </cell>
          <cell r="CM91" t="str">
            <v>-</v>
          </cell>
          <cell r="CN91">
            <v>0</v>
          </cell>
          <cell r="CQ91" t="str">
            <v>non</v>
          </cell>
          <cell r="CX91">
            <v>0</v>
          </cell>
          <cell r="DE91">
            <v>45000</v>
          </cell>
          <cell r="DJ91">
            <v>45000</v>
          </cell>
          <cell r="DO91">
            <v>0</v>
          </cell>
          <cell r="DQ91">
            <v>50500</v>
          </cell>
          <cell r="DR91">
            <v>22500</v>
          </cell>
          <cell r="DS91">
            <v>73000</v>
          </cell>
          <cell r="DT91">
            <v>146000</v>
          </cell>
          <cell r="DU91">
            <v>191000</v>
          </cell>
          <cell r="ED91" t="str">
            <v>G:\Habitat\OPERATIONNEL HABITAT\02- Operations\Photothèque\images locatifs\Erythrines\erythrines.jpg</v>
          </cell>
          <cell r="EE91" t="str">
            <v>G:\Habitat\OPERATIONNEL HABITAT\02- Operations\Photothèque\images locatifs\Erythrines\erythrines (1).jpg</v>
          </cell>
        </row>
        <row r="92">
          <cell r="A92" t="str">
            <v>ERYTHRINES 2</v>
          </cell>
          <cell r="B92">
            <v>9656</v>
          </cell>
          <cell r="C92" t="str">
            <v>EST</v>
          </cell>
          <cell r="D92" t="str">
            <v>Saint-André</v>
          </cell>
          <cell r="E92" t="str">
            <v>RHI CAMBUSTON SEDRE</v>
          </cell>
          <cell r="F92">
            <v>13</v>
          </cell>
          <cell r="G92" t="str">
            <v>LLS</v>
          </cell>
          <cell r="J92" t="str">
            <v>COL</v>
          </cell>
          <cell r="K92" t="str">
            <v>CF</v>
          </cell>
          <cell r="L92" t="str">
            <v>SEDRE</v>
          </cell>
          <cell r="M92" t="str">
            <v>maitrisé</v>
          </cell>
          <cell r="N92" t="str">
            <v>JPM</v>
          </cell>
          <cell r="O92" t="str">
            <v>JMO</v>
          </cell>
          <cell r="P92" t="str">
            <v>CC</v>
          </cell>
          <cell r="R92">
            <v>2006</v>
          </cell>
          <cell r="S92">
            <v>0</v>
          </cell>
          <cell r="T92" t="str">
            <v>vente sedre/ sidr OK</v>
          </cell>
          <cell r="U92" t="str">
            <v>MEUNIER</v>
          </cell>
          <cell r="V92" t="str">
            <v>L - CHANTIER EN COURS</v>
          </cell>
          <cell r="W92">
            <v>38518</v>
          </cell>
          <cell r="X92" t="str">
            <v>d</v>
          </cell>
          <cell r="Y92" t="str">
            <v>97440904A0338</v>
          </cell>
          <cell r="Z92">
            <v>38741</v>
          </cell>
          <cell r="AA92" t="str">
            <v>o</v>
          </cell>
          <cell r="AB92" t="str">
            <v>validé</v>
          </cell>
          <cell r="AC92" t="str">
            <v/>
          </cell>
          <cell r="AE92">
            <v>38827</v>
          </cell>
          <cell r="AF92" t="str">
            <v>f</v>
          </cell>
          <cell r="AG92">
            <v>39093</v>
          </cell>
          <cell r="AH92">
            <v>38985</v>
          </cell>
          <cell r="AI92" t="str">
            <v>ao</v>
          </cell>
          <cell r="AJ92">
            <v>39359</v>
          </cell>
          <cell r="AK92" t="str">
            <v/>
          </cell>
          <cell r="AL92">
            <v>12.296159915833771</v>
          </cell>
          <cell r="AM92">
            <v>2007</v>
          </cell>
          <cell r="AN92">
            <v>14</v>
          </cell>
          <cell r="AO92">
            <v>39786</v>
          </cell>
          <cell r="AP92">
            <v>39787</v>
          </cell>
          <cell r="AQ92" t="str">
            <v>li</v>
          </cell>
          <cell r="AR92">
            <v>2008</v>
          </cell>
          <cell r="AS92">
            <v>3</v>
          </cell>
          <cell r="AT92">
            <v>28</v>
          </cell>
          <cell r="AW92">
            <v>3</v>
          </cell>
          <cell r="AX92">
            <v>62</v>
          </cell>
          <cell r="BA92">
            <v>4</v>
          </cell>
          <cell r="BB92">
            <v>69</v>
          </cell>
          <cell r="BE92">
            <v>3</v>
          </cell>
          <cell r="BF92">
            <v>80</v>
          </cell>
          <cell r="BK92">
            <v>13</v>
          </cell>
          <cell r="BL92">
            <v>5.95</v>
          </cell>
          <cell r="BM92">
            <v>0.82</v>
          </cell>
          <cell r="BO92" t="str">
            <v>signée</v>
          </cell>
          <cell r="BQ92" t="str">
            <v>signée</v>
          </cell>
          <cell r="BX92" t="str">
            <v>émis signature garants en cours</v>
          </cell>
          <cell r="BY92">
            <v>897</v>
          </cell>
          <cell r="BZ92">
            <v>1405</v>
          </cell>
          <cell r="CA92">
            <v>788.61</v>
          </cell>
          <cell r="CE92" t="str">
            <v>ECS ind</v>
          </cell>
          <cell r="CF92">
            <v>48100</v>
          </cell>
          <cell r="CG92">
            <v>14430</v>
          </cell>
          <cell r="CH92">
            <v>21645</v>
          </cell>
          <cell r="CI92" t="str">
            <v>D 10/2007</v>
          </cell>
          <cell r="CJ92" t="str">
            <v>-</v>
          </cell>
          <cell r="CK92" t="str">
            <v>-</v>
          </cell>
          <cell r="CL92" t="str">
            <v>-</v>
          </cell>
          <cell r="CM92" t="str">
            <v>-</v>
          </cell>
          <cell r="CN92">
            <v>0</v>
          </cell>
          <cell r="CQ92" t="str">
            <v>oui</v>
          </cell>
          <cell r="CX92">
            <v>0</v>
          </cell>
          <cell r="DE92">
            <v>36075</v>
          </cell>
          <cell r="DJ92">
            <v>36075</v>
          </cell>
          <cell r="DO92">
            <v>0</v>
          </cell>
          <cell r="DQ92">
            <v>34749</v>
          </cell>
          <cell r="DR92">
            <v>15600</v>
          </cell>
          <cell r="DS92">
            <v>50349</v>
          </cell>
          <cell r="DT92">
            <v>100698</v>
          </cell>
          <cell r="DU92">
            <v>136773</v>
          </cell>
          <cell r="ED92" t="str">
            <v>G:\Habitat\OPERATIONNEL HABITAT\02- Operations\Photothèque\images locatifs\Erythrines\erythrines.jpg</v>
          </cell>
          <cell r="EE92" t="str">
            <v>G:\Habitat\OPERATIONNEL HABITAT\02- Operations\Photothèque\images locatifs\Erythrines\erythrines (1).jpg</v>
          </cell>
        </row>
        <row r="93">
          <cell r="A93" t="str">
            <v>EUROPA</v>
          </cell>
          <cell r="B93">
            <v>9435</v>
          </cell>
          <cell r="C93" t="str">
            <v>NORD</v>
          </cell>
          <cell r="D93" t="str">
            <v>Saint-Denis</v>
          </cell>
          <cell r="E93" t="str">
            <v>ILES EPARSES</v>
          </cell>
          <cell r="F93">
            <v>12</v>
          </cell>
          <cell r="G93" t="str">
            <v>LESG</v>
          </cell>
          <cell r="J93" t="str">
            <v>IND</v>
          </cell>
          <cell r="K93" t="str">
            <v>CF</v>
          </cell>
          <cell r="L93" t="str">
            <v>SIDR</v>
          </cell>
          <cell r="N93" t="str">
            <v>EC</v>
          </cell>
          <cell r="O93" t="str">
            <v>FG</v>
          </cell>
          <cell r="P93" t="str">
            <v>LV</v>
          </cell>
          <cell r="Q93" t="str">
            <v>ALG</v>
          </cell>
          <cell r="R93">
            <v>2002</v>
          </cell>
          <cell r="U93" t="str">
            <v>ATELIER GAZUT</v>
          </cell>
          <cell r="V93" t="str">
            <v>M - LIVRE/GPA</v>
          </cell>
          <cell r="W93">
            <v>37446</v>
          </cell>
          <cell r="X93" t="str">
            <v>d</v>
          </cell>
          <cell r="Z93">
            <v>37575</v>
          </cell>
          <cell r="AA93" t="str">
            <v>o</v>
          </cell>
          <cell r="AB93" t="str">
            <v>validé</v>
          </cell>
          <cell r="AC93" t="str">
            <v/>
          </cell>
          <cell r="AD93">
            <v>0</v>
          </cell>
          <cell r="AE93">
            <v>37553</v>
          </cell>
          <cell r="AF93" t="str">
            <v>f</v>
          </cell>
          <cell r="AG93">
            <v>37609</v>
          </cell>
          <cell r="AH93">
            <v>39387</v>
          </cell>
          <cell r="AI93" t="str">
            <v>ao</v>
          </cell>
          <cell r="AJ93">
            <v>38200</v>
          </cell>
          <cell r="AK93" t="str">
            <v/>
          </cell>
          <cell r="AL93">
            <v>-39.02551288795371</v>
          </cell>
          <cell r="AM93">
            <v>2004</v>
          </cell>
          <cell r="AN93">
            <v>12</v>
          </cell>
          <cell r="AO93">
            <v>38565</v>
          </cell>
          <cell r="AP93">
            <v>39020</v>
          </cell>
          <cell r="AQ93" t="str">
            <v>li</v>
          </cell>
          <cell r="AR93">
            <v>2006</v>
          </cell>
          <cell r="CJ93" t="str">
            <v>-</v>
          </cell>
          <cell r="CK93" t="str">
            <v>-</v>
          </cell>
          <cell r="CL93" t="str">
            <v>-</v>
          </cell>
          <cell r="CM93" t="str">
            <v>-</v>
          </cell>
          <cell r="CN93">
            <v>0</v>
          </cell>
          <cell r="CQ93" t="str">
            <v>oui</v>
          </cell>
          <cell r="CX93">
            <v>0</v>
          </cell>
          <cell r="DE93">
            <v>0</v>
          </cell>
          <cell r="DJ93">
            <v>0</v>
          </cell>
          <cell r="DO93">
            <v>0</v>
          </cell>
          <cell r="DS93">
            <v>0</v>
          </cell>
          <cell r="DT93">
            <v>0</v>
          </cell>
          <cell r="DU93">
            <v>0</v>
          </cell>
          <cell r="ED93" t="str">
            <v>G:\Habitat\OPERATIONNEL HABITAT\02- Operations\Photothèque\image non disponible.jpg</v>
          </cell>
          <cell r="EE93" t="str">
            <v>G:\Habitat\OPERATIONNEL HABITAT\02- Operations\Photothèque\image non disponible.jpg</v>
          </cell>
        </row>
        <row r="94">
          <cell r="A94" t="str">
            <v>FIDJI 1COL</v>
          </cell>
          <cell r="B94">
            <v>9637</v>
          </cell>
          <cell r="C94" t="str">
            <v>OUEST</v>
          </cell>
          <cell r="D94" t="str">
            <v>Port</v>
          </cell>
          <cell r="E94" t="str">
            <v>RHI SAY PISCINE</v>
          </cell>
          <cell r="F94">
            <v>16</v>
          </cell>
          <cell r="G94" t="str">
            <v>LLTS</v>
          </cell>
          <cell r="J94" t="str">
            <v>COL</v>
          </cell>
          <cell r="K94" t="str">
            <v>CF</v>
          </cell>
          <cell r="L94" t="str">
            <v>SIDR</v>
          </cell>
          <cell r="M94" t="str">
            <v>maitrisé</v>
          </cell>
          <cell r="N94" t="str">
            <v>PC</v>
          </cell>
          <cell r="O94" t="str">
            <v>FG</v>
          </cell>
          <cell r="P94" t="str">
            <v>CS</v>
          </cell>
          <cell r="Q94" t="str">
            <v>OP</v>
          </cell>
          <cell r="R94">
            <v>2008</v>
          </cell>
          <cell r="S94">
            <v>1</v>
          </cell>
          <cell r="T94" t="str">
            <v>problématique LLS MV diffus | parcellaire ?</v>
          </cell>
          <cell r="U94" t="str">
            <v>MEUNIER</v>
          </cell>
          <cell r="V94" t="str">
            <v>L - CHANTIER EN COURS</v>
          </cell>
          <cell r="W94">
            <v>39615</v>
          </cell>
          <cell r="X94" t="str">
            <v>d</v>
          </cell>
          <cell r="Y94" t="str">
            <v>974407A0057</v>
          </cell>
          <cell r="Z94">
            <v>39702</v>
          </cell>
          <cell r="AA94" t="str">
            <v>o</v>
          </cell>
          <cell r="AB94">
            <v>39566</v>
          </cell>
          <cell r="AC94" t="str">
            <v>v</v>
          </cell>
          <cell r="AD94">
            <v>39597</v>
          </cell>
          <cell r="AE94">
            <v>39615</v>
          </cell>
          <cell r="AF94" t="str">
            <v>f</v>
          </cell>
          <cell r="AH94">
            <v>39387</v>
          </cell>
          <cell r="AI94" t="str">
            <v>ao</v>
          </cell>
          <cell r="AJ94">
            <v>39690</v>
          </cell>
          <cell r="AK94" t="str">
            <v>ch</v>
          </cell>
          <cell r="AL94">
            <v>9.9618621778011569</v>
          </cell>
          <cell r="AM94">
            <v>2008</v>
          </cell>
          <cell r="AN94">
            <v>9</v>
          </cell>
          <cell r="AO94">
            <v>39963</v>
          </cell>
          <cell r="AP94">
            <v>39978</v>
          </cell>
          <cell r="AQ94" t="str">
            <v/>
          </cell>
          <cell r="AR94">
            <v>2009</v>
          </cell>
          <cell r="BK94">
            <v>0</v>
          </cell>
          <cell r="BL94">
            <v>4.5</v>
          </cell>
          <cell r="BO94" t="str">
            <v>à faire</v>
          </cell>
          <cell r="BQ94" t="str">
            <v>à faire</v>
          </cell>
          <cell r="CE94" t="str">
            <v>ECS ind</v>
          </cell>
          <cell r="CJ94" t="str">
            <v>-</v>
          </cell>
          <cell r="CK94" t="str">
            <v>-</v>
          </cell>
          <cell r="CL94">
            <v>39650</v>
          </cell>
          <cell r="CM94" t="str">
            <v>-</v>
          </cell>
          <cell r="CN94">
            <v>0</v>
          </cell>
          <cell r="CO94" t="str">
            <v>217 undercies</v>
          </cell>
          <cell r="CQ94" t="str">
            <v>non</v>
          </cell>
          <cell r="CX94">
            <v>0</v>
          </cell>
          <cell r="DE94">
            <v>0</v>
          </cell>
          <cell r="DJ94">
            <v>0</v>
          </cell>
          <cell r="DO94">
            <v>0</v>
          </cell>
          <cell r="DS94">
            <v>0</v>
          </cell>
          <cell r="DT94">
            <v>0</v>
          </cell>
          <cell r="DU94">
            <v>0</v>
          </cell>
          <cell r="ED94" t="str">
            <v>G:\Habitat\OPERATIONNEL HABITAT\02- Operations\Photothèque\image non disponible.jpg</v>
          </cell>
          <cell r="EE94" t="str">
            <v>G:\Habitat\OPERATIONNEL HABITAT\02- Operations\Photothèque\image non disponible.jpg</v>
          </cell>
        </row>
        <row r="95">
          <cell r="A95" t="str">
            <v>FIDJI 2 IND</v>
          </cell>
          <cell r="C95" t="str">
            <v>OUEST</v>
          </cell>
          <cell r="D95" t="str">
            <v>Port</v>
          </cell>
          <cell r="E95" t="str">
            <v>RHI SAY PISCINE</v>
          </cell>
          <cell r="F95">
            <v>15</v>
          </cell>
          <cell r="G95" t="str">
            <v>LLTS</v>
          </cell>
          <cell r="J95" t="str">
            <v>IND</v>
          </cell>
          <cell r="K95" t="str">
            <v>CF</v>
          </cell>
          <cell r="L95" t="str">
            <v>SIDR</v>
          </cell>
          <cell r="M95" t="str">
            <v>maitrisé</v>
          </cell>
          <cell r="N95" t="str">
            <v>PC</v>
          </cell>
          <cell r="O95" t="str">
            <v>FG</v>
          </cell>
          <cell r="P95" t="str">
            <v>CS</v>
          </cell>
          <cell r="Q95" t="str">
            <v>OP</v>
          </cell>
          <cell r="R95">
            <v>2008</v>
          </cell>
          <cell r="U95" t="str">
            <v>MEUNIER</v>
          </cell>
          <cell r="V95" t="str">
            <v>L - CHANTIER EN COURS</v>
          </cell>
          <cell r="W95">
            <v>39645</v>
          </cell>
          <cell r="X95" t="str">
            <v>d</v>
          </cell>
          <cell r="Z95">
            <v>39657</v>
          </cell>
          <cell r="AA95" t="str">
            <v>o</v>
          </cell>
          <cell r="AB95">
            <v>39566</v>
          </cell>
          <cell r="AC95" t="str">
            <v>v</v>
          </cell>
          <cell r="AD95">
            <v>39597</v>
          </cell>
          <cell r="AE95">
            <v>39659</v>
          </cell>
          <cell r="AF95" t="str">
            <v>f</v>
          </cell>
          <cell r="AH95">
            <v>39387</v>
          </cell>
          <cell r="AI95" t="str">
            <v>ao</v>
          </cell>
          <cell r="AJ95">
            <v>39690</v>
          </cell>
          <cell r="AK95" t="str">
            <v/>
          </cell>
          <cell r="AL95">
            <v>9.9618621778011569</v>
          </cell>
          <cell r="AM95">
            <v>2008</v>
          </cell>
          <cell r="AN95">
            <v>7</v>
          </cell>
          <cell r="AO95">
            <v>39902</v>
          </cell>
          <cell r="AP95">
            <v>39917</v>
          </cell>
          <cell r="AQ95" t="str">
            <v>li</v>
          </cell>
          <cell r="AR95">
            <v>2009</v>
          </cell>
          <cell r="BL95">
            <v>5.32</v>
          </cell>
          <cell r="CJ95" t="str">
            <v>-</v>
          </cell>
          <cell r="CK95" t="str">
            <v>-</v>
          </cell>
          <cell r="CL95">
            <v>39650</v>
          </cell>
          <cell r="CM95" t="str">
            <v>-</v>
          </cell>
          <cell r="CN95">
            <v>0</v>
          </cell>
          <cell r="CO95" t="str">
            <v>217 undercies</v>
          </cell>
          <cell r="CQ95" t="str">
            <v>non</v>
          </cell>
          <cell r="CX95">
            <v>0</v>
          </cell>
          <cell r="DE95">
            <v>0</v>
          </cell>
          <cell r="DJ95">
            <v>0</v>
          </cell>
          <cell r="DO95">
            <v>0</v>
          </cell>
          <cell r="DS95">
            <v>0</v>
          </cell>
          <cell r="DT95">
            <v>0</v>
          </cell>
          <cell r="DU95">
            <v>0</v>
          </cell>
          <cell r="ED95" t="str">
            <v>G:\Habitat\OPERATIONNEL HABITAT\02- Operations\Photothèque\image non disponible.jpg</v>
          </cell>
          <cell r="EE95" t="str">
            <v>G:\Habitat\OPERATIONNEL HABITAT\02- Operations\Photothèque\image non disponible.jpg</v>
          </cell>
        </row>
        <row r="96">
          <cell r="A96" t="str">
            <v>FIDJI 3</v>
          </cell>
          <cell r="C96" t="str">
            <v>OUEST</v>
          </cell>
          <cell r="D96" t="str">
            <v>Port</v>
          </cell>
          <cell r="E96" t="str">
            <v>RHI SAY PISCINE</v>
          </cell>
          <cell r="F96">
            <v>20</v>
          </cell>
          <cell r="G96" t="str">
            <v>LLTS</v>
          </cell>
          <cell r="J96" t="str">
            <v>MV</v>
          </cell>
          <cell r="K96" t="str">
            <v>CF</v>
          </cell>
          <cell r="L96" t="str">
            <v>SIDR</v>
          </cell>
          <cell r="M96" t="str">
            <v>non maitrisé</v>
          </cell>
          <cell r="N96" t="str">
            <v>EC</v>
          </cell>
          <cell r="Q96" t="str">
            <v>OP</v>
          </cell>
          <cell r="R96">
            <v>2010</v>
          </cell>
          <cell r="S96">
            <v>0</v>
          </cell>
          <cell r="T96" t="str">
            <v>problématique LLS MV diffus | parcellaire non callable</v>
          </cell>
          <cell r="U96">
            <v>-210000</v>
          </cell>
          <cell r="V96" t="str">
            <v>D - ESQUISSES</v>
          </cell>
          <cell r="X96" t="str">
            <v/>
          </cell>
          <cell r="AA96" t="str">
            <v/>
          </cell>
          <cell r="AC96" t="str">
            <v/>
          </cell>
          <cell r="AF96" t="str">
            <v/>
          </cell>
          <cell r="AI96" t="str">
            <v/>
          </cell>
          <cell r="AK96" t="str">
            <v/>
          </cell>
          <cell r="AL96">
            <v>0</v>
          </cell>
          <cell r="AM96" t="str">
            <v/>
          </cell>
          <cell r="AQ96" t="str">
            <v/>
          </cell>
          <cell r="BK96">
            <v>0</v>
          </cell>
          <cell r="BO96" t="str">
            <v>à faire</v>
          </cell>
          <cell r="BQ96" t="str">
            <v>à faire</v>
          </cell>
          <cell r="CE96" t="str">
            <v>ECS ind</v>
          </cell>
          <cell r="CJ96" t="str">
            <v>-</v>
          </cell>
          <cell r="CK96" t="str">
            <v>-</v>
          </cell>
          <cell r="CL96" t="str">
            <v>-</v>
          </cell>
          <cell r="CM96" t="str">
            <v>-</v>
          </cell>
          <cell r="CN96">
            <v>0</v>
          </cell>
          <cell r="CQ96" t="str">
            <v>non</v>
          </cell>
          <cell r="CX96">
            <v>0</v>
          </cell>
          <cell r="DE96">
            <v>0</v>
          </cell>
          <cell r="DJ96">
            <v>0</v>
          </cell>
          <cell r="DO96">
            <v>0</v>
          </cell>
          <cell r="DS96">
            <v>0</v>
          </cell>
          <cell r="DT96">
            <v>0</v>
          </cell>
          <cell r="DU96">
            <v>0</v>
          </cell>
          <cell r="ED96" t="str">
            <v>G:\Habitat\OPERATIONNEL HABITAT\02- Operations\Photothèque\image non disponible.jpg</v>
          </cell>
          <cell r="EE96" t="str">
            <v>G:\Habitat\OPERATIONNEL HABITAT\02- Operations\Photothèque\image non disponible.jpg</v>
          </cell>
        </row>
        <row r="97">
          <cell r="A97" t="str">
            <v>FIDJI 4</v>
          </cell>
          <cell r="C97" t="str">
            <v>OUEST</v>
          </cell>
          <cell r="D97" t="str">
            <v>Port</v>
          </cell>
          <cell r="E97" t="str">
            <v>RHI SAY PISCINE</v>
          </cell>
          <cell r="F97">
            <v>20</v>
          </cell>
          <cell r="G97" t="str">
            <v>LLTS</v>
          </cell>
          <cell r="J97" t="str">
            <v>MV</v>
          </cell>
          <cell r="K97" t="str">
            <v>CF</v>
          </cell>
          <cell r="L97" t="str">
            <v>SIDR</v>
          </cell>
          <cell r="N97" t="str">
            <v>EC</v>
          </cell>
          <cell r="R97">
            <v>2012</v>
          </cell>
          <cell r="T97" t="str">
            <v>problématique LLS MV diffus | parcellaire non callable</v>
          </cell>
          <cell r="AA97" t="str">
            <v/>
          </cell>
          <cell r="AC97" t="str">
            <v/>
          </cell>
          <cell r="AI97" t="str">
            <v/>
          </cell>
          <cell r="AK97" t="str">
            <v/>
          </cell>
          <cell r="AL97">
            <v>0</v>
          </cell>
          <cell r="AQ97" t="str">
            <v/>
          </cell>
          <cell r="CJ97" t="str">
            <v>-</v>
          </cell>
          <cell r="CK97" t="str">
            <v>-</v>
          </cell>
          <cell r="CL97" t="str">
            <v>-</v>
          </cell>
          <cell r="CM97" t="str">
            <v>-</v>
          </cell>
          <cell r="CN97">
            <v>0</v>
          </cell>
          <cell r="CQ97" t="str">
            <v>non</v>
          </cell>
          <cell r="CX97">
            <v>0</v>
          </cell>
          <cell r="DE97">
            <v>0</v>
          </cell>
          <cell r="DJ97">
            <v>0</v>
          </cell>
          <cell r="DO97">
            <v>0</v>
          </cell>
          <cell r="DS97">
            <v>0</v>
          </cell>
          <cell r="DT97">
            <v>0</v>
          </cell>
          <cell r="DU97">
            <v>0</v>
          </cell>
          <cell r="ED97" t="str">
            <v>G:\Habitat\OPERATIONNEL HABITAT\02- Operations\Photothèque\image non disponible.jpg</v>
          </cell>
          <cell r="EE97" t="str">
            <v>G:\Habitat\OPERATIONNEL HABITAT\02- Operations\Photothèque\image non disponible.jpg</v>
          </cell>
        </row>
        <row r="98">
          <cell r="A98" t="str">
            <v>FJT</v>
          </cell>
          <cell r="B98">
            <v>9584</v>
          </cell>
          <cell r="C98" t="str">
            <v>SUD</v>
          </cell>
          <cell r="D98" t="str">
            <v>Saint-Pierre</v>
          </cell>
          <cell r="E98" t="str">
            <v>CENTRE VILLE</v>
          </cell>
          <cell r="F98">
            <v>26</v>
          </cell>
          <cell r="G98" t="str">
            <v>LLTS</v>
          </cell>
          <cell r="J98" t="str">
            <v>COL</v>
          </cell>
          <cell r="K98" t="str">
            <v>RF</v>
          </cell>
          <cell r="M98" t="str">
            <v>maitrisé</v>
          </cell>
          <cell r="N98" t="str">
            <v>DA</v>
          </cell>
          <cell r="R98">
            <v>2006</v>
          </cell>
          <cell r="V98" t="str">
            <v>L - CHANTIER EN COURS</v>
          </cell>
          <cell r="Z98" t="str">
            <v>obtenu</v>
          </cell>
          <cell r="AA98" t="str">
            <v/>
          </cell>
          <cell r="AC98" t="str">
            <v/>
          </cell>
          <cell r="AI98" t="str">
            <v/>
          </cell>
          <cell r="AJ98">
            <v>39498</v>
          </cell>
          <cell r="AK98" t="str">
            <v/>
          </cell>
          <cell r="AL98">
            <v>1298.5928458705944</v>
          </cell>
          <cell r="AM98">
            <v>2008</v>
          </cell>
          <cell r="AN98">
            <v>12</v>
          </cell>
          <cell r="AO98">
            <v>39864</v>
          </cell>
          <cell r="AP98">
            <v>39879</v>
          </cell>
          <cell r="AQ98" t="str">
            <v>li</v>
          </cell>
          <cell r="AR98">
            <v>2009</v>
          </cell>
          <cell r="CL98" t="str">
            <v>-</v>
          </cell>
          <cell r="CN98">
            <v>0</v>
          </cell>
          <cell r="CQ98" t="str">
            <v>non</v>
          </cell>
          <cell r="CX98">
            <v>0</v>
          </cell>
          <cell r="DE98">
            <v>0</v>
          </cell>
          <cell r="DJ98">
            <v>0</v>
          </cell>
          <cell r="DO98">
            <v>0</v>
          </cell>
          <cell r="DS98">
            <v>0</v>
          </cell>
          <cell r="DT98">
            <v>0</v>
          </cell>
          <cell r="DU98">
            <v>0</v>
          </cell>
          <cell r="ED98" t="str">
            <v>G:\Habitat\OPERATIONNEL HABITAT\02- Operations\Photothèque\image non disponible.jpg</v>
          </cell>
          <cell r="EE98" t="str">
            <v>G:\Habitat\OPERATIONNEL HABITAT\02- Operations\Photothèque\image non disponible.jpg</v>
          </cell>
        </row>
        <row r="99">
          <cell r="A99" t="str">
            <v>FLEUR DE VANILLE</v>
          </cell>
          <cell r="B99">
            <v>9599</v>
          </cell>
          <cell r="C99" t="str">
            <v>NORD</v>
          </cell>
          <cell r="D99" t="str">
            <v>Saint-Denis</v>
          </cell>
          <cell r="E99" t="str">
            <v>CHAMP FLEURI</v>
          </cell>
          <cell r="F99">
            <v>26</v>
          </cell>
          <cell r="G99" t="str">
            <v>PLS</v>
          </cell>
          <cell r="J99" t="str">
            <v>COL</v>
          </cell>
          <cell r="K99" t="str">
            <v>RF</v>
          </cell>
          <cell r="N99" t="str">
            <v>JPM</v>
          </cell>
          <cell r="O99" t="str">
            <v>SV</v>
          </cell>
          <cell r="P99" t="str">
            <v>CC</v>
          </cell>
          <cell r="R99">
            <v>2005</v>
          </cell>
          <cell r="T99" t="str">
            <v>DAT ok</v>
          </cell>
          <cell r="U99" t="str">
            <v>BOCQUEE</v>
          </cell>
          <cell r="V99" t="str">
            <v>M - LIVRE/GPA</v>
          </cell>
          <cell r="W99">
            <v>38461</v>
          </cell>
          <cell r="X99" t="str">
            <v>d</v>
          </cell>
          <cell r="Y99" t="str">
            <v>97441105A0188</v>
          </cell>
          <cell r="Z99">
            <v>38637</v>
          </cell>
          <cell r="AA99" t="str">
            <v>o</v>
          </cell>
          <cell r="AB99" t="str">
            <v>validé</v>
          </cell>
          <cell r="AC99" t="str">
            <v/>
          </cell>
          <cell r="AE99">
            <v>38615</v>
          </cell>
          <cell r="AF99" t="str">
            <v>f</v>
          </cell>
          <cell r="AG99">
            <v>38805</v>
          </cell>
          <cell r="AH99">
            <v>38621</v>
          </cell>
          <cell r="AI99" t="str">
            <v>ao</v>
          </cell>
          <cell r="AJ99">
            <v>38825</v>
          </cell>
          <cell r="AK99" t="str">
            <v/>
          </cell>
          <cell r="AL99">
            <v>6.706996317727512</v>
          </cell>
          <cell r="AM99">
            <v>2006</v>
          </cell>
          <cell r="AN99">
            <v>16</v>
          </cell>
          <cell r="AO99">
            <v>39294</v>
          </cell>
          <cell r="AP99">
            <v>39309</v>
          </cell>
          <cell r="AQ99" t="str">
            <v>li</v>
          </cell>
          <cell r="AR99">
            <v>2007</v>
          </cell>
          <cell r="AS99">
            <v>3</v>
          </cell>
          <cell r="AT99">
            <v>33</v>
          </cell>
          <cell r="AW99">
            <v>7</v>
          </cell>
          <cell r="AX99">
            <v>65.86</v>
          </cell>
          <cell r="BA99">
            <v>10</v>
          </cell>
          <cell r="BB99">
            <v>69.900000000000006</v>
          </cell>
          <cell r="BE99">
            <v>4</v>
          </cell>
          <cell r="BF99">
            <v>79.5</v>
          </cell>
          <cell r="BI99">
            <v>2</v>
          </cell>
          <cell r="BJ99">
            <v>98.5</v>
          </cell>
          <cell r="BK99">
            <v>26</v>
          </cell>
          <cell r="BL99">
            <v>8.5</v>
          </cell>
          <cell r="BM99">
            <v>0.8</v>
          </cell>
          <cell r="BN99">
            <v>0.2</v>
          </cell>
          <cell r="BO99" t="str">
            <v>signée</v>
          </cell>
          <cell r="BP99">
            <v>0.8</v>
          </cell>
          <cell r="BQ99" t="str">
            <v>signée</v>
          </cell>
          <cell r="BX99" t="str">
            <v>signé</v>
          </cell>
          <cell r="BY99">
            <v>1862</v>
          </cell>
          <cell r="BZ99">
            <v>3442</v>
          </cell>
          <cell r="CA99">
            <v>2024</v>
          </cell>
          <cell r="CE99" t="str">
            <v>ECS ind</v>
          </cell>
          <cell r="CJ99" t="str">
            <v>-</v>
          </cell>
          <cell r="CK99" t="str">
            <v>-</v>
          </cell>
          <cell r="CL99" t="str">
            <v>-</v>
          </cell>
          <cell r="CM99" t="str">
            <v>-</v>
          </cell>
          <cell r="CN99">
            <v>0</v>
          </cell>
          <cell r="CQ99" t="str">
            <v>oui</v>
          </cell>
          <cell r="CR99">
            <v>190589</v>
          </cell>
          <cell r="CT99">
            <v>1801730</v>
          </cell>
          <cell r="CX99">
            <v>1992319</v>
          </cell>
          <cell r="DE99">
            <v>0</v>
          </cell>
          <cell r="DJ99">
            <v>0</v>
          </cell>
          <cell r="DO99">
            <v>0</v>
          </cell>
          <cell r="DQ99">
            <v>64300</v>
          </cell>
          <cell r="DR99">
            <v>23825</v>
          </cell>
          <cell r="DS99">
            <v>88125</v>
          </cell>
          <cell r="DT99">
            <v>176250</v>
          </cell>
          <cell r="DU99">
            <v>-1816069</v>
          </cell>
          <cell r="ED99" t="str">
            <v>G:\Habitat\OPERATIONNEL HABITAT\02- Operations\Photothèque\images locatifs\Fleur de vanille\INSERTION FLEUR DE VANILLE 2.jpg</v>
          </cell>
          <cell r="EE99" t="str">
            <v>G:\Habitat\OPERATIONNEL HABITAT\02- Operations\Photothèque\image non disponible.jpg</v>
          </cell>
        </row>
        <row r="100">
          <cell r="A100" t="str">
            <v>FLEUR JAUNE</v>
          </cell>
          <cell r="B100">
            <v>9548</v>
          </cell>
          <cell r="C100" t="str">
            <v>EST</v>
          </cell>
          <cell r="D100" t="str">
            <v>Saint-André</v>
          </cell>
          <cell r="E100" t="str">
            <v>ZAC CRESSONIERE</v>
          </cell>
          <cell r="F100">
            <v>23</v>
          </cell>
          <cell r="G100" t="str">
            <v>LLTS</v>
          </cell>
          <cell r="J100" t="str">
            <v>COL</v>
          </cell>
          <cell r="K100" t="str">
            <v>CF</v>
          </cell>
          <cell r="L100" t="str">
            <v>SIDR</v>
          </cell>
          <cell r="N100" t="str">
            <v>JPM</v>
          </cell>
          <cell r="O100" t="str">
            <v>JMO</v>
          </cell>
          <cell r="P100" t="str">
            <v>CC</v>
          </cell>
          <cell r="Q100" t="str">
            <v>SPG</v>
          </cell>
          <cell r="R100">
            <v>2004</v>
          </cell>
          <cell r="U100" t="str">
            <v>BOCQUEE</v>
          </cell>
          <cell r="V100" t="str">
            <v>M - LIVRE/GPA</v>
          </cell>
          <cell r="W100">
            <v>38229</v>
          </cell>
          <cell r="X100" t="str">
            <v>d</v>
          </cell>
          <cell r="Y100" t="str">
            <v>97440904A0412</v>
          </cell>
          <cell r="Z100">
            <v>38471</v>
          </cell>
          <cell r="AA100" t="str">
            <v>o</v>
          </cell>
          <cell r="AB100" t="str">
            <v>validé</v>
          </cell>
          <cell r="AC100" t="str">
            <v/>
          </cell>
          <cell r="AE100">
            <v>38238</v>
          </cell>
          <cell r="AF100" t="str">
            <v>f</v>
          </cell>
          <cell r="AG100">
            <v>38556</v>
          </cell>
          <cell r="AH100">
            <v>38460</v>
          </cell>
          <cell r="AI100" t="str">
            <v>ao</v>
          </cell>
          <cell r="AJ100">
            <v>38930</v>
          </cell>
          <cell r="AK100" t="str">
            <v/>
          </cell>
          <cell r="AL100">
            <v>15.452393477117306</v>
          </cell>
          <cell r="AM100">
            <v>2006</v>
          </cell>
          <cell r="AN100">
            <v>16</v>
          </cell>
          <cell r="AO100">
            <v>39413</v>
          </cell>
          <cell r="AP100">
            <v>39413</v>
          </cell>
          <cell r="AQ100" t="str">
            <v>li</v>
          </cell>
          <cell r="AR100">
            <v>2007</v>
          </cell>
          <cell r="AS100">
            <v>1</v>
          </cell>
          <cell r="AT100">
            <v>31.71</v>
          </cell>
          <cell r="AW100">
            <v>4</v>
          </cell>
          <cell r="AX100">
            <v>56.75</v>
          </cell>
          <cell r="BA100">
            <v>12</v>
          </cell>
          <cell r="BB100">
            <v>66.48</v>
          </cell>
          <cell r="BE100">
            <v>4</v>
          </cell>
          <cell r="BF100">
            <v>79.38</v>
          </cell>
          <cell r="BI100">
            <v>2</v>
          </cell>
          <cell r="BJ100">
            <v>93.15</v>
          </cell>
          <cell r="BK100">
            <v>23</v>
          </cell>
          <cell r="BL100">
            <v>4.07</v>
          </cell>
          <cell r="BM100">
            <v>0.67</v>
          </cell>
          <cell r="BN100">
            <v>0.4</v>
          </cell>
          <cell r="BO100" t="str">
            <v>signée</v>
          </cell>
          <cell r="BP100">
            <v>0.6</v>
          </cell>
          <cell r="BQ100" t="str">
            <v>signée</v>
          </cell>
          <cell r="BR100" t="str">
            <v>CAF</v>
          </cell>
          <cell r="BS100">
            <v>0.15</v>
          </cell>
          <cell r="BT100" t="str">
            <v>signée</v>
          </cell>
          <cell r="BX100" t="str">
            <v>signé</v>
          </cell>
          <cell r="BY100">
            <v>1495</v>
          </cell>
          <cell r="BZ100">
            <v>1822</v>
          </cell>
          <cell r="CA100">
            <v>1572</v>
          </cell>
          <cell r="CE100" t="str">
            <v>ECS ind</v>
          </cell>
          <cell r="CF100">
            <v>78050</v>
          </cell>
          <cell r="CG100">
            <v>23415</v>
          </cell>
          <cell r="CH100">
            <v>35122.5</v>
          </cell>
          <cell r="CI100">
            <v>19512.5</v>
          </cell>
          <cell r="CJ100" t="str">
            <v>-</v>
          </cell>
          <cell r="CK100" t="str">
            <v>-</v>
          </cell>
          <cell r="CL100" t="str">
            <v>-</v>
          </cell>
          <cell r="CM100" t="str">
            <v>-</v>
          </cell>
          <cell r="CN100">
            <v>0</v>
          </cell>
          <cell r="CQ100" t="str">
            <v>oui</v>
          </cell>
          <cell r="CR100">
            <v>232640</v>
          </cell>
          <cell r="CT100">
            <v>1136265</v>
          </cell>
          <cell r="CX100">
            <v>1368905</v>
          </cell>
          <cell r="DE100">
            <v>58537.5</v>
          </cell>
          <cell r="DJ100">
            <v>58537.5</v>
          </cell>
          <cell r="DO100">
            <v>0</v>
          </cell>
          <cell r="DQ100">
            <v>38700</v>
          </cell>
          <cell r="DR100">
            <v>20125</v>
          </cell>
          <cell r="DS100">
            <v>58825</v>
          </cell>
          <cell r="DT100">
            <v>117650</v>
          </cell>
          <cell r="DU100">
            <v>-1192717.5</v>
          </cell>
          <cell r="ED100" t="str">
            <v>G:\Habitat\OPERATIONNEL HABITAT\02- Operations\Photothèque\images locatifs\Fleurs Jaunes\FLEUR_JAUNE_MODIFIE.jpg</v>
          </cell>
          <cell r="EE100" t="str">
            <v>G:\Habitat\OPERATIONNEL HABITAT\02- Operations\Photothèque\images locatifs\Fleurs Jaunes\fleurs jaunes 2 .jpg</v>
          </cell>
        </row>
        <row r="101">
          <cell r="A101" t="str">
            <v>FLEURS DE CRESSON</v>
          </cell>
          <cell r="B101">
            <v>9449</v>
          </cell>
          <cell r="C101" t="str">
            <v>EST</v>
          </cell>
          <cell r="D101" t="str">
            <v>Saint-André</v>
          </cell>
          <cell r="E101" t="str">
            <v>ZAC CRESSONIERE</v>
          </cell>
          <cell r="F101">
            <v>24</v>
          </cell>
          <cell r="G101" t="str">
            <v>LESG</v>
          </cell>
          <cell r="J101" t="str">
            <v>IND</v>
          </cell>
          <cell r="K101" t="str">
            <v>CF</v>
          </cell>
          <cell r="L101" t="str">
            <v>SIDR</v>
          </cell>
          <cell r="N101" t="str">
            <v>EC</v>
          </cell>
          <cell r="O101" t="str">
            <v>OS</v>
          </cell>
          <cell r="P101" t="str">
            <v>LV</v>
          </cell>
          <cell r="Q101" t="str">
            <v>SPG</v>
          </cell>
          <cell r="R101">
            <v>2002</v>
          </cell>
          <cell r="U101" t="str">
            <v>ATELIER GAZUT</v>
          </cell>
          <cell r="V101" t="str">
            <v>M - LIVRE/GPA</v>
          </cell>
          <cell r="W101">
            <v>37455</v>
          </cell>
          <cell r="X101" t="str">
            <v>d</v>
          </cell>
          <cell r="Z101">
            <v>37574</v>
          </cell>
          <cell r="AA101" t="str">
            <v>o</v>
          </cell>
          <cell r="AB101" t="str">
            <v>validé</v>
          </cell>
          <cell r="AC101" t="str">
            <v/>
          </cell>
          <cell r="AD101">
            <v>0</v>
          </cell>
          <cell r="AE101">
            <v>37554</v>
          </cell>
          <cell r="AF101" t="str">
            <v>f</v>
          </cell>
          <cell r="AG101">
            <v>37614</v>
          </cell>
          <cell r="AH101">
            <v>37756</v>
          </cell>
          <cell r="AI101" t="str">
            <v>ao</v>
          </cell>
          <cell r="AJ101">
            <v>37834</v>
          </cell>
          <cell r="AK101" t="str">
            <v/>
          </cell>
          <cell r="AL101">
            <v>2.5644397685428721</v>
          </cell>
          <cell r="AM101">
            <v>2003</v>
          </cell>
          <cell r="AN101">
            <v>14</v>
          </cell>
          <cell r="AO101">
            <v>38261</v>
          </cell>
          <cell r="AP101">
            <v>38518</v>
          </cell>
          <cell r="AQ101" t="str">
            <v>li</v>
          </cell>
          <cell r="AR101">
            <v>2005</v>
          </cell>
          <cell r="CJ101" t="str">
            <v>-</v>
          </cell>
          <cell r="CK101" t="str">
            <v>-</v>
          </cell>
          <cell r="CL101" t="str">
            <v>-</v>
          </cell>
          <cell r="CM101" t="str">
            <v>-</v>
          </cell>
          <cell r="CN101">
            <v>0</v>
          </cell>
          <cell r="CQ101" t="str">
            <v>oui</v>
          </cell>
          <cell r="CX101">
            <v>0</v>
          </cell>
          <cell r="DE101">
            <v>0</v>
          </cell>
          <cell r="DJ101">
            <v>0</v>
          </cell>
          <cell r="DO101">
            <v>0</v>
          </cell>
          <cell r="DS101">
            <v>0</v>
          </cell>
          <cell r="DT101">
            <v>0</v>
          </cell>
          <cell r="DU101">
            <v>0</v>
          </cell>
          <cell r="ED101" t="str">
            <v>G:\Habitat\OPERATIONNEL HABITAT\02- Operations\Photothèque\images casevo\Fleur de cresson\fleurs de cresson.jpg</v>
          </cell>
          <cell r="EE101" t="str">
            <v>G:\Habitat\OPERATIONNEL HABITAT\02- Operations\Photothèque\images casevo\Fleur de cresson\fleurs de cresson (1).jpg</v>
          </cell>
        </row>
        <row r="102">
          <cell r="A102" t="str">
            <v>FORT DAUPHIN</v>
          </cell>
          <cell r="B102">
            <v>9700</v>
          </cell>
          <cell r="C102" t="str">
            <v>EST</v>
          </cell>
          <cell r="D102" t="str">
            <v>Saint-André</v>
          </cell>
          <cell r="E102" t="str">
            <v>ZAC PORTES DES SALAZES</v>
          </cell>
          <cell r="F102">
            <v>53</v>
          </cell>
          <cell r="G102" t="str">
            <v>LLTS</v>
          </cell>
          <cell r="J102" t="str">
            <v>COL</v>
          </cell>
          <cell r="K102" t="str">
            <v>CF</v>
          </cell>
          <cell r="L102" t="str">
            <v>SEMAC</v>
          </cell>
          <cell r="M102" t="str">
            <v>non maitrisé</v>
          </cell>
          <cell r="N102" t="str">
            <v>CLa</v>
          </cell>
          <cell r="O102" t="str">
            <v>JMO</v>
          </cell>
          <cell r="P102" t="str">
            <v>CC</v>
          </cell>
          <cell r="R102">
            <v>2007</v>
          </cell>
          <cell r="S102">
            <v>1</v>
          </cell>
          <cell r="U102" t="str">
            <v>BERTIN LEBEIGLE</v>
          </cell>
          <cell r="V102" t="str">
            <v>H - APPEL D'OFFRES</v>
          </cell>
          <cell r="W102">
            <v>39352</v>
          </cell>
          <cell r="X102" t="str">
            <v>d</v>
          </cell>
          <cell r="Y102" t="str">
            <v>97440907a0533</v>
          </cell>
          <cell r="Z102">
            <v>39457</v>
          </cell>
          <cell r="AA102" t="str">
            <v>o</v>
          </cell>
          <cell r="AB102">
            <v>39337</v>
          </cell>
          <cell r="AC102" t="str">
            <v>v</v>
          </cell>
          <cell r="AD102">
            <v>39597</v>
          </cell>
          <cell r="AE102">
            <v>39353</v>
          </cell>
          <cell r="AF102" t="str">
            <v>f</v>
          </cell>
          <cell r="AG102">
            <v>39464</v>
          </cell>
          <cell r="AH102">
            <v>39722</v>
          </cell>
          <cell r="AI102" t="str">
            <v>ao</v>
          </cell>
          <cell r="AJ102">
            <v>39864</v>
          </cell>
          <cell r="AK102" t="str">
            <v>ch</v>
          </cell>
          <cell r="AL102">
            <v>4.6685954760652288</v>
          </cell>
          <cell r="AM102">
            <v>2009</v>
          </cell>
          <cell r="AN102">
            <v>18</v>
          </cell>
          <cell r="AO102">
            <v>40410</v>
          </cell>
          <cell r="AP102">
            <v>40425</v>
          </cell>
          <cell r="AQ102" t="str">
            <v/>
          </cell>
          <cell r="AR102">
            <v>2010</v>
          </cell>
          <cell r="BL102">
            <v>5.17</v>
          </cell>
          <cell r="CJ102" t="str">
            <v>SCI Saint Pierre</v>
          </cell>
          <cell r="CK102" t="str">
            <v>INFI</v>
          </cell>
          <cell r="CL102">
            <v>39773</v>
          </cell>
          <cell r="CM102" t="str">
            <v>-</v>
          </cell>
          <cell r="CN102">
            <v>0</v>
          </cell>
          <cell r="CO102" t="str">
            <v>199 undecies A</v>
          </cell>
          <cell r="CQ102" t="str">
            <v>non</v>
          </cell>
          <cell r="CX102">
            <v>0</v>
          </cell>
          <cell r="DE102">
            <v>0</v>
          </cell>
          <cell r="DJ102">
            <v>0</v>
          </cell>
          <cell r="DO102">
            <v>0</v>
          </cell>
          <cell r="DS102">
            <v>0</v>
          </cell>
          <cell r="DT102">
            <v>0</v>
          </cell>
          <cell r="DU102">
            <v>0</v>
          </cell>
          <cell r="ED102" t="str">
            <v>G:\Habitat\OPERATIONNEL HABITAT\02- Operations\Photothèque\image non disponible.jpg</v>
          </cell>
          <cell r="EE102" t="str">
            <v>G:\Habitat\OPERATIONNEL HABITAT\02- Operations\Photothèque\image non disponible.jpg</v>
          </cell>
        </row>
        <row r="103">
          <cell r="A103" t="str">
            <v>FRANGIPANIER</v>
          </cell>
          <cell r="B103">
            <v>9547</v>
          </cell>
          <cell r="C103" t="str">
            <v>EST</v>
          </cell>
          <cell r="D103" t="str">
            <v>Saint-André</v>
          </cell>
          <cell r="E103" t="str">
            <v>ZAC CRESSONIERE</v>
          </cell>
          <cell r="F103">
            <v>28</v>
          </cell>
          <cell r="G103" t="str">
            <v>LLTS</v>
          </cell>
          <cell r="J103" t="str">
            <v>COL</v>
          </cell>
          <cell r="K103" t="str">
            <v>CF</v>
          </cell>
          <cell r="L103" t="str">
            <v>SIDR</v>
          </cell>
          <cell r="N103" t="str">
            <v>JPM</v>
          </cell>
          <cell r="O103" t="str">
            <v>JMO</v>
          </cell>
          <cell r="P103" t="str">
            <v>CC</v>
          </cell>
          <cell r="Q103" t="str">
            <v>SPG</v>
          </cell>
          <cell r="R103">
            <v>2004</v>
          </cell>
          <cell r="T103" t="str">
            <v>vente sedre/ sidr OK</v>
          </cell>
          <cell r="U103" t="str">
            <v>BERTIN LEBEIGLE</v>
          </cell>
          <cell r="V103" t="str">
            <v>M - LIVRE/GPA</v>
          </cell>
          <cell r="W103">
            <v>38181</v>
          </cell>
          <cell r="X103" t="str">
            <v>d</v>
          </cell>
          <cell r="Y103" t="str">
            <v>97440904A0339</v>
          </cell>
          <cell r="Z103">
            <v>38530</v>
          </cell>
          <cell r="AA103" t="str">
            <v>o</v>
          </cell>
          <cell r="AB103" t="str">
            <v>validé</v>
          </cell>
          <cell r="AC103" t="str">
            <v/>
          </cell>
          <cell r="AE103">
            <v>38236</v>
          </cell>
          <cell r="AF103" t="str">
            <v>f</v>
          </cell>
          <cell r="AG103">
            <v>38575</v>
          </cell>
          <cell r="AH103">
            <v>38327</v>
          </cell>
          <cell r="AI103" t="str">
            <v>ao</v>
          </cell>
          <cell r="AJ103">
            <v>38574</v>
          </cell>
          <cell r="AK103" t="str">
            <v/>
          </cell>
          <cell r="AL103">
            <v>8.1207259337190951</v>
          </cell>
          <cell r="AM103">
            <v>2005</v>
          </cell>
          <cell r="AN103">
            <v>14</v>
          </cell>
          <cell r="AO103">
            <v>39000</v>
          </cell>
          <cell r="AP103">
            <v>39027</v>
          </cell>
          <cell r="AQ103" t="str">
            <v>li</v>
          </cell>
          <cell r="AR103">
            <v>2006</v>
          </cell>
          <cell r="AS103">
            <v>4</v>
          </cell>
          <cell r="AT103">
            <v>28.91</v>
          </cell>
          <cell r="AW103">
            <v>8</v>
          </cell>
          <cell r="AX103">
            <v>56.6</v>
          </cell>
          <cell r="BA103">
            <v>9</v>
          </cell>
          <cell r="BB103">
            <v>67.709999999999994</v>
          </cell>
          <cell r="BE103">
            <v>6</v>
          </cell>
          <cell r="BF103">
            <v>82.25</v>
          </cell>
          <cell r="BI103">
            <v>1</v>
          </cell>
          <cell r="BJ103">
            <v>97.42</v>
          </cell>
          <cell r="BK103">
            <v>28</v>
          </cell>
          <cell r="BL103">
            <v>4.21</v>
          </cell>
          <cell r="BM103">
            <v>0.67</v>
          </cell>
          <cell r="BN103">
            <v>0.4</v>
          </cell>
          <cell r="BO103" t="str">
            <v>signée</v>
          </cell>
          <cell r="BP103">
            <v>0.6</v>
          </cell>
          <cell r="BQ103" t="str">
            <v>signée</v>
          </cell>
          <cell r="BR103" t="str">
            <v>CAF</v>
          </cell>
          <cell r="BS103">
            <v>0.15</v>
          </cell>
          <cell r="BT103" t="str">
            <v>signée</v>
          </cell>
          <cell r="BX103" t="str">
            <v>signé</v>
          </cell>
          <cell r="BY103">
            <v>2153</v>
          </cell>
          <cell r="BZ103">
            <v>2183</v>
          </cell>
          <cell r="CA103">
            <v>1821.61</v>
          </cell>
          <cell r="CE103" t="str">
            <v>ECS ind</v>
          </cell>
          <cell r="CF103">
            <v>102633.61</v>
          </cell>
          <cell r="CG103">
            <v>30790.083000000002</v>
          </cell>
          <cell r="CH103">
            <v>46185.124499999998</v>
          </cell>
          <cell r="CI103">
            <v>25658.4025</v>
          </cell>
          <cell r="CJ103" t="str">
            <v>-</v>
          </cell>
          <cell r="CK103" t="str">
            <v>-</v>
          </cell>
          <cell r="CL103" t="str">
            <v>-</v>
          </cell>
          <cell r="CM103" t="str">
            <v>-</v>
          </cell>
          <cell r="CN103">
            <v>0</v>
          </cell>
          <cell r="CQ103" t="str">
            <v>oui</v>
          </cell>
          <cell r="CR103">
            <v>251755</v>
          </cell>
          <cell r="CT103">
            <v>1571577</v>
          </cell>
          <cell r="CX103">
            <v>1823332</v>
          </cell>
          <cell r="DE103">
            <v>76975.207500000004</v>
          </cell>
          <cell r="DJ103">
            <v>76975.207500000004</v>
          </cell>
          <cell r="DO103">
            <v>0</v>
          </cell>
          <cell r="DQ103">
            <v>45500</v>
          </cell>
          <cell r="DR103">
            <v>24500</v>
          </cell>
          <cell r="DS103">
            <v>70000</v>
          </cell>
          <cell r="DT103">
            <v>140000</v>
          </cell>
          <cell r="DU103">
            <v>-1606356.7925</v>
          </cell>
          <cell r="ED103" t="str">
            <v>G:\Habitat\OPERATIONNEL HABITAT\02- Operations\Photothèque\images locatifs\frangipaniers\PERS FRANGIPANIERS .jpg</v>
          </cell>
          <cell r="EE103" t="str">
            <v>G:\Habitat\OPERATIONNEL HABITAT\02- Operations\Photothèque\images locatifs\frangipaniers\MONTAGE INSERTIONSFRANG .jpg</v>
          </cell>
        </row>
        <row r="104">
          <cell r="A104" t="str">
            <v>FUTUNA</v>
          </cell>
          <cell r="B104">
            <v>9642</v>
          </cell>
          <cell r="C104" t="str">
            <v>SUD</v>
          </cell>
          <cell r="D104" t="str">
            <v>Saint-Pierre</v>
          </cell>
          <cell r="E104" t="str">
            <v>RHI BASSE TERRE</v>
          </cell>
          <cell r="F104">
            <v>18</v>
          </cell>
          <cell r="G104" t="str">
            <v>LLTS</v>
          </cell>
          <cell r="J104" t="str">
            <v>COL</v>
          </cell>
          <cell r="K104" t="str">
            <v>CF</v>
          </cell>
          <cell r="L104" t="str">
            <v>SIDR</v>
          </cell>
          <cell r="M104" t="str">
            <v>maitrisé</v>
          </cell>
          <cell r="N104" t="str">
            <v>LC</v>
          </cell>
          <cell r="O104" t="str">
            <v>OS</v>
          </cell>
          <cell r="P104" t="str">
            <v>AM</v>
          </cell>
          <cell r="Q104" t="str">
            <v>HBM</v>
          </cell>
          <cell r="R104">
            <v>2006</v>
          </cell>
          <cell r="S104">
            <v>1</v>
          </cell>
          <cell r="T104" t="str">
            <v>dépassement budget 300 K€ financer RHI 250K€</v>
          </cell>
          <cell r="U104" t="str">
            <v>FAESSEL BOHE</v>
          </cell>
          <cell r="V104" t="str">
            <v>K - OS TRAVAUX</v>
          </cell>
          <cell r="W104">
            <v>38958</v>
          </cell>
          <cell r="X104" t="str">
            <v>d</v>
          </cell>
          <cell r="Y104" t="str">
            <v>97441606A0689</v>
          </cell>
          <cell r="Z104">
            <v>39098</v>
          </cell>
          <cell r="AA104" t="str">
            <v>o</v>
          </cell>
          <cell r="AB104">
            <v>38974</v>
          </cell>
          <cell r="AC104" t="str">
            <v>v</v>
          </cell>
          <cell r="AD104">
            <v>39030</v>
          </cell>
          <cell r="AE104">
            <v>38967</v>
          </cell>
          <cell r="AF104" t="str">
            <v>f</v>
          </cell>
          <cell r="AG104">
            <v>39078</v>
          </cell>
          <cell r="AH104">
            <v>39248</v>
          </cell>
          <cell r="AI104" t="str">
            <v>ao</v>
          </cell>
          <cell r="AJ104">
            <v>39800</v>
          </cell>
          <cell r="AK104" t="str">
            <v>ch</v>
          </cell>
          <cell r="AL104">
            <v>18.148342977380327</v>
          </cell>
          <cell r="AM104">
            <v>2008</v>
          </cell>
          <cell r="AN104">
            <v>14</v>
          </cell>
          <cell r="AO104">
            <v>40227</v>
          </cell>
          <cell r="AP104">
            <v>40242</v>
          </cell>
          <cell r="AQ104" t="str">
            <v/>
          </cell>
          <cell r="AR104">
            <v>2010</v>
          </cell>
          <cell r="AS104">
            <v>1</v>
          </cell>
          <cell r="AT104">
            <v>29</v>
          </cell>
          <cell r="BA104">
            <v>10</v>
          </cell>
          <cell r="BB104">
            <v>68</v>
          </cell>
          <cell r="BE104">
            <v>7</v>
          </cell>
          <cell r="BF104">
            <v>89</v>
          </cell>
          <cell r="BK104">
            <v>18</v>
          </cell>
          <cell r="BL104">
            <v>4.22</v>
          </cell>
          <cell r="BM104">
            <v>0.82</v>
          </cell>
          <cell r="BO104" t="str">
            <v>signée</v>
          </cell>
          <cell r="BQ104" t="str">
            <v>signée</v>
          </cell>
          <cell r="BX104" t="str">
            <v>signé</v>
          </cell>
          <cell r="BY104">
            <v>1277</v>
          </cell>
          <cell r="BZ104">
            <v>1731</v>
          </cell>
          <cell r="CA104">
            <v>1340.47</v>
          </cell>
          <cell r="CE104" t="str">
            <v>ECS ind</v>
          </cell>
          <cell r="CI104" t="str">
            <v>D a faire</v>
          </cell>
          <cell r="CJ104" t="str">
            <v>SCI Saint André</v>
          </cell>
          <cell r="CK104" t="str">
            <v>INFI</v>
          </cell>
          <cell r="CL104">
            <v>39773</v>
          </cell>
          <cell r="CM104" t="str">
            <v>-</v>
          </cell>
          <cell r="CN104">
            <v>0</v>
          </cell>
          <cell r="CO104" t="str">
            <v>199 undecies A</v>
          </cell>
          <cell r="CQ104" t="str">
            <v>non</v>
          </cell>
          <cell r="CX104">
            <v>0</v>
          </cell>
          <cell r="DE104">
            <v>0</v>
          </cell>
          <cell r="DJ104">
            <v>0</v>
          </cell>
          <cell r="DO104">
            <v>0</v>
          </cell>
          <cell r="DQ104">
            <v>54755</v>
          </cell>
          <cell r="DR104">
            <v>17073</v>
          </cell>
          <cell r="DS104">
            <v>71828</v>
          </cell>
          <cell r="DT104">
            <v>143656</v>
          </cell>
          <cell r="DU104">
            <v>143656</v>
          </cell>
          <cell r="ED104" t="str">
            <v>G:\Habitat\OPERATIONNEL HABITAT\02- Operations\Photothèque\images locatifs\wallis futuna\SIDR_FUTUNA 02.jpg</v>
          </cell>
          <cell r="EE104" t="str">
            <v>G:\Habitat\OPERATIONNEL HABITAT\02- Operations\Photothèque\images locatifs\wallis futuna\SIDR_FUTUNA 01.jpg</v>
          </cell>
        </row>
        <row r="105">
          <cell r="A105" t="str">
            <v>GENDARMERIE st anne</v>
          </cell>
          <cell r="C105" t="str">
            <v>EST</v>
          </cell>
          <cell r="D105" t="str">
            <v>Saint-Benoît</v>
          </cell>
          <cell r="E105" t="str">
            <v>ZAC ST ANNE</v>
          </cell>
          <cell r="F105">
            <v>10</v>
          </cell>
          <cell r="G105" t="str">
            <v>nd</v>
          </cell>
          <cell r="J105" t="str">
            <v>COL</v>
          </cell>
          <cell r="K105" t="str">
            <v>CF</v>
          </cell>
          <cell r="L105" t="str">
            <v>SIDR</v>
          </cell>
          <cell r="M105" t="str">
            <v>maitrisé</v>
          </cell>
          <cell r="N105" t="str">
            <v>JPM</v>
          </cell>
          <cell r="O105" t="str">
            <v>JMO</v>
          </cell>
          <cell r="P105" t="str">
            <v>CC</v>
          </cell>
          <cell r="Q105" t="str">
            <v>AR</v>
          </cell>
          <cell r="R105">
            <v>2008</v>
          </cell>
          <cell r="T105" t="str">
            <v>CA creation SCI OK</v>
          </cell>
          <cell r="U105" t="str">
            <v>DPV architecture</v>
          </cell>
          <cell r="V105" t="str">
            <v>J - PREPARATION MARCHES</v>
          </cell>
          <cell r="W105">
            <v>39507</v>
          </cell>
          <cell r="X105" t="str">
            <v>d</v>
          </cell>
          <cell r="Y105" t="str">
            <v>97441008AO141</v>
          </cell>
          <cell r="Z105">
            <v>39645</v>
          </cell>
          <cell r="AA105" t="str">
            <v>o</v>
          </cell>
          <cell r="AB105">
            <v>39568</v>
          </cell>
          <cell r="AC105" t="str">
            <v>v</v>
          </cell>
          <cell r="AD105">
            <v>39597</v>
          </cell>
          <cell r="AH105">
            <v>39644</v>
          </cell>
          <cell r="AI105" t="str">
            <v>ao</v>
          </cell>
          <cell r="AJ105">
            <v>39801</v>
          </cell>
          <cell r="AK105" t="str">
            <v>ch</v>
          </cell>
          <cell r="AL105">
            <v>5.161756970015781</v>
          </cell>
          <cell r="AM105">
            <v>2008</v>
          </cell>
          <cell r="AN105">
            <v>12</v>
          </cell>
          <cell r="AO105">
            <v>40166</v>
          </cell>
          <cell r="AP105">
            <v>40181</v>
          </cell>
          <cell r="AQ105" t="str">
            <v/>
          </cell>
          <cell r="AR105">
            <v>2010</v>
          </cell>
          <cell r="CJ105" t="str">
            <v>SCI Gendarmerie</v>
          </cell>
          <cell r="CK105" t="str">
            <v>OUTREMER FINANCE</v>
          </cell>
          <cell r="CL105" t="str">
            <v>S.O.</v>
          </cell>
          <cell r="CM105" t="str">
            <v>-</v>
          </cell>
          <cell r="CN105">
            <v>0</v>
          </cell>
          <cell r="CQ105" t="str">
            <v>non</v>
          </cell>
          <cell r="CX105">
            <v>0</v>
          </cell>
          <cell r="DE105">
            <v>0</v>
          </cell>
          <cell r="DJ105">
            <v>0</v>
          </cell>
          <cell r="DO105">
            <v>0</v>
          </cell>
          <cell r="DS105">
            <v>0</v>
          </cell>
          <cell r="DT105">
            <v>0</v>
          </cell>
          <cell r="DU105">
            <v>0</v>
          </cell>
          <cell r="ED105" t="str">
            <v>G:\Habitat\OPERATIONNEL HABITAT\02- Operations\Photothèque\image non disponible.jpg</v>
          </cell>
          <cell r="EE105" t="str">
            <v>G:\Habitat\OPERATIONNEL HABITAT\02- Operations\Photothèque\image non disponible.jpg</v>
          </cell>
        </row>
        <row r="106">
          <cell r="A106" t="str">
            <v>GILBERT DELGARD 1(ex OUESSANT)</v>
          </cell>
          <cell r="B106">
            <v>9541</v>
          </cell>
          <cell r="C106" t="str">
            <v>SUD</v>
          </cell>
          <cell r="D106" t="str">
            <v>Saint-Louis</v>
          </cell>
          <cell r="E106" t="str">
            <v>ZAC AVENIR</v>
          </cell>
          <cell r="F106">
            <v>24</v>
          </cell>
          <cell r="G106" t="str">
            <v>LLTS</v>
          </cell>
          <cell r="H106" t="str">
            <v>signé</v>
          </cell>
          <cell r="I106" t="str">
            <v>CG3</v>
          </cell>
          <cell r="J106" t="str">
            <v>COL</v>
          </cell>
          <cell r="K106" t="str">
            <v>CF</v>
          </cell>
          <cell r="L106" t="str">
            <v>SIDR</v>
          </cell>
          <cell r="N106" t="str">
            <v>PC</v>
          </cell>
          <cell r="O106" t="str">
            <v>DL</v>
          </cell>
          <cell r="P106" t="str">
            <v>CS</v>
          </cell>
          <cell r="Q106" t="str">
            <v>HBM</v>
          </cell>
          <cell r="R106">
            <v>2004</v>
          </cell>
          <cell r="T106" t="str">
            <v>livraison 2 T</v>
          </cell>
          <cell r="U106" t="str">
            <v>DPV architecture</v>
          </cell>
          <cell r="V106" t="str">
            <v>M - LIVRE/GPA</v>
          </cell>
          <cell r="W106">
            <v>38174</v>
          </cell>
          <cell r="X106" t="str">
            <v>d</v>
          </cell>
          <cell r="Y106" t="str">
            <v>97441404A0313</v>
          </cell>
          <cell r="Z106">
            <v>38421</v>
          </cell>
          <cell r="AA106" t="str">
            <v>o</v>
          </cell>
          <cell r="AB106" t="str">
            <v>validé</v>
          </cell>
          <cell r="AC106" t="str">
            <v/>
          </cell>
          <cell r="AD106">
            <v>38265</v>
          </cell>
          <cell r="AE106">
            <v>38223</v>
          </cell>
          <cell r="AF106" t="str">
            <v>f</v>
          </cell>
          <cell r="AG106">
            <v>38450</v>
          </cell>
          <cell r="AH106">
            <v>38583</v>
          </cell>
          <cell r="AI106" t="str">
            <v>ao</v>
          </cell>
          <cell r="AJ106">
            <v>38768</v>
          </cell>
          <cell r="AK106" t="str">
            <v/>
          </cell>
          <cell r="AL106">
            <v>6.0823250920568119</v>
          </cell>
          <cell r="AM106">
            <v>2006</v>
          </cell>
          <cell r="AN106">
            <v>17</v>
          </cell>
          <cell r="AO106">
            <v>39215</v>
          </cell>
          <cell r="AP106">
            <v>39230</v>
          </cell>
          <cell r="AQ106" t="str">
            <v>li</v>
          </cell>
          <cell r="AR106">
            <v>2007</v>
          </cell>
          <cell r="AS106">
            <v>0</v>
          </cell>
          <cell r="AU106">
            <v>0</v>
          </cell>
          <cell r="AW106">
            <v>19</v>
          </cell>
          <cell r="AX106">
            <v>60</v>
          </cell>
          <cell r="BA106">
            <v>16</v>
          </cell>
          <cell r="BB106">
            <v>70</v>
          </cell>
          <cell r="BC106">
            <v>4</v>
          </cell>
          <cell r="BD106">
            <v>70</v>
          </cell>
          <cell r="BE106">
            <v>9</v>
          </cell>
          <cell r="BF106">
            <v>78</v>
          </cell>
          <cell r="BG106">
            <v>1</v>
          </cell>
          <cell r="BH106">
            <v>80</v>
          </cell>
          <cell r="BI106">
            <v>2</v>
          </cell>
          <cell r="BJ106">
            <v>91</v>
          </cell>
          <cell r="BK106">
            <v>51</v>
          </cell>
          <cell r="BL106">
            <v>4.0999999999999996</v>
          </cell>
          <cell r="BM106">
            <v>0.82</v>
          </cell>
          <cell r="BN106">
            <v>0.8</v>
          </cell>
          <cell r="BO106" t="str">
            <v>signée</v>
          </cell>
          <cell r="BP106">
            <v>0.2</v>
          </cell>
          <cell r="BQ106" t="str">
            <v>signée</v>
          </cell>
          <cell r="BR106" t="str">
            <v>CAF</v>
          </cell>
          <cell r="BT106" t="str">
            <v>signée</v>
          </cell>
          <cell r="BX106" t="str">
            <v>signé</v>
          </cell>
          <cell r="BY106">
            <v>4048</v>
          </cell>
          <cell r="BZ106">
            <v>4994</v>
          </cell>
          <cell r="CA106">
            <v>3601.75</v>
          </cell>
          <cell r="CE106" t="str">
            <v>ECS ind</v>
          </cell>
          <cell r="CF106">
            <v>200000</v>
          </cell>
          <cell r="CG106">
            <v>60000</v>
          </cell>
          <cell r="CH106">
            <v>90000</v>
          </cell>
          <cell r="CI106">
            <v>50000</v>
          </cell>
          <cell r="CJ106" t="str">
            <v>-</v>
          </cell>
          <cell r="CK106" t="str">
            <v>-</v>
          </cell>
          <cell r="CL106" t="str">
            <v>-</v>
          </cell>
          <cell r="CM106" t="str">
            <v>-</v>
          </cell>
          <cell r="CN106">
            <v>0</v>
          </cell>
          <cell r="CQ106" t="str">
            <v>oui</v>
          </cell>
          <cell r="CR106">
            <v>308820</v>
          </cell>
          <cell r="CT106">
            <v>3051779</v>
          </cell>
          <cell r="CX106">
            <v>3360599</v>
          </cell>
          <cell r="DE106">
            <v>150000</v>
          </cell>
          <cell r="DJ106">
            <v>150000</v>
          </cell>
          <cell r="DO106">
            <v>0</v>
          </cell>
          <cell r="DQ106">
            <v>108400</v>
          </cell>
          <cell r="DR106">
            <v>48855</v>
          </cell>
          <cell r="DS106">
            <v>157255</v>
          </cell>
          <cell r="DT106">
            <v>314510</v>
          </cell>
          <cell r="DU106">
            <v>-2896089</v>
          </cell>
          <cell r="ED106" t="str">
            <v>G:\Habitat\OPERATIONNEL HABITAT\02- Operations\Photothèque\images locatifs\Ouessant\ouessant.jpg</v>
          </cell>
          <cell r="EE106" t="str">
            <v>G:\Habitat\OPERATIONNEL HABITAT\02- Operations\Photothèque\image non disponible.jpg</v>
          </cell>
        </row>
        <row r="107">
          <cell r="A107" t="str">
            <v>GILBERT DELGARD 2</v>
          </cell>
          <cell r="B107">
            <v>9541</v>
          </cell>
          <cell r="C107" t="str">
            <v>SUD</v>
          </cell>
          <cell r="D107" t="str">
            <v>Saint-Louis</v>
          </cell>
          <cell r="E107" t="str">
            <v>ZAC AVENIR</v>
          </cell>
          <cell r="F107">
            <v>27</v>
          </cell>
          <cell r="G107" t="str">
            <v>LLTS</v>
          </cell>
          <cell r="H107" t="str">
            <v>signé</v>
          </cell>
          <cell r="I107" t="str">
            <v>CG3</v>
          </cell>
          <cell r="J107" t="str">
            <v>COL</v>
          </cell>
          <cell r="K107" t="str">
            <v>CF</v>
          </cell>
          <cell r="L107" t="str">
            <v>SIDR</v>
          </cell>
          <cell r="N107" t="str">
            <v>PC</v>
          </cell>
          <cell r="O107" t="str">
            <v>DL</v>
          </cell>
          <cell r="P107" t="str">
            <v>CS</v>
          </cell>
          <cell r="Q107" t="str">
            <v>HBM</v>
          </cell>
          <cell r="R107">
            <v>2004</v>
          </cell>
          <cell r="T107" t="str">
            <v>livraison 2 T</v>
          </cell>
          <cell r="U107" t="str">
            <v>DPV architecture</v>
          </cell>
          <cell r="V107" t="str">
            <v>M - LIVRE/GPA</v>
          </cell>
          <cell r="W107">
            <v>38174</v>
          </cell>
          <cell r="X107" t="str">
            <v>d</v>
          </cell>
          <cell r="Y107" t="str">
            <v>97441404A0313</v>
          </cell>
          <cell r="Z107">
            <v>38421</v>
          </cell>
          <cell r="AA107" t="str">
            <v>o</v>
          </cell>
          <cell r="AB107" t="str">
            <v>validé</v>
          </cell>
          <cell r="AC107" t="str">
            <v/>
          </cell>
          <cell r="AD107">
            <v>38265</v>
          </cell>
          <cell r="AE107">
            <v>38223</v>
          </cell>
          <cell r="AF107" t="str">
            <v>f</v>
          </cell>
          <cell r="AG107">
            <v>38450</v>
          </cell>
          <cell r="AH107">
            <v>38583</v>
          </cell>
          <cell r="AI107" t="str">
            <v>ao</v>
          </cell>
          <cell r="AJ107">
            <v>38768</v>
          </cell>
          <cell r="AK107" t="str">
            <v/>
          </cell>
          <cell r="AL107">
            <v>6.0823250920568119</v>
          </cell>
          <cell r="AM107">
            <v>2006</v>
          </cell>
          <cell r="AN107">
            <v>17</v>
          </cell>
          <cell r="AO107">
            <v>39322</v>
          </cell>
          <cell r="AP107">
            <v>39341</v>
          </cell>
          <cell r="AQ107" t="str">
            <v>li</v>
          </cell>
          <cell r="AR107">
            <v>2007</v>
          </cell>
          <cell r="BO107" t="str">
            <v>signée</v>
          </cell>
          <cell r="BQ107" t="str">
            <v>signée</v>
          </cell>
          <cell r="BX107" t="str">
            <v>signé</v>
          </cell>
          <cell r="CE107" t="str">
            <v>ECS ind</v>
          </cell>
          <cell r="CJ107" t="str">
            <v>-</v>
          </cell>
          <cell r="CK107" t="str">
            <v>-</v>
          </cell>
          <cell r="CL107" t="str">
            <v>-</v>
          </cell>
          <cell r="CM107" t="str">
            <v>-</v>
          </cell>
          <cell r="CN107">
            <v>0</v>
          </cell>
          <cell r="CQ107" t="str">
            <v>oui</v>
          </cell>
          <cell r="CX107">
            <v>0</v>
          </cell>
          <cell r="DE107">
            <v>0</v>
          </cell>
          <cell r="DJ107">
            <v>0</v>
          </cell>
          <cell r="DO107">
            <v>0</v>
          </cell>
          <cell r="DS107">
            <v>0</v>
          </cell>
          <cell r="DT107">
            <v>0</v>
          </cell>
          <cell r="DU107">
            <v>0</v>
          </cell>
          <cell r="ED107" t="str">
            <v>G:\Habitat\OPERATIONNEL HABITAT\02- Operations\Photothèque\image non disponible.jpg</v>
          </cell>
          <cell r="EE107" t="str">
            <v>G:\Habitat\OPERATIONNEL HABITAT\02- Operations\Photothèque\image non disponible.jpg</v>
          </cell>
        </row>
        <row r="108">
          <cell r="A108" t="str">
            <v>GOYAVES</v>
          </cell>
          <cell r="B108">
            <v>9406</v>
          </cell>
          <cell r="C108" t="str">
            <v>SUD</v>
          </cell>
          <cell r="D108" t="str">
            <v>Saint-Louis</v>
          </cell>
          <cell r="E108" t="str">
            <v>CENTRE VILLE</v>
          </cell>
          <cell r="F108">
            <v>36</v>
          </cell>
          <cell r="G108" t="str">
            <v>LLTS</v>
          </cell>
          <cell r="J108" t="str">
            <v>COL</v>
          </cell>
          <cell r="K108" t="str">
            <v>RF</v>
          </cell>
          <cell r="N108" t="str">
            <v>JPM</v>
          </cell>
          <cell r="O108" t="str">
            <v>Jmo</v>
          </cell>
          <cell r="P108" t="str">
            <v>CS</v>
          </cell>
          <cell r="R108">
            <v>2002</v>
          </cell>
          <cell r="T108" t="str">
            <v>ras</v>
          </cell>
          <cell r="U108" t="str">
            <v>VALENTIN/REYNAUD</v>
          </cell>
          <cell r="V108" t="str">
            <v>M - LIVRE/GPA</v>
          </cell>
          <cell r="W108">
            <v>37448</v>
          </cell>
          <cell r="X108" t="str">
            <v>d</v>
          </cell>
          <cell r="Y108" t="str">
            <v>97441402A0290</v>
          </cell>
          <cell r="Z108">
            <v>37554</v>
          </cell>
          <cell r="AA108" t="str">
            <v>o</v>
          </cell>
          <cell r="AB108" t="str">
            <v>validé</v>
          </cell>
          <cell r="AC108" t="str">
            <v/>
          </cell>
          <cell r="AE108">
            <v>37540</v>
          </cell>
          <cell r="AF108" t="str">
            <v>f</v>
          </cell>
          <cell r="AG108" t="str">
            <v>O</v>
          </cell>
          <cell r="AH108">
            <v>37783</v>
          </cell>
          <cell r="AI108" t="str">
            <v>ao</v>
          </cell>
          <cell r="AJ108">
            <v>38062</v>
          </cell>
          <cell r="AK108" t="str">
            <v/>
          </cell>
          <cell r="AL108">
            <v>9.172803787480273</v>
          </cell>
          <cell r="AM108">
            <v>2004</v>
          </cell>
          <cell r="AN108">
            <v>16</v>
          </cell>
          <cell r="AO108">
            <v>38549</v>
          </cell>
          <cell r="AP108">
            <v>38586</v>
          </cell>
          <cell r="AQ108" t="str">
            <v>li</v>
          </cell>
          <cell r="AR108">
            <v>2005</v>
          </cell>
          <cell r="BO108" t="str">
            <v>signée</v>
          </cell>
          <cell r="BQ108" t="str">
            <v>signée</v>
          </cell>
          <cell r="BX108" t="str">
            <v>signé</v>
          </cell>
          <cell r="CA108">
            <v>2675</v>
          </cell>
          <cell r="CE108" t="str">
            <v>ECS ind</v>
          </cell>
          <cell r="CF108">
            <v>93752</v>
          </cell>
          <cell r="CG108">
            <v>28125</v>
          </cell>
          <cell r="CH108">
            <v>42188</v>
          </cell>
          <cell r="CI108">
            <v>23438</v>
          </cell>
          <cell r="CJ108" t="str">
            <v>-</v>
          </cell>
          <cell r="CK108" t="str">
            <v>-</v>
          </cell>
          <cell r="CL108" t="str">
            <v>-</v>
          </cell>
          <cell r="CM108" t="str">
            <v>-</v>
          </cell>
          <cell r="CN108">
            <v>0</v>
          </cell>
          <cell r="CQ108" t="str">
            <v>oui</v>
          </cell>
          <cell r="CR108">
            <v>414856</v>
          </cell>
          <cell r="CT108">
            <v>2033791</v>
          </cell>
          <cell r="CX108">
            <v>2448647</v>
          </cell>
          <cell r="DE108">
            <v>70313</v>
          </cell>
          <cell r="DJ108">
            <v>70313</v>
          </cell>
          <cell r="DO108">
            <v>0</v>
          </cell>
          <cell r="DQ108">
            <v>197894</v>
          </cell>
          <cell r="DR108">
            <v>23438</v>
          </cell>
          <cell r="DS108">
            <v>221332</v>
          </cell>
          <cell r="DT108">
            <v>442664</v>
          </cell>
          <cell r="DU108">
            <v>-1935670</v>
          </cell>
          <cell r="ED108" t="str">
            <v>G:\Habitat\OPERATIONNEL HABITAT\02- Operations\Photothèque\images locatifs\goyaves\DSC01761.jpg</v>
          </cell>
          <cell r="EE108" t="str">
            <v>G:\Habitat\OPERATIONNEL HABITAT\02- Operations\Photothèque\images locatifs\goyaves\DSC01763.jpg</v>
          </cell>
        </row>
        <row r="109">
          <cell r="A109" t="str">
            <v>GUERNESEY</v>
          </cell>
          <cell r="C109" t="str">
            <v>NORD</v>
          </cell>
          <cell r="D109" t="str">
            <v>Saint-Denis</v>
          </cell>
          <cell r="E109" t="str">
            <v xml:space="preserve">ZAC  PENTE ZANANAS </v>
          </cell>
          <cell r="F109">
            <v>60</v>
          </cell>
          <cell r="G109" t="str">
            <v>LLTS</v>
          </cell>
          <cell r="J109" t="str">
            <v>COL</v>
          </cell>
          <cell r="K109" t="str">
            <v>CF</v>
          </cell>
          <cell r="L109" t="str">
            <v>SIDR</v>
          </cell>
          <cell r="N109" t="str">
            <v>JPM</v>
          </cell>
          <cell r="Q109" t="str">
            <v>AR</v>
          </cell>
          <cell r="R109">
            <v>2011</v>
          </cell>
          <cell r="V109" t="str">
            <v>A - NON LANCE</v>
          </cell>
          <cell r="AA109" t="str">
            <v/>
          </cell>
          <cell r="AC109" t="str">
            <v/>
          </cell>
          <cell r="AI109" t="str">
            <v/>
          </cell>
          <cell r="AK109" t="str">
            <v/>
          </cell>
          <cell r="AL109">
            <v>0</v>
          </cell>
          <cell r="AQ109" t="str">
            <v/>
          </cell>
          <cell r="CJ109" t="str">
            <v>-</v>
          </cell>
          <cell r="CK109" t="str">
            <v>-</v>
          </cell>
          <cell r="CL109" t="str">
            <v>-</v>
          </cell>
          <cell r="CM109" t="str">
            <v>-</v>
          </cell>
          <cell r="CN109">
            <v>0</v>
          </cell>
          <cell r="CQ109" t="str">
            <v>non</v>
          </cell>
          <cell r="CX109">
            <v>0</v>
          </cell>
          <cell r="DE109">
            <v>0</v>
          </cell>
          <cell r="DJ109">
            <v>0</v>
          </cell>
          <cell r="DO109">
            <v>0</v>
          </cell>
          <cell r="DS109">
            <v>0</v>
          </cell>
          <cell r="DT109">
            <v>0</v>
          </cell>
          <cell r="DU109">
            <v>0</v>
          </cell>
          <cell r="ED109" t="str">
            <v>G:\Habitat\OPERATIONNEL HABITAT\02- Operations\Photothèque\image non disponible.jpg</v>
          </cell>
          <cell r="EE109" t="str">
            <v>G:\Habitat\OPERATIONNEL HABITAT\02- Operations\Photothèque\image non disponible.jpg</v>
          </cell>
        </row>
        <row r="110">
          <cell r="A110" t="str">
            <v>HEBRIDES</v>
          </cell>
          <cell r="B110">
            <v>9640</v>
          </cell>
          <cell r="C110" t="str">
            <v>NORD</v>
          </cell>
          <cell r="D110" t="str">
            <v>Saint-Denis</v>
          </cell>
          <cell r="E110" t="str">
            <v>BELLEPIERRE - RHI PAVADE</v>
          </cell>
          <cell r="F110">
            <v>33</v>
          </cell>
          <cell r="G110" t="str">
            <v>LLS</v>
          </cell>
          <cell r="H110" t="str">
            <v>à compléter</v>
          </cell>
          <cell r="I110" t="str">
            <v>CG4</v>
          </cell>
          <cell r="J110" t="str">
            <v>COL</v>
          </cell>
          <cell r="K110" t="str">
            <v>RF</v>
          </cell>
          <cell r="M110" t="str">
            <v>maitrisé</v>
          </cell>
          <cell r="N110" t="str">
            <v>PC</v>
          </cell>
          <cell r="O110" t="str">
            <v>CA</v>
          </cell>
          <cell r="P110" t="str">
            <v>AM</v>
          </cell>
          <cell r="R110">
            <v>2006</v>
          </cell>
          <cell r="S110">
            <v>0</v>
          </cell>
          <cell r="T110" t="str">
            <v>pb PCok | accès par RD  ok/SNC salazie fin 2009</v>
          </cell>
          <cell r="U110" t="str">
            <v>MARAIS TESSIER</v>
          </cell>
          <cell r="V110" t="str">
            <v>L - CHANTIER EN COURS</v>
          </cell>
          <cell r="W110">
            <v>38938</v>
          </cell>
          <cell r="X110" t="str">
            <v>d</v>
          </cell>
          <cell r="Y110" t="str">
            <v>97441106A0405</v>
          </cell>
          <cell r="Z110">
            <v>39317</v>
          </cell>
          <cell r="AA110" t="str">
            <v>o</v>
          </cell>
          <cell r="AB110">
            <v>38974</v>
          </cell>
          <cell r="AC110" t="str">
            <v>v</v>
          </cell>
          <cell r="AD110">
            <v>39030</v>
          </cell>
          <cell r="AE110">
            <v>38945</v>
          </cell>
          <cell r="AF110" t="str">
            <v>f</v>
          </cell>
          <cell r="AG110">
            <v>39093</v>
          </cell>
          <cell r="AH110">
            <v>39401</v>
          </cell>
          <cell r="AI110" t="str">
            <v>ao</v>
          </cell>
          <cell r="AJ110">
            <v>39644</v>
          </cell>
          <cell r="AK110" t="str">
            <v>ch</v>
          </cell>
          <cell r="AL110">
            <v>7.9892162019989481</v>
          </cell>
          <cell r="AM110">
            <v>2008</v>
          </cell>
          <cell r="AN110">
            <v>16</v>
          </cell>
          <cell r="AO110">
            <v>40132</v>
          </cell>
          <cell r="AP110">
            <v>40147</v>
          </cell>
          <cell r="AQ110" t="str">
            <v/>
          </cell>
          <cell r="AR110">
            <v>2009</v>
          </cell>
          <cell r="AS110">
            <v>1</v>
          </cell>
          <cell r="AT110">
            <v>31</v>
          </cell>
          <cell r="AW110">
            <v>2</v>
          </cell>
          <cell r="AX110">
            <v>58</v>
          </cell>
          <cell r="AY110">
            <v>1</v>
          </cell>
          <cell r="AZ110">
            <v>57</v>
          </cell>
          <cell r="BA110">
            <v>14</v>
          </cell>
          <cell r="BB110">
            <v>69</v>
          </cell>
          <cell r="BE110">
            <v>15</v>
          </cell>
          <cell r="BF110">
            <v>79</v>
          </cell>
          <cell r="BK110">
            <v>33</v>
          </cell>
          <cell r="BL110">
            <v>6.26</v>
          </cell>
          <cell r="BM110">
            <v>0.82</v>
          </cell>
          <cell r="BN110">
            <v>0.2</v>
          </cell>
          <cell r="BO110" t="str">
            <v xml:space="preserve">transmis </v>
          </cell>
          <cell r="BP110">
            <v>0.8</v>
          </cell>
          <cell r="BQ110" t="str">
            <v xml:space="preserve">transmis </v>
          </cell>
          <cell r="BX110" t="str">
            <v>en attente garanties emprunts</v>
          </cell>
          <cell r="BY110">
            <v>2168</v>
          </cell>
          <cell r="BZ110">
            <v>3936</v>
          </cell>
          <cell r="CA110">
            <v>2712.16</v>
          </cell>
          <cell r="CE110" t="str">
            <v>ECS ind</v>
          </cell>
          <cell r="CJ110" t="str">
            <v>Hebrides</v>
          </cell>
          <cell r="CK110" t="str">
            <v>INFI</v>
          </cell>
          <cell r="CL110">
            <v>39650</v>
          </cell>
          <cell r="CM110" t="str">
            <v>-</v>
          </cell>
          <cell r="CN110">
            <v>0</v>
          </cell>
          <cell r="CO110" t="str">
            <v>217 undercies</v>
          </cell>
          <cell r="CQ110" t="str">
            <v>non</v>
          </cell>
          <cell r="CX110">
            <v>0</v>
          </cell>
          <cell r="DE110">
            <v>0</v>
          </cell>
          <cell r="DJ110">
            <v>0</v>
          </cell>
          <cell r="DO110">
            <v>0</v>
          </cell>
          <cell r="DQ110">
            <v>126274</v>
          </cell>
          <cell r="DR110">
            <v>33000</v>
          </cell>
          <cell r="DS110">
            <v>159274</v>
          </cell>
          <cell r="DT110">
            <v>318548</v>
          </cell>
          <cell r="DU110">
            <v>318548</v>
          </cell>
          <cell r="ED110" t="str">
            <v>G:\Habitat\OPERATIONNEL HABITAT\02- Operations\Photothèque\images locatifs\HEBRIDES\Hebrides Pers 1.jpg</v>
          </cell>
          <cell r="EE110" t="str">
            <v>G:\Habitat\OPERATIONNEL HABITAT\02- Operations\Photothèque\images locatifs\HEBRIDES\Hebrides.jpg</v>
          </cell>
          <cell r="EJ110">
            <v>135000</v>
          </cell>
          <cell r="EL110">
            <v>5</v>
          </cell>
          <cell r="EM110">
            <v>100000</v>
          </cell>
          <cell r="EN110" t="str">
            <v>signée</v>
          </cell>
        </row>
        <row r="111">
          <cell r="A111" t="str">
            <v>HESPERIDES SUITE</v>
          </cell>
          <cell r="C111" t="str">
            <v>NORD</v>
          </cell>
          <cell r="D111" t="str">
            <v>Saint-Denis</v>
          </cell>
          <cell r="F111">
            <v>9</v>
          </cell>
          <cell r="G111" t="str">
            <v>LESG</v>
          </cell>
          <cell r="J111" t="str">
            <v>IND</v>
          </cell>
          <cell r="K111" t="str">
            <v>CF</v>
          </cell>
          <cell r="L111" t="str">
            <v>SIDR</v>
          </cell>
          <cell r="N111" t="str">
            <v>BS</v>
          </cell>
          <cell r="O111" t="str">
            <v>OS</v>
          </cell>
          <cell r="P111" t="str">
            <v>LV</v>
          </cell>
          <cell r="Q111" t="str">
            <v>HBM</v>
          </cell>
          <cell r="R111">
            <v>2002</v>
          </cell>
          <cell r="T111" t="str">
            <v>suite op après expro/actualisation en cours</v>
          </cell>
          <cell r="U111" t="str">
            <v>SOAA MEUNIER</v>
          </cell>
          <cell r="V111" t="str">
            <v>I - ACT</v>
          </cell>
          <cell r="AA111" t="str">
            <v/>
          </cell>
          <cell r="AC111" t="str">
            <v/>
          </cell>
          <cell r="AE111">
            <v>39736</v>
          </cell>
          <cell r="AH111">
            <v>39695</v>
          </cell>
          <cell r="AI111" t="str">
            <v>ao</v>
          </cell>
          <cell r="AJ111">
            <v>39859</v>
          </cell>
          <cell r="AK111" t="str">
            <v>ch</v>
          </cell>
          <cell r="AL111">
            <v>5.3918990005260392</v>
          </cell>
          <cell r="AM111">
            <v>2009</v>
          </cell>
          <cell r="AN111">
            <v>12</v>
          </cell>
          <cell r="AO111">
            <v>40224</v>
          </cell>
          <cell r="AP111">
            <v>40239</v>
          </cell>
          <cell r="AQ111" t="str">
            <v/>
          </cell>
          <cell r="AR111">
            <v>2010</v>
          </cell>
          <cell r="CJ111" t="str">
            <v>-</v>
          </cell>
          <cell r="CK111" t="str">
            <v>-</v>
          </cell>
          <cell r="CL111" t="str">
            <v>-</v>
          </cell>
          <cell r="CM111" t="str">
            <v>-</v>
          </cell>
          <cell r="CN111">
            <v>0</v>
          </cell>
          <cell r="CQ111" t="str">
            <v>non</v>
          </cell>
          <cell r="CX111">
            <v>0</v>
          </cell>
          <cell r="DE111">
            <v>0</v>
          </cell>
          <cell r="DJ111">
            <v>0</v>
          </cell>
          <cell r="DO111">
            <v>0</v>
          </cell>
          <cell r="DS111">
            <v>0</v>
          </cell>
          <cell r="DT111">
            <v>0</v>
          </cell>
          <cell r="DU111">
            <v>0</v>
          </cell>
          <cell r="ED111" t="str">
            <v>G:\Habitat\OPERATIONNEL HABITAT\02- Operations\Photothèque\image non disponible.jpg</v>
          </cell>
          <cell r="EE111" t="str">
            <v>G:\Habitat\OPERATIONNEL HABITAT\02- Operations\Photothèque\image non disponible.jpg</v>
          </cell>
        </row>
        <row r="112">
          <cell r="A112" t="str">
            <v>IBIZA</v>
          </cell>
          <cell r="B112">
            <v>9684</v>
          </cell>
          <cell r="C112" t="str">
            <v>EST</v>
          </cell>
          <cell r="D112" t="str">
            <v>Saint-Benoît</v>
          </cell>
          <cell r="E112" t="str">
            <v>RUE AMIRAL BOUVET</v>
          </cell>
          <cell r="F112">
            <v>60</v>
          </cell>
          <cell r="G112" t="str">
            <v>LLTS</v>
          </cell>
          <cell r="J112" t="str">
            <v>COL</v>
          </cell>
          <cell r="K112" t="str">
            <v>RF</v>
          </cell>
          <cell r="M112" t="str">
            <v>autres</v>
          </cell>
          <cell r="N112" t="str">
            <v>JPM</v>
          </cell>
          <cell r="O112" t="str">
            <v>JMO</v>
          </cell>
          <cell r="R112">
            <v>2009</v>
          </cell>
          <cell r="S112">
            <v>0</v>
          </cell>
          <cell r="T112" t="str">
            <v>Deliberation  de la commune pour une expulsion qui n'a pas encore ete effectué - proposition d'agir en 2 tanches pour un depot de dossier 20009 (sur la ere tranche), la ville souhaite voir une présentation du projet global avant dépôt dossier PC</v>
          </cell>
          <cell r="U112" t="str">
            <v>ARCHITECTES DE L'EPERON</v>
          </cell>
          <cell r="V112" t="str">
            <v>C - PROGRAMME</v>
          </cell>
          <cell r="W112">
            <v>39979</v>
          </cell>
          <cell r="X112" t="str">
            <v/>
          </cell>
          <cell r="AA112" t="str">
            <v/>
          </cell>
          <cell r="AC112" t="str">
            <v/>
          </cell>
          <cell r="AE112">
            <v>40055</v>
          </cell>
          <cell r="AF112" t="str">
            <v/>
          </cell>
          <cell r="AH112">
            <v>40040</v>
          </cell>
          <cell r="AI112" t="str">
            <v/>
          </cell>
          <cell r="AJ112">
            <v>40224</v>
          </cell>
          <cell r="AK112" t="str">
            <v/>
          </cell>
          <cell r="AL112">
            <v>6.0494476591267752</v>
          </cell>
          <cell r="AM112">
            <v>2010</v>
          </cell>
          <cell r="AN112">
            <v>16</v>
          </cell>
          <cell r="AO112">
            <v>40709</v>
          </cell>
          <cell r="AP112">
            <v>40724</v>
          </cell>
          <cell r="AQ112" t="str">
            <v/>
          </cell>
          <cell r="AR112">
            <v>2011</v>
          </cell>
          <cell r="CJ112" t="str">
            <v>-</v>
          </cell>
          <cell r="CK112" t="str">
            <v>-</v>
          </cell>
          <cell r="CL112" t="str">
            <v>-</v>
          </cell>
          <cell r="CM112" t="str">
            <v>-</v>
          </cell>
          <cell r="CN112">
            <v>0</v>
          </cell>
          <cell r="CQ112" t="str">
            <v>non</v>
          </cell>
          <cell r="CX112">
            <v>0</v>
          </cell>
          <cell r="DE112">
            <v>0</v>
          </cell>
          <cell r="DJ112">
            <v>0</v>
          </cell>
          <cell r="DO112">
            <v>0</v>
          </cell>
          <cell r="DS112">
            <v>0</v>
          </cell>
          <cell r="DT112">
            <v>0</v>
          </cell>
          <cell r="DU112">
            <v>0</v>
          </cell>
          <cell r="ED112" t="str">
            <v>G:\Habitat\OPERATIONNEL HABITAT\02- Operations\Photothèque\image non disponible.jpg</v>
          </cell>
          <cell r="EE112" t="str">
            <v>G:\Habitat\OPERATIONNEL HABITAT\02- Operations\Photothèque\image non disponible.jpg</v>
          </cell>
        </row>
        <row r="113">
          <cell r="A113" t="str">
            <v>ILES EPARSES</v>
          </cell>
          <cell r="B113">
            <v>9446</v>
          </cell>
          <cell r="C113" t="str">
            <v>NORD</v>
          </cell>
          <cell r="D113" t="str">
            <v>Saint-Denis</v>
          </cell>
          <cell r="E113" t="str">
            <v>AME ILE EPARSES</v>
          </cell>
          <cell r="F113">
            <v>0</v>
          </cell>
          <cell r="G113" t="str">
            <v>OPA</v>
          </cell>
          <cell r="J113" t="str">
            <v>OPA</v>
          </cell>
          <cell r="K113" t="str">
            <v>RF</v>
          </cell>
          <cell r="N113" t="str">
            <v>EC</v>
          </cell>
          <cell r="O113" t="str">
            <v>SV</v>
          </cell>
          <cell r="P113" t="str">
            <v>CC</v>
          </cell>
          <cell r="R113">
            <v>2002</v>
          </cell>
          <cell r="T113" t="str">
            <v>sub frafu non versée 80% | pb conformité/retroccession</v>
          </cell>
          <cell r="U113" t="str">
            <v>DELCOURT</v>
          </cell>
          <cell r="V113" t="str">
            <v>M - LIVRE/GPA</v>
          </cell>
          <cell r="X113" t="str">
            <v>d</v>
          </cell>
          <cell r="AA113" t="str">
            <v/>
          </cell>
          <cell r="AB113" t="str">
            <v>validé</v>
          </cell>
          <cell r="AC113" t="str">
            <v/>
          </cell>
          <cell r="AF113" t="str">
            <v/>
          </cell>
          <cell r="AG113" t="str">
            <v>O</v>
          </cell>
          <cell r="AH113">
            <v>37665</v>
          </cell>
          <cell r="AI113" t="str">
            <v>ao</v>
          </cell>
          <cell r="AJ113">
            <v>37837</v>
          </cell>
          <cell r="AK113" t="str">
            <v/>
          </cell>
          <cell r="AL113">
            <v>5.6549184639663332</v>
          </cell>
          <cell r="AM113">
            <v>2003</v>
          </cell>
          <cell r="AN113">
            <v>19</v>
          </cell>
          <cell r="AO113">
            <v>38415</v>
          </cell>
          <cell r="AP113">
            <v>38564</v>
          </cell>
          <cell r="AQ113" t="str">
            <v>li</v>
          </cell>
          <cell r="AR113">
            <v>2005</v>
          </cell>
          <cell r="BO113" t="str">
            <v>signée</v>
          </cell>
          <cell r="BQ113" t="str">
            <v>signée</v>
          </cell>
          <cell r="BX113" t="str">
            <v>signé</v>
          </cell>
          <cell r="CJ113" t="str">
            <v>-</v>
          </cell>
          <cell r="CK113" t="str">
            <v>-</v>
          </cell>
          <cell r="CL113" t="str">
            <v>-</v>
          </cell>
          <cell r="CM113" t="str">
            <v>-</v>
          </cell>
          <cell r="CN113">
            <v>0</v>
          </cell>
          <cell r="CQ113" t="str">
            <v>oui</v>
          </cell>
          <cell r="CX113">
            <v>0</v>
          </cell>
          <cell r="DE113">
            <v>0</v>
          </cell>
          <cell r="DJ113">
            <v>0</v>
          </cell>
          <cell r="DO113">
            <v>0</v>
          </cell>
          <cell r="DS113">
            <v>0</v>
          </cell>
          <cell r="DT113">
            <v>0</v>
          </cell>
          <cell r="DU113">
            <v>0</v>
          </cell>
          <cell r="ED113" t="str">
            <v>G:\Habitat\OPERATIONNEL HABITAT\02- Operations\Photothèque\images locatifs\iles eparses\iles eparses chantiers (2) (Large).jpg</v>
          </cell>
          <cell r="EE113" t="str">
            <v>G:\Habitat\OPERATIONNEL HABITAT\02- Operations\Photothèque\images locatifs\iles eparses\iles eparses chantiers (8).jpg</v>
          </cell>
        </row>
        <row r="114">
          <cell r="A114" t="str">
            <v>ILET A VIDOT</v>
          </cell>
          <cell r="C114" t="str">
            <v>EST</v>
          </cell>
          <cell r="D114" t="str">
            <v>Salazie</v>
          </cell>
          <cell r="E114" t="str">
            <v>HELL BOURG</v>
          </cell>
          <cell r="F114">
            <v>16</v>
          </cell>
          <cell r="G114" t="str">
            <v>LESG</v>
          </cell>
          <cell r="J114" t="str">
            <v>IND</v>
          </cell>
          <cell r="N114" t="str">
            <v>BB</v>
          </cell>
          <cell r="R114">
            <v>2012</v>
          </cell>
          <cell r="AA114" t="str">
            <v/>
          </cell>
          <cell r="AC114" t="str">
            <v/>
          </cell>
          <cell r="AI114" t="str">
            <v/>
          </cell>
          <cell r="AK114" t="str">
            <v/>
          </cell>
          <cell r="AL114">
            <v>0</v>
          </cell>
          <cell r="AQ114" t="str">
            <v/>
          </cell>
          <cell r="CJ114" t="str">
            <v>-</v>
          </cell>
          <cell r="CK114" t="str">
            <v>-</v>
          </cell>
          <cell r="CL114" t="str">
            <v>-</v>
          </cell>
          <cell r="CM114" t="str">
            <v>-</v>
          </cell>
          <cell r="CN114">
            <v>0</v>
          </cell>
          <cell r="CQ114" t="str">
            <v>non</v>
          </cell>
          <cell r="CX114">
            <v>0</v>
          </cell>
          <cell r="DE114">
            <v>0</v>
          </cell>
          <cell r="DJ114">
            <v>0</v>
          </cell>
          <cell r="DO114">
            <v>0</v>
          </cell>
          <cell r="DS114">
            <v>0</v>
          </cell>
          <cell r="DT114">
            <v>0</v>
          </cell>
          <cell r="DU114">
            <v>0</v>
          </cell>
          <cell r="ED114" t="str">
            <v>G:\Habitat\OPERATIONNEL HABITAT\02- Operations\Photothèque\image non disponible.jpg</v>
          </cell>
          <cell r="EE114" t="str">
            <v>G:\Habitat\OPERATIONNEL HABITAT\02- Operations\Photothèque\image non disponible.jpg</v>
          </cell>
        </row>
        <row r="115">
          <cell r="A115" t="str">
            <v>ILOT  O</v>
          </cell>
          <cell r="C115" t="str">
            <v>SUD</v>
          </cell>
          <cell r="D115" t="str">
            <v>Saint-Pierre</v>
          </cell>
          <cell r="E115" t="str">
            <v>RAVINE BLANCHE</v>
          </cell>
          <cell r="F115">
            <v>18</v>
          </cell>
          <cell r="G115" t="str">
            <v>LLS</v>
          </cell>
          <cell r="J115" t="str">
            <v>COL</v>
          </cell>
          <cell r="K115" t="str">
            <v>CF</v>
          </cell>
          <cell r="L115" t="str">
            <v>SIDR</v>
          </cell>
          <cell r="N115" t="str">
            <v>LC</v>
          </cell>
          <cell r="Q115" t="str">
            <v>HBM</v>
          </cell>
          <cell r="R115">
            <v>2010</v>
          </cell>
          <cell r="T115" t="str">
            <v>Voie non modifiée</v>
          </cell>
          <cell r="V115" t="str">
            <v>A - NON LANCE</v>
          </cell>
          <cell r="X115" t="str">
            <v/>
          </cell>
          <cell r="AA115" t="str">
            <v/>
          </cell>
          <cell r="AC115" t="str">
            <v/>
          </cell>
          <cell r="AF115" t="str">
            <v/>
          </cell>
          <cell r="AI115" t="str">
            <v/>
          </cell>
          <cell r="AK115" t="str">
            <v/>
          </cell>
          <cell r="AL115">
            <v>0</v>
          </cell>
          <cell r="AM115" t="str">
            <v/>
          </cell>
          <cell r="AO115" t="str">
            <v/>
          </cell>
          <cell r="AP115" t="str">
            <v/>
          </cell>
          <cell r="AQ115" t="str">
            <v/>
          </cell>
          <cell r="CJ115" t="str">
            <v>-</v>
          </cell>
          <cell r="CK115" t="str">
            <v>-</v>
          </cell>
          <cell r="CL115" t="str">
            <v>-</v>
          </cell>
          <cell r="CM115" t="str">
            <v>-</v>
          </cell>
          <cell r="CN115">
            <v>0</v>
          </cell>
          <cell r="CP115" t="str">
            <v>ANRU St Pierre</v>
          </cell>
          <cell r="CQ115" t="str">
            <v>non</v>
          </cell>
          <cell r="CX115">
            <v>0</v>
          </cell>
          <cell r="DE115">
            <v>0</v>
          </cell>
          <cell r="DJ115">
            <v>0</v>
          </cell>
          <cell r="DO115">
            <v>0</v>
          </cell>
          <cell r="DS115">
            <v>0</v>
          </cell>
          <cell r="DT115">
            <v>0</v>
          </cell>
          <cell r="DU115">
            <v>0</v>
          </cell>
          <cell r="ED115" t="str">
            <v>G:\Habitat\OPERATIONNEL HABITAT\02- Operations\Photothèque\image non disponible.jpg</v>
          </cell>
          <cell r="EE115" t="str">
            <v>G:\Habitat\OPERATIONNEL HABITAT\02- Operations\Photothèque\image non disponible.jpg</v>
          </cell>
        </row>
        <row r="116">
          <cell r="A116" t="str">
            <v>ILOT 6,2</v>
          </cell>
          <cell r="C116" t="str">
            <v>SUD</v>
          </cell>
          <cell r="D116" t="str">
            <v>Saint-Pierre</v>
          </cell>
          <cell r="E116" t="str">
            <v>MAIL CENTRE VILLE</v>
          </cell>
          <cell r="F116">
            <v>42</v>
          </cell>
          <cell r="G116" t="str">
            <v>PLS</v>
          </cell>
          <cell r="J116" t="str">
            <v>COL</v>
          </cell>
          <cell r="K116" t="str">
            <v>CF</v>
          </cell>
          <cell r="L116" t="str">
            <v>SIDR</v>
          </cell>
          <cell r="N116" t="str">
            <v>N.A.</v>
          </cell>
          <cell r="Q116" t="str">
            <v>HBM</v>
          </cell>
          <cell r="R116" t="str">
            <v>non prog</v>
          </cell>
          <cell r="T116" t="str">
            <v>Attribution remise en cause par la ville</v>
          </cell>
          <cell r="AA116" t="str">
            <v/>
          </cell>
          <cell r="AC116" t="str">
            <v/>
          </cell>
          <cell r="AI116" t="str">
            <v/>
          </cell>
          <cell r="AK116" t="str">
            <v/>
          </cell>
          <cell r="AL116">
            <v>0</v>
          </cell>
          <cell r="AQ116" t="str">
            <v/>
          </cell>
          <cell r="CJ116" t="str">
            <v>-</v>
          </cell>
          <cell r="CK116" t="str">
            <v>-</v>
          </cell>
          <cell r="CL116" t="str">
            <v>-</v>
          </cell>
          <cell r="CM116" t="str">
            <v>-</v>
          </cell>
          <cell r="CN116">
            <v>0</v>
          </cell>
          <cell r="CQ116" t="str">
            <v>non</v>
          </cell>
          <cell r="CX116">
            <v>0</v>
          </cell>
          <cell r="DE116">
            <v>0</v>
          </cell>
          <cell r="DJ116">
            <v>0</v>
          </cell>
          <cell r="DO116">
            <v>0</v>
          </cell>
          <cell r="DS116">
            <v>0</v>
          </cell>
          <cell r="DT116">
            <v>0</v>
          </cell>
          <cell r="DU116">
            <v>0</v>
          </cell>
          <cell r="ED116" t="str">
            <v>G:\Habitat\OPERATIONNEL HABITAT\02- Operations\Photothèque\image non disponible.jpg</v>
          </cell>
          <cell r="EE116" t="str">
            <v>G:\Habitat\OPERATIONNEL HABITAT\02- Operations\Photothèque\image non disponible.jpg</v>
          </cell>
        </row>
        <row r="117">
          <cell r="A117" t="str">
            <v>ILOT 6.3</v>
          </cell>
          <cell r="C117" t="str">
            <v>SUD</v>
          </cell>
          <cell r="D117" t="str">
            <v>Saint-Pierre</v>
          </cell>
          <cell r="E117" t="str">
            <v>MAIL CENTRE VILLE</v>
          </cell>
          <cell r="F117">
            <v>34</v>
          </cell>
          <cell r="G117" t="str">
            <v>LLTS</v>
          </cell>
          <cell r="J117" t="str">
            <v>COL</v>
          </cell>
          <cell r="K117" t="str">
            <v>CF</v>
          </cell>
          <cell r="L117" t="str">
            <v>SIDR</v>
          </cell>
          <cell r="N117" t="str">
            <v>N.A.</v>
          </cell>
          <cell r="Q117" t="str">
            <v>HBM</v>
          </cell>
          <cell r="R117" t="str">
            <v>non prog</v>
          </cell>
          <cell r="T117" t="str">
            <v>Attribution remise en cause par la ville</v>
          </cell>
          <cell r="AA117" t="str">
            <v/>
          </cell>
          <cell r="AC117" t="str">
            <v/>
          </cell>
          <cell r="AI117" t="str">
            <v/>
          </cell>
          <cell r="AK117" t="str">
            <v/>
          </cell>
          <cell r="AL117">
            <v>0</v>
          </cell>
          <cell r="AQ117" t="str">
            <v/>
          </cell>
          <cell r="CJ117" t="str">
            <v>-</v>
          </cell>
          <cell r="CK117" t="str">
            <v>-</v>
          </cell>
          <cell r="CL117" t="str">
            <v>-</v>
          </cell>
          <cell r="CM117" t="str">
            <v>-</v>
          </cell>
          <cell r="CN117">
            <v>0</v>
          </cell>
          <cell r="CQ117" t="str">
            <v>non</v>
          </cell>
          <cell r="CX117">
            <v>0</v>
          </cell>
          <cell r="DE117">
            <v>0</v>
          </cell>
          <cell r="DJ117">
            <v>0</v>
          </cell>
          <cell r="DO117">
            <v>0</v>
          </cell>
          <cell r="DS117">
            <v>0</v>
          </cell>
          <cell r="DT117">
            <v>0</v>
          </cell>
          <cell r="DU117">
            <v>0</v>
          </cell>
          <cell r="ED117" t="str">
            <v>G:\Habitat\OPERATIONNEL HABITAT\02- Operations\Photothèque\image non disponible.jpg</v>
          </cell>
          <cell r="EE117" t="str">
            <v>G:\Habitat\OPERATIONNEL HABITAT\02- Operations\Photothèque\image non disponible.jpg</v>
          </cell>
        </row>
        <row r="118">
          <cell r="A118" t="str">
            <v>ILOT E</v>
          </cell>
          <cell r="C118" t="str">
            <v>SUD</v>
          </cell>
          <cell r="D118" t="str">
            <v>Saint-Pierre</v>
          </cell>
          <cell r="E118" t="str">
            <v>RAVINE BLANCHE</v>
          </cell>
          <cell r="F118">
            <v>18</v>
          </cell>
          <cell r="G118" t="str">
            <v>LLS</v>
          </cell>
          <cell r="J118" t="str">
            <v>COL</v>
          </cell>
          <cell r="K118" t="str">
            <v>CF</v>
          </cell>
          <cell r="L118" t="str">
            <v>SIDR</v>
          </cell>
          <cell r="N118" t="str">
            <v>LC</v>
          </cell>
          <cell r="R118">
            <v>2012</v>
          </cell>
          <cell r="AA118" t="str">
            <v/>
          </cell>
          <cell r="AC118" t="str">
            <v/>
          </cell>
          <cell r="AI118" t="str">
            <v/>
          </cell>
          <cell r="AK118" t="str">
            <v/>
          </cell>
          <cell r="AL118">
            <v>0</v>
          </cell>
          <cell r="AQ118" t="str">
            <v/>
          </cell>
          <cell r="CJ118" t="str">
            <v>-</v>
          </cell>
          <cell r="CK118" t="str">
            <v>-</v>
          </cell>
          <cell r="CL118" t="str">
            <v>-</v>
          </cell>
          <cell r="CM118" t="str">
            <v>-</v>
          </cell>
          <cell r="CN118">
            <v>0</v>
          </cell>
          <cell r="CP118" t="str">
            <v>ANRU St Pierre</v>
          </cell>
          <cell r="CQ118" t="str">
            <v>non</v>
          </cell>
          <cell r="CX118">
            <v>0</v>
          </cell>
          <cell r="DE118">
            <v>0</v>
          </cell>
          <cell r="DJ118">
            <v>0</v>
          </cell>
          <cell r="DO118">
            <v>0</v>
          </cell>
          <cell r="DS118">
            <v>0</v>
          </cell>
          <cell r="DT118">
            <v>0</v>
          </cell>
          <cell r="DU118">
            <v>0</v>
          </cell>
          <cell r="ED118" t="str">
            <v>G:\Habitat\OPERATIONNEL HABITAT\02- Operations\Photothèque\image non disponible.jpg</v>
          </cell>
          <cell r="EE118" t="str">
            <v>G:\Habitat\OPERATIONNEL HABITAT\02- Operations\Photothèque\image non disponible.jpg</v>
          </cell>
        </row>
        <row r="119">
          <cell r="A119" t="str">
            <v>ILOT F</v>
          </cell>
          <cell r="C119" t="str">
            <v>SUD</v>
          </cell>
          <cell r="D119" t="str">
            <v>Saint-Pierre</v>
          </cell>
          <cell r="E119" t="str">
            <v>RAVINE BLANCHE</v>
          </cell>
          <cell r="F119">
            <v>40</v>
          </cell>
          <cell r="G119" t="str">
            <v>LLS</v>
          </cell>
          <cell r="J119" t="str">
            <v>COL</v>
          </cell>
          <cell r="K119" t="str">
            <v>CF</v>
          </cell>
          <cell r="L119" t="str">
            <v>SIDR</v>
          </cell>
          <cell r="N119" t="str">
            <v>LC</v>
          </cell>
          <cell r="R119">
            <v>2011</v>
          </cell>
          <cell r="T119" t="str">
            <v>Faisabilté lié à la réhabilitation du canal SORMEA</v>
          </cell>
          <cell r="AA119" t="str">
            <v/>
          </cell>
          <cell r="AC119" t="str">
            <v/>
          </cell>
          <cell r="AI119" t="str">
            <v/>
          </cell>
          <cell r="AK119" t="str">
            <v/>
          </cell>
          <cell r="AL119">
            <v>0</v>
          </cell>
          <cell r="AQ119" t="str">
            <v/>
          </cell>
          <cell r="CJ119" t="str">
            <v>-</v>
          </cell>
          <cell r="CK119" t="str">
            <v>-</v>
          </cell>
          <cell r="CL119" t="str">
            <v>-</v>
          </cell>
          <cell r="CM119" t="str">
            <v>-</v>
          </cell>
          <cell r="CN119">
            <v>0</v>
          </cell>
          <cell r="CP119" t="str">
            <v>ANRU St Pierre</v>
          </cell>
          <cell r="CQ119" t="str">
            <v>non</v>
          </cell>
          <cell r="CX119">
            <v>0</v>
          </cell>
          <cell r="DE119">
            <v>0</v>
          </cell>
          <cell r="DJ119">
            <v>0</v>
          </cell>
          <cell r="DO119">
            <v>0</v>
          </cell>
          <cell r="DS119">
            <v>0</v>
          </cell>
          <cell r="DT119">
            <v>0</v>
          </cell>
          <cell r="DU119">
            <v>0</v>
          </cell>
          <cell r="ED119" t="str">
            <v>G:\Habitat\OPERATIONNEL HABITAT\02- Operations\Photothèque\image non disponible.jpg</v>
          </cell>
          <cell r="EE119" t="str">
            <v>G:\Habitat\OPERATIONNEL HABITAT\02- Operations\Photothèque\image non disponible.jpg</v>
          </cell>
        </row>
        <row r="120">
          <cell r="A120" t="str">
            <v xml:space="preserve">ILOT G </v>
          </cell>
          <cell r="C120" t="str">
            <v>SUD</v>
          </cell>
          <cell r="D120" t="str">
            <v>Saint-Pierre</v>
          </cell>
          <cell r="E120" t="str">
            <v>RAVINE BLANCHE</v>
          </cell>
          <cell r="F120">
            <v>32</v>
          </cell>
          <cell r="G120" t="str">
            <v>LLS</v>
          </cell>
          <cell r="J120" t="str">
            <v>COL</v>
          </cell>
          <cell r="K120" t="str">
            <v>CF</v>
          </cell>
          <cell r="L120" t="str">
            <v>SIDR</v>
          </cell>
          <cell r="N120" t="str">
            <v>LC</v>
          </cell>
          <cell r="Q120" t="str">
            <v>HBM</v>
          </cell>
          <cell r="R120">
            <v>2011</v>
          </cell>
          <cell r="S120">
            <v>0</v>
          </cell>
          <cell r="V120" t="str">
            <v>A - NON LANCE</v>
          </cell>
          <cell r="X120" t="str">
            <v/>
          </cell>
          <cell r="AA120" t="str">
            <v/>
          </cell>
          <cell r="AC120" t="str">
            <v/>
          </cell>
          <cell r="AF120" t="str">
            <v/>
          </cell>
          <cell r="AI120" t="str">
            <v/>
          </cell>
          <cell r="AK120" t="str">
            <v/>
          </cell>
          <cell r="AL120">
            <v>0</v>
          </cell>
          <cell r="AM120" t="str">
            <v/>
          </cell>
          <cell r="AO120" t="str">
            <v/>
          </cell>
          <cell r="AP120" t="str">
            <v/>
          </cell>
          <cell r="AQ120" t="str">
            <v/>
          </cell>
          <cell r="BK120">
            <v>0</v>
          </cell>
          <cell r="CJ120" t="str">
            <v>-</v>
          </cell>
          <cell r="CK120" t="str">
            <v>-</v>
          </cell>
          <cell r="CL120" t="str">
            <v>-</v>
          </cell>
          <cell r="CM120" t="str">
            <v>-</v>
          </cell>
          <cell r="CN120">
            <v>0</v>
          </cell>
          <cell r="CP120" t="str">
            <v>ANRU St Pierre</v>
          </cell>
          <cell r="CQ120" t="str">
            <v>non</v>
          </cell>
          <cell r="CX120">
            <v>0</v>
          </cell>
          <cell r="DE120">
            <v>0</v>
          </cell>
          <cell r="DJ120">
            <v>0</v>
          </cell>
          <cell r="DO120">
            <v>0</v>
          </cell>
          <cell r="DS120">
            <v>0</v>
          </cell>
          <cell r="DT120">
            <v>0</v>
          </cell>
          <cell r="DU120">
            <v>0</v>
          </cell>
          <cell r="ED120" t="str">
            <v>G:\Habitat\OPERATIONNEL HABITAT\02- Operations\Photothèque\image non disponible.jpg</v>
          </cell>
          <cell r="EE120" t="str">
            <v>G:\Habitat\OPERATIONNEL HABITAT\02- Operations\Photothèque\image non disponible.jpg</v>
          </cell>
        </row>
        <row r="121">
          <cell r="A121" t="str">
            <v>ILOT L</v>
          </cell>
          <cell r="C121" t="str">
            <v>SUD</v>
          </cell>
          <cell r="D121" t="str">
            <v>Saint-Pierre</v>
          </cell>
          <cell r="E121" t="str">
            <v>RAVINE BLANCHE</v>
          </cell>
          <cell r="F121">
            <v>18</v>
          </cell>
          <cell r="G121" t="str">
            <v>LLS</v>
          </cell>
          <cell r="J121" t="str">
            <v>COL</v>
          </cell>
          <cell r="K121" t="str">
            <v>CF</v>
          </cell>
          <cell r="L121" t="str">
            <v>SIDR</v>
          </cell>
          <cell r="N121" t="str">
            <v>LC</v>
          </cell>
          <cell r="Q121" t="str">
            <v>HBM</v>
          </cell>
          <cell r="R121">
            <v>2012</v>
          </cell>
          <cell r="T121" t="str">
            <v>Foncier SIDR modifier dans le cadre de l'aménagement global</v>
          </cell>
          <cell r="V121" t="str">
            <v>A - NON LANCE</v>
          </cell>
          <cell r="AA121" t="str">
            <v/>
          </cell>
          <cell r="AC121" t="str">
            <v/>
          </cell>
          <cell r="AI121" t="str">
            <v/>
          </cell>
          <cell r="AK121" t="str">
            <v/>
          </cell>
          <cell r="AL121">
            <v>0</v>
          </cell>
          <cell r="AQ121" t="str">
            <v/>
          </cell>
          <cell r="CJ121" t="str">
            <v>-</v>
          </cell>
          <cell r="CK121" t="str">
            <v>-</v>
          </cell>
          <cell r="CL121" t="str">
            <v>-</v>
          </cell>
          <cell r="CM121" t="str">
            <v>-</v>
          </cell>
          <cell r="CN121">
            <v>0</v>
          </cell>
          <cell r="CP121" t="str">
            <v>ANRU St Pierre</v>
          </cell>
          <cell r="CQ121" t="str">
            <v>non</v>
          </cell>
          <cell r="CX121">
            <v>0</v>
          </cell>
          <cell r="DE121">
            <v>0</v>
          </cell>
          <cell r="DJ121">
            <v>0</v>
          </cell>
          <cell r="DO121">
            <v>0</v>
          </cell>
          <cell r="DS121">
            <v>0</v>
          </cell>
          <cell r="DT121">
            <v>0</v>
          </cell>
          <cell r="DU121">
            <v>0</v>
          </cell>
          <cell r="ED121" t="str">
            <v>G:\Habitat\OPERATIONNEL HABITAT\02- Operations\Photothèque\image non disponible.jpg</v>
          </cell>
          <cell r="EE121" t="str">
            <v>G:\Habitat\OPERATIONNEL HABITAT\02- Operations\Photothèque\image non disponible.jpg</v>
          </cell>
        </row>
        <row r="122">
          <cell r="A122" t="str">
            <v>ILOT  M</v>
          </cell>
          <cell r="C122" t="str">
            <v>SUD</v>
          </cell>
          <cell r="D122" t="str">
            <v>Saint-Pierre</v>
          </cell>
          <cell r="E122" t="str">
            <v>RAVINE BLANCHE</v>
          </cell>
          <cell r="F122">
            <v>18</v>
          </cell>
          <cell r="G122" t="str">
            <v>LLS</v>
          </cell>
          <cell r="J122" t="str">
            <v>COL</v>
          </cell>
          <cell r="K122" t="str">
            <v>CF</v>
          </cell>
          <cell r="L122" t="str">
            <v>SIDR</v>
          </cell>
          <cell r="N122" t="str">
            <v>LC</v>
          </cell>
          <cell r="Q122" t="str">
            <v>HBM</v>
          </cell>
          <cell r="R122">
            <v>2012</v>
          </cell>
          <cell r="T122" t="str">
            <v>Foncier SIDR modifier dans le cadre de l'aménagement global</v>
          </cell>
          <cell r="V122" t="str">
            <v>A - NON LANCE</v>
          </cell>
          <cell r="AA122" t="str">
            <v/>
          </cell>
          <cell r="AC122" t="str">
            <v/>
          </cell>
          <cell r="AI122" t="str">
            <v/>
          </cell>
          <cell r="AK122" t="str">
            <v/>
          </cell>
          <cell r="AL122">
            <v>0</v>
          </cell>
          <cell r="AQ122" t="str">
            <v/>
          </cell>
          <cell r="CJ122" t="str">
            <v>-</v>
          </cell>
          <cell r="CK122" t="str">
            <v>-</v>
          </cell>
          <cell r="CL122" t="str">
            <v>-</v>
          </cell>
          <cell r="CM122" t="str">
            <v>-</v>
          </cell>
          <cell r="CN122">
            <v>0</v>
          </cell>
          <cell r="CP122" t="str">
            <v>ANRU St Pierre</v>
          </cell>
          <cell r="CQ122" t="str">
            <v>non</v>
          </cell>
          <cell r="CX122">
            <v>0</v>
          </cell>
          <cell r="DE122">
            <v>0</v>
          </cell>
          <cell r="DJ122">
            <v>0</v>
          </cell>
          <cell r="DO122">
            <v>0</v>
          </cell>
          <cell r="DS122">
            <v>0</v>
          </cell>
          <cell r="DT122">
            <v>0</v>
          </cell>
          <cell r="DU122">
            <v>0</v>
          </cell>
          <cell r="ED122" t="str">
            <v>G:\Habitat\OPERATIONNEL HABITAT\02- Operations\Photothèque\image non disponible.jpg</v>
          </cell>
          <cell r="EE122" t="str">
            <v>G:\Habitat\OPERATIONNEL HABITAT\02- Operations\Photothèque\image non disponible.jpg</v>
          </cell>
        </row>
        <row r="123">
          <cell r="A123" t="str">
            <v>ILOT N</v>
          </cell>
          <cell r="C123" t="str">
            <v>SUD</v>
          </cell>
          <cell r="D123" t="str">
            <v>Saint-Pierre</v>
          </cell>
          <cell r="E123" t="str">
            <v>RAVINE BLANCHE</v>
          </cell>
          <cell r="F123">
            <v>18</v>
          </cell>
          <cell r="G123" t="str">
            <v>LLS</v>
          </cell>
          <cell r="J123" t="str">
            <v>COL</v>
          </cell>
          <cell r="K123" t="str">
            <v>CF</v>
          </cell>
          <cell r="L123" t="str">
            <v>SIDR</v>
          </cell>
          <cell r="N123" t="str">
            <v>LC</v>
          </cell>
          <cell r="Q123" t="str">
            <v>HBM</v>
          </cell>
          <cell r="R123">
            <v>2012</v>
          </cell>
          <cell r="T123" t="str">
            <v>Foncier SIDR modifier dans le cadre de l'aménagement global</v>
          </cell>
          <cell r="V123" t="str">
            <v>A - NON LANCE</v>
          </cell>
          <cell r="AA123" t="str">
            <v/>
          </cell>
          <cell r="AC123" t="str">
            <v/>
          </cell>
          <cell r="AI123" t="str">
            <v/>
          </cell>
          <cell r="AK123" t="str">
            <v/>
          </cell>
          <cell r="AL123">
            <v>0</v>
          </cell>
          <cell r="AQ123" t="str">
            <v/>
          </cell>
          <cell r="CJ123" t="str">
            <v>-</v>
          </cell>
          <cell r="CK123" t="str">
            <v>-</v>
          </cell>
          <cell r="CL123" t="str">
            <v>-</v>
          </cell>
          <cell r="CM123" t="str">
            <v>-</v>
          </cell>
          <cell r="CN123">
            <v>0</v>
          </cell>
          <cell r="CP123" t="str">
            <v>ANRU St Pierre</v>
          </cell>
          <cell r="CQ123" t="str">
            <v>non</v>
          </cell>
          <cell r="CX123">
            <v>0</v>
          </cell>
          <cell r="DE123">
            <v>0</v>
          </cell>
          <cell r="DJ123">
            <v>0</v>
          </cell>
          <cell r="DO123">
            <v>0</v>
          </cell>
          <cell r="DS123">
            <v>0</v>
          </cell>
          <cell r="DT123">
            <v>0</v>
          </cell>
          <cell r="DU123">
            <v>0</v>
          </cell>
          <cell r="ED123" t="str">
            <v>G:\Habitat\OPERATIONNEL HABITAT\02- Operations\Photothèque\image non disponible.jpg</v>
          </cell>
          <cell r="EE123" t="str">
            <v>G:\Habitat\OPERATIONNEL HABITAT\02- Operations\Photothèque\image non disponible.jpg</v>
          </cell>
        </row>
        <row r="124">
          <cell r="A124" t="str">
            <v>ILOT TEST(KARLY 1)</v>
          </cell>
          <cell r="C124" t="str">
            <v>OUEST</v>
          </cell>
          <cell r="D124" t="str">
            <v>Saint-Paul</v>
          </cell>
          <cell r="E124" t="str">
            <v>TOURNAN KARLY</v>
          </cell>
          <cell r="F124">
            <v>180</v>
          </cell>
          <cell r="G124" t="str">
            <v>nd</v>
          </cell>
          <cell r="J124" t="str">
            <v>COL</v>
          </cell>
          <cell r="K124" t="str">
            <v>CF</v>
          </cell>
          <cell r="L124" t="str">
            <v>SIDR</v>
          </cell>
          <cell r="M124" t="str">
            <v>maitrisé</v>
          </cell>
          <cell r="N124" t="str">
            <v>PC</v>
          </cell>
          <cell r="O124" t="str">
            <v>DL</v>
          </cell>
          <cell r="Q124" t="str">
            <v>CP</v>
          </cell>
          <cell r="R124">
            <v>2011</v>
          </cell>
          <cell r="S124">
            <v>0</v>
          </cell>
          <cell r="T124" t="str">
            <v>Attente dossier aménageur pour mi juin 2010 - (attention absence de PLU validé sur la zone)</v>
          </cell>
          <cell r="U124" t="str">
            <v>procedure formalisée</v>
          </cell>
          <cell r="V124" t="str">
            <v>C - PROGRAMME</v>
          </cell>
          <cell r="X124" t="str">
            <v/>
          </cell>
          <cell r="AA124" t="str">
            <v/>
          </cell>
          <cell r="AC124" t="str">
            <v/>
          </cell>
          <cell r="AF124" t="str">
            <v/>
          </cell>
          <cell r="AI124" t="str">
            <v/>
          </cell>
          <cell r="AK124" t="str">
            <v/>
          </cell>
          <cell r="AL124">
            <v>0</v>
          </cell>
          <cell r="AM124" t="str">
            <v/>
          </cell>
          <cell r="AO124" t="str">
            <v/>
          </cell>
          <cell r="AP124" t="str">
            <v/>
          </cell>
          <cell r="AQ124" t="str">
            <v/>
          </cell>
          <cell r="CJ124" t="str">
            <v>-</v>
          </cell>
          <cell r="CK124" t="str">
            <v>-</v>
          </cell>
          <cell r="CL124" t="str">
            <v>-</v>
          </cell>
          <cell r="CM124" t="str">
            <v>-</v>
          </cell>
          <cell r="CN124">
            <v>0</v>
          </cell>
          <cell r="CQ124" t="str">
            <v>non</v>
          </cell>
          <cell r="CX124">
            <v>0</v>
          </cell>
          <cell r="DE124">
            <v>0</v>
          </cell>
          <cell r="DJ124">
            <v>0</v>
          </cell>
          <cell r="DO124">
            <v>0</v>
          </cell>
          <cell r="DS124">
            <v>0</v>
          </cell>
          <cell r="DT124">
            <v>0</v>
          </cell>
          <cell r="DU124">
            <v>0</v>
          </cell>
          <cell r="ED124" t="str">
            <v>G:\Habitat\OPERATIONNEL HABITAT\02- Operations\Photothèque\image non disponible.jpg</v>
          </cell>
          <cell r="EE124" t="str">
            <v>G:\Habitat\OPERATIONNEL HABITAT\02- Operations\Photothèque\image non disponible.jpg</v>
          </cell>
        </row>
        <row r="125">
          <cell r="A125" t="str">
            <v>ILOT X</v>
          </cell>
          <cell r="C125" t="str">
            <v>SUD</v>
          </cell>
          <cell r="D125" t="str">
            <v>Saint-Pierre</v>
          </cell>
          <cell r="E125" t="str">
            <v>RAVINE BLANCHE</v>
          </cell>
          <cell r="F125">
            <v>18</v>
          </cell>
          <cell r="G125" t="str">
            <v>LLS</v>
          </cell>
          <cell r="J125" t="str">
            <v>COL</v>
          </cell>
          <cell r="K125" t="str">
            <v>CF</v>
          </cell>
          <cell r="L125" t="str">
            <v>SIDR</v>
          </cell>
          <cell r="N125" t="str">
            <v>LC</v>
          </cell>
          <cell r="R125">
            <v>2010</v>
          </cell>
          <cell r="T125" t="str">
            <v>Voie non modifiée</v>
          </cell>
          <cell r="AA125" t="str">
            <v/>
          </cell>
          <cell r="AC125" t="str">
            <v/>
          </cell>
          <cell r="AI125" t="str">
            <v/>
          </cell>
          <cell r="AK125" t="str">
            <v/>
          </cell>
          <cell r="AL125">
            <v>0</v>
          </cell>
          <cell r="AQ125" t="str">
            <v/>
          </cell>
          <cell r="CJ125" t="str">
            <v>-</v>
          </cell>
          <cell r="CK125" t="str">
            <v>-</v>
          </cell>
          <cell r="CL125" t="str">
            <v>-</v>
          </cell>
          <cell r="CM125" t="str">
            <v>-</v>
          </cell>
          <cell r="CN125">
            <v>0</v>
          </cell>
          <cell r="CP125" t="str">
            <v>ANRU St Pierre</v>
          </cell>
          <cell r="CQ125" t="str">
            <v>non</v>
          </cell>
          <cell r="CX125">
            <v>0</v>
          </cell>
          <cell r="DE125">
            <v>0</v>
          </cell>
          <cell r="DJ125">
            <v>0</v>
          </cell>
          <cell r="DO125">
            <v>0</v>
          </cell>
          <cell r="DS125">
            <v>0</v>
          </cell>
          <cell r="DT125">
            <v>0</v>
          </cell>
          <cell r="DU125">
            <v>0</v>
          </cell>
          <cell r="ED125" t="str">
            <v>G:\Habitat\OPERATIONNEL HABITAT\02- Operations\Photothèque\image non disponible.jpg</v>
          </cell>
          <cell r="EE125" t="str">
            <v>G:\Habitat\OPERATIONNEL HABITAT\02- Operations\Photothèque\image non disponible.jpg</v>
          </cell>
        </row>
        <row r="126">
          <cell r="A126" t="str">
            <v>ILOT H</v>
          </cell>
          <cell r="C126" t="str">
            <v>SUD</v>
          </cell>
          <cell r="D126" t="str">
            <v>Saint-Pierre</v>
          </cell>
          <cell r="E126" t="str">
            <v>RAVINE BLANCHE</v>
          </cell>
          <cell r="F126">
            <v>30</v>
          </cell>
          <cell r="G126" t="str">
            <v>LLS</v>
          </cell>
          <cell r="J126" t="str">
            <v>COL</v>
          </cell>
          <cell r="K126" t="str">
            <v>CF</v>
          </cell>
          <cell r="L126" t="str">
            <v>SIDR</v>
          </cell>
          <cell r="N126" t="str">
            <v>LC</v>
          </cell>
          <cell r="Q126" t="str">
            <v>HBM</v>
          </cell>
          <cell r="R126">
            <v>2011</v>
          </cell>
          <cell r="V126" t="str">
            <v>A - NON LANCE</v>
          </cell>
          <cell r="X126" t="str">
            <v/>
          </cell>
          <cell r="AA126" t="str">
            <v/>
          </cell>
          <cell r="AC126" t="str">
            <v/>
          </cell>
          <cell r="AF126" t="str">
            <v/>
          </cell>
          <cell r="AI126" t="str">
            <v/>
          </cell>
          <cell r="AK126" t="str">
            <v/>
          </cell>
          <cell r="AL126">
            <v>0</v>
          </cell>
          <cell r="AM126" t="str">
            <v/>
          </cell>
          <cell r="AO126" t="str">
            <v/>
          </cell>
          <cell r="AP126" t="str">
            <v/>
          </cell>
          <cell r="AQ126" t="str">
            <v/>
          </cell>
          <cell r="CJ126" t="str">
            <v>-</v>
          </cell>
          <cell r="CK126" t="str">
            <v>-</v>
          </cell>
          <cell r="CL126" t="str">
            <v>-</v>
          </cell>
          <cell r="CM126" t="str">
            <v>-</v>
          </cell>
          <cell r="CN126">
            <v>0</v>
          </cell>
          <cell r="CP126" t="str">
            <v>ANRU St Pierre</v>
          </cell>
          <cell r="CQ126" t="str">
            <v>non</v>
          </cell>
          <cell r="CX126">
            <v>0</v>
          </cell>
          <cell r="DE126">
            <v>0</v>
          </cell>
          <cell r="DJ126">
            <v>0</v>
          </cell>
          <cell r="DO126">
            <v>0</v>
          </cell>
          <cell r="DS126">
            <v>0</v>
          </cell>
          <cell r="DT126">
            <v>0</v>
          </cell>
          <cell r="DU126">
            <v>0</v>
          </cell>
          <cell r="ED126" t="str">
            <v>G:\Habitat\OPERATIONNEL HABITAT\02- Operations\Photothèque\image non disponible.jpg</v>
          </cell>
          <cell r="EE126" t="str">
            <v>G:\Habitat\OPERATIONNEL HABITAT\02- Operations\Photothèque\image non disponible.jpg</v>
          </cell>
        </row>
        <row r="127">
          <cell r="A127" t="str">
            <v>ILOT I</v>
          </cell>
          <cell r="C127" t="str">
            <v>SUD</v>
          </cell>
          <cell r="D127" t="str">
            <v>Saint-Pierre</v>
          </cell>
          <cell r="E127" t="str">
            <v>RAVINE BLANCHE</v>
          </cell>
          <cell r="F127">
            <v>51</v>
          </cell>
          <cell r="G127" t="str">
            <v>PLS</v>
          </cell>
          <cell r="J127" t="str">
            <v>COL</v>
          </cell>
          <cell r="K127" t="str">
            <v>CF</v>
          </cell>
          <cell r="L127" t="str">
            <v>SIDR</v>
          </cell>
          <cell r="N127" t="str">
            <v>LC</v>
          </cell>
          <cell r="Q127" t="str">
            <v>HBM</v>
          </cell>
          <cell r="R127">
            <v>2011</v>
          </cell>
          <cell r="V127" t="str">
            <v>A - NON LANCE</v>
          </cell>
          <cell r="X127" t="str">
            <v/>
          </cell>
          <cell r="AA127" t="str">
            <v/>
          </cell>
          <cell r="AC127" t="str">
            <v/>
          </cell>
          <cell r="AF127" t="str">
            <v/>
          </cell>
          <cell r="AI127" t="str">
            <v/>
          </cell>
          <cell r="AK127" t="str">
            <v/>
          </cell>
          <cell r="AL127">
            <v>0</v>
          </cell>
          <cell r="AM127" t="str">
            <v/>
          </cell>
          <cell r="AO127" t="str">
            <v/>
          </cell>
          <cell r="AP127" t="str">
            <v/>
          </cell>
          <cell r="AQ127" t="str">
            <v/>
          </cell>
          <cell r="CJ127" t="str">
            <v>-</v>
          </cell>
          <cell r="CK127" t="str">
            <v>-</v>
          </cell>
          <cell r="CL127" t="str">
            <v>-</v>
          </cell>
          <cell r="CM127" t="str">
            <v>-</v>
          </cell>
          <cell r="CN127">
            <v>0</v>
          </cell>
          <cell r="CP127" t="str">
            <v>ANRU St Pierre</v>
          </cell>
          <cell r="CQ127" t="str">
            <v>non</v>
          </cell>
          <cell r="CX127">
            <v>0</v>
          </cell>
          <cell r="DE127">
            <v>0</v>
          </cell>
          <cell r="DJ127">
            <v>0</v>
          </cell>
          <cell r="DO127">
            <v>0</v>
          </cell>
          <cell r="DS127">
            <v>0</v>
          </cell>
          <cell r="DT127">
            <v>0</v>
          </cell>
          <cell r="DU127">
            <v>0</v>
          </cell>
          <cell r="ED127" t="str">
            <v>G:\Habitat\OPERATIONNEL HABITAT\02- Operations\Photothèque\image non disponible.jpg</v>
          </cell>
          <cell r="EE127" t="str">
            <v>G:\Habitat\OPERATIONNEL HABITAT\02- Operations\Photothèque\image non disponible.jpg</v>
          </cell>
        </row>
        <row r="128">
          <cell r="A128" t="str">
            <v>ILOT Y</v>
          </cell>
          <cell r="C128" t="str">
            <v>SUD</v>
          </cell>
          <cell r="D128" t="str">
            <v>Saint-Pierre</v>
          </cell>
          <cell r="E128" t="str">
            <v>RAVINE BLANCHE</v>
          </cell>
          <cell r="F128">
            <v>30</v>
          </cell>
          <cell r="G128" t="str">
            <v>LLS</v>
          </cell>
          <cell r="J128" t="str">
            <v>COL</v>
          </cell>
          <cell r="K128" t="str">
            <v>CF</v>
          </cell>
          <cell r="L128" t="str">
            <v>SIDR</v>
          </cell>
          <cell r="N128" t="str">
            <v>LC</v>
          </cell>
          <cell r="Q128" t="str">
            <v>HBM</v>
          </cell>
          <cell r="R128">
            <v>2012</v>
          </cell>
          <cell r="T128" t="str">
            <v>Foncier SIDR modifier dans le cadre de l'aménagement global</v>
          </cell>
          <cell r="V128" t="str">
            <v>A - NON LANCE</v>
          </cell>
          <cell r="X128" t="str">
            <v/>
          </cell>
          <cell r="AA128" t="str">
            <v/>
          </cell>
          <cell r="AC128" t="str">
            <v/>
          </cell>
          <cell r="AF128" t="str">
            <v/>
          </cell>
          <cell r="AI128" t="str">
            <v/>
          </cell>
          <cell r="AK128" t="str">
            <v/>
          </cell>
          <cell r="AL128">
            <v>0</v>
          </cell>
          <cell r="AM128" t="str">
            <v/>
          </cell>
          <cell r="AO128" t="str">
            <v/>
          </cell>
          <cell r="AP128" t="str">
            <v/>
          </cell>
          <cell r="AQ128" t="str">
            <v/>
          </cell>
          <cell r="CJ128" t="str">
            <v>-</v>
          </cell>
          <cell r="CK128" t="str">
            <v>-</v>
          </cell>
          <cell r="CL128" t="str">
            <v>-</v>
          </cell>
          <cell r="CM128" t="str">
            <v>-</v>
          </cell>
          <cell r="CN128">
            <v>0</v>
          </cell>
          <cell r="CP128" t="str">
            <v>ANRU St Pierre</v>
          </cell>
          <cell r="CQ128" t="str">
            <v>non</v>
          </cell>
          <cell r="CX128">
            <v>0</v>
          </cell>
          <cell r="DE128">
            <v>0</v>
          </cell>
          <cell r="DJ128">
            <v>0</v>
          </cell>
          <cell r="DO128">
            <v>0</v>
          </cell>
          <cell r="DS128">
            <v>0</v>
          </cell>
          <cell r="DT128">
            <v>0</v>
          </cell>
          <cell r="DU128">
            <v>0</v>
          </cell>
          <cell r="ED128" t="str">
            <v>G:\Habitat\OPERATIONNEL HABITAT\02- Operations\Photothèque\image non disponible.jpg</v>
          </cell>
          <cell r="EE128" t="str">
            <v>G:\Habitat\OPERATIONNEL HABITAT\02- Operations\Photothèque\image non disponible.jpg</v>
          </cell>
        </row>
        <row r="129">
          <cell r="A129" t="str">
            <v>ILOTS 2.2 ALDABRA</v>
          </cell>
          <cell r="C129" t="str">
            <v>SUD</v>
          </cell>
          <cell r="D129" t="str">
            <v>Saint-Pierre</v>
          </cell>
          <cell r="E129" t="str">
            <v>MAIL CENTRE VILLE</v>
          </cell>
          <cell r="F129">
            <v>42</v>
          </cell>
          <cell r="G129" t="str">
            <v>LLS</v>
          </cell>
          <cell r="J129" t="str">
            <v>COL</v>
          </cell>
          <cell r="K129" t="str">
            <v>CF</v>
          </cell>
          <cell r="L129" t="str">
            <v>SIDR</v>
          </cell>
          <cell r="M129" t="str">
            <v>maitrisé</v>
          </cell>
          <cell r="N129" t="str">
            <v>LC</v>
          </cell>
          <cell r="O129" t="str">
            <v>CA</v>
          </cell>
          <cell r="P129" t="str">
            <v>AM</v>
          </cell>
          <cell r="Q129" t="str">
            <v>HBM</v>
          </cell>
          <cell r="R129">
            <v>2009</v>
          </cell>
          <cell r="S129">
            <v>0.25</v>
          </cell>
          <cell r="T129" t="str">
            <v>Dation commerces</v>
          </cell>
          <cell r="U129" t="str">
            <v>procedure formalisée</v>
          </cell>
          <cell r="V129" t="str">
            <v>C - PROGRAMME</v>
          </cell>
          <cell r="W129">
            <v>39994</v>
          </cell>
          <cell r="X129" t="str">
            <v/>
          </cell>
          <cell r="Z129">
            <v>40071</v>
          </cell>
          <cell r="AA129" t="str">
            <v/>
          </cell>
          <cell r="AB129">
            <v>39598</v>
          </cell>
          <cell r="AC129" t="str">
            <v>v</v>
          </cell>
          <cell r="AE129">
            <v>40082</v>
          </cell>
          <cell r="AF129" t="str">
            <v/>
          </cell>
          <cell r="AH129">
            <v>40040</v>
          </cell>
          <cell r="AI129" t="str">
            <v/>
          </cell>
          <cell r="AJ129">
            <v>40224</v>
          </cell>
          <cell r="AK129" t="str">
            <v/>
          </cell>
          <cell r="AL129">
            <v>6.0494476591267752</v>
          </cell>
          <cell r="AM129">
            <v>2010</v>
          </cell>
          <cell r="AN129">
            <v>17</v>
          </cell>
          <cell r="AO129">
            <v>40739</v>
          </cell>
          <cell r="AP129">
            <v>40754</v>
          </cell>
          <cell r="AQ129" t="str">
            <v/>
          </cell>
          <cell r="AR129">
            <v>2011</v>
          </cell>
          <cell r="BK129">
            <v>0</v>
          </cell>
          <cell r="BL129">
            <v>6.13</v>
          </cell>
          <cell r="CJ129" t="str">
            <v>A déterminer</v>
          </cell>
          <cell r="CK129" t="str">
            <v>INFI</v>
          </cell>
          <cell r="CL129" t="str">
            <v>-</v>
          </cell>
          <cell r="CM129" t="str">
            <v>-</v>
          </cell>
          <cell r="CN129">
            <v>0</v>
          </cell>
          <cell r="CQ129" t="str">
            <v>non</v>
          </cell>
          <cell r="CX129">
            <v>0</v>
          </cell>
          <cell r="DE129">
            <v>0</v>
          </cell>
          <cell r="DJ129">
            <v>0</v>
          </cell>
          <cell r="DO129">
            <v>0</v>
          </cell>
          <cell r="DS129">
            <v>0</v>
          </cell>
          <cell r="DT129">
            <v>0</v>
          </cell>
          <cell r="DU129">
            <v>0</v>
          </cell>
          <cell r="ED129" t="str">
            <v>G:\Habitat\OPERATIONNEL HABITAT\02- Operations\Photothèque\image non disponible.jpg</v>
          </cell>
          <cell r="EE129" t="str">
            <v>G:\Habitat\OPERATIONNEL HABITAT\02- Operations\Photothèque\image non disponible.jpg</v>
          </cell>
        </row>
        <row r="130">
          <cell r="A130" t="str">
            <v>ILOTS ACC</v>
          </cell>
          <cell r="C130" t="str">
            <v>SUD</v>
          </cell>
          <cell r="D130" t="str">
            <v>Saint-Pierre</v>
          </cell>
          <cell r="E130" t="str">
            <v>MAIL CENTRE VILLE</v>
          </cell>
          <cell r="F130">
            <v>24</v>
          </cell>
          <cell r="G130" t="str">
            <v>ACC</v>
          </cell>
          <cell r="J130" t="str">
            <v>COL</v>
          </cell>
          <cell r="K130" t="str">
            <v>CF</v>
          </cell>
          <cell r="L130" t="str">
            <v>SIDR</v>
          </cell>
          <cell r="N130" t="str">
            <v>N.A.</v>
          </cell>
          <cell r="P130" t="str">
            <v>NA</v>
          </cell>
          <cell r="Q130" t="str">
            <v>HBM</v>
          </cell>
          <cell r="R130" t="str">
            <v>non prog</v>
          </cell>
          <cell r="T130" t="str">
            <v>Attribution remise en cause par la ville</v>
          </cell>
          <cell r="U130" t="str">
            <v>2APMR</v>
          </cell>
          <cell r="V130" t="str">
            <v>C - PROGRAMME</v>
          </cell>
          <cell r="W130">
            <v>39902</v>
          </cell>
          <cell r="AA130" t="str">
            <v/>
          </cell>
          <cell r="AB130">
            <v>39887</v>
          </cell>
          <cell r="AC130" t="str">
            <v>v</v>
          </cell>
          <cell r="AD130">
            <v>39963</v>
          </cell>
          <cell r="AE130">
            <v>40024</v>
          </cell>
          <cell r="AH130">
            <v>40009</v>
          </cell>
          <cell r="AI130" t="str">
            <v/>
          </cell>
          <cell r="AJ130">
            <v>40193</v>
          </cell>
          <cell r="AK130" t="str">
            <v/>
          </cell>
          <cell r="AL130">
            <v>6.0494476591267752</v>
          </cell>
          <cell r="AM130">
            <v>2010</v>
          </cell>
          <cell r="AN130">
            <v>15</v>
          </cell>
          <cell r="AO130">
            <v>40648</v>
          </cell>
          <cell r="AP130">
            <v>40663</v>
          </cell>
          <cell r="AQ130" t="str">
            <v/>
          </cell>
          <cell r="AR130">
            <v>2011</v>
          </cell>
          <cell r="CJ130" t="str">
            <v>-</v>
          </cell>
          <cell r="CK130" t="str">
            <v>-</v>
          </cell>
          <cell r="CL130" t="str">
            <v>-</v>
          </cell>
          <cell r="CM130" t="str">
            <v>-</v>
          </cell>
          <cell r="CN130">
            <v>0</v>
          </cell>
          <cell r="CQ130" t="str">
            <v>non</v>
          </cell>
          <cell r="CX130">
            <v>0</v>
          </cell>
          <cell r="DE130">
            <v>0</v>
          </cell>
          <cell r="DJ130">
            <v>0</v>
          </cell>
          <cell r="DO130">
            <v>0</v>
          </cell>
          <cell r="DS130">
            <v>0</v>
          </cell>
          <cell r="DT130">
            <v>0</v>
          </cell>
          <cell r="DU130">
            <v>0</v>
          </cell>
          <cell r="ED130" t="str">
            <v>G:\Habitat\OPERATIONNEL HABITAT\02- Operations\Photothèque\image non disponible.jpg</v>
          </cell>
          <cell r="EE130" t="str">
            <v>G:\Habitat\OPERATIONNEL HABITAT\02- Operations\Photothèque\image non disponible.jpg</v>
          </cell>
        </row>
        <row r="131">
          <cell r="A131" t="str">
            <v>INDIRA GANDHI(ex GROIX)</v>
          </cell>
          <cell r="B131">
            <v>9540</v>
          </cell>
          <cell r="C131" t="str">
            <v>SUD</v>
          </cell>
          <cell r="D131" t="str">
            <v>Saint-Louis</v>
          </cell>
          <cell r="E131" t="str">
            <v>ZAC AVENIR</v>
          </cell>
          <cell r="F131">
            <v>55</v>
          </cell>
          <cell r="G131" t="str">
            <v>LLTS</v>
          </cell>
          <cell r="J131" t="str">
            <v>COL</v>
          </cell>
          <cell r="K131" t="str">
            <v>CF</v>
          </cell>
          <cell r="L131" t="str">
            <v>SIDR</v>
          </cell>
          <cell r="N131" t="str">
            <v>PC</v>
          </cell>
          <cell r="O131" t="str">
            <v>DL</v>
          </cell>
          <cell r="P131" t="str">
            <v>CS</v>
          </cell>
          <cell r="Q131" t="str">
            <v>HBM</v>
          </cell>
          <cell r="R131">
            <v>2004</v>
          </cell>
          <cell r="T131" t="str">
            <v>VISITE GPA le 27/11/2007</v>
          </cell>
          <cell r="U131" t="str">
            <v>ESPACE CREATION</v>
          </cell>
          <cell r="V131" t="str">
            <v>M - LIVRE/GPA</v>
          </cell>
          <cell r="W131">
            <v>38170</v>
          </cell>
          <cell r="X131" t="str">
            <v>d</v>
          </cell>
          <cell r="Y131" t="str">
            <v>97441404A0304</v>
          </cell>
          <cell r="Z131">
            <v>38421</v>
          </cell>
          <cell r="AA131" t="str">
            <v>o</v>
          </cell>
          <cell r="AB131" t="str">
            <v>validé</v>
          </cell>
          <cell r="AC131" t="str">
            <v/>
          </cell>
          <cell r="AD131">
            <v>38511</v>
          </cell>
          <cell r="AE131">
            <v>38223</v>
          </cell>
          <cell r="AF131" t="str">
            <v>f</v>
          </cell>
          <cell r="AG131">
            <v>38450</v>
          </cell>
          <cell r="AH131">
            <v>38313</v>
          </cell>
          <cell r="AI131" t="str">
            <v>ao</v>
          </cell>
          <cell r="AJ131">
            <v>38523</v>
          </cell>
          <cell r="AK131" t="str">
            <v/>
          </cell>
          <cell r="AL131">
            <v>6.9042609153077326</v>
          </cell>
          <cell r="AM131">
            <v>2005</v>
          </cell>
          <cell r="AN131">
            <v>16</v>
          </cell>
          <cell r="AO131">
            <v>39010</v>
          </cell>
          <cell r="AP131">
            <v>39065</v>
          </cell>
          <cell r="AQ131" t="str">
            <v>li</v>
          </cell>
          <cell r="AR131">
            <v>2006</v>
          </cell>
          <cell r="AW131">
            <v>19</v>
          </cell>
          <cell r="AX131">
            <v>57</v>
          </cell>
          <cell r="BA131">
            <v>24</v>
          </cell>
          <cell r="BB131">
            <v>69</v>
          </cell>
          <cell r="BE131">
            <v>9</v>
          </cell>
          <cell r="BF131">
            <v>79</v>
          </cell>
          <cell r="BI131">
            <v>3</v>
          </cell>
          <cell r="BJ131">
            <v>92</v>
          </cell>
          <cell r="BK131">
            <v>55</v>
          </cell>
          <cell r="BL131">
            <v>4.09</v>
          </cell>
          <cell r="BM131">
            <v>0.82</v>
          </cell>
          <cell r="BN131">
            <v>0.2</v>
          </cell>
          <cell r="BO131" t="str">
            <v>signée</v>
          </cell>
          <cell r="BP131">
            <v>0.8</v>
          </cell>
          <cell r="BQ131" t="str">
            <v>signée</v>
          </cell>
          <cell r="BR131" t="str">
            <v>CAF</v>
          </cell>
          <cell r="BT131" t="str">
            <v>signée</v>
          </cell>
          <cell r="BX131" t="str">
            <v>signé</v>
          </cell>
          <cell r="BY131">
            <v>4105</v>
          </cell>
          <cell r="BZ131">
            <v>5546</v>
          </cell>
          <cell r="CA131">
            <v>3801.22</v>
          </cell>
          <cell r="CE131" t="str">
            <v>ECS ind</v>
          </cell>
          <cell r="CF131">
            <v>141813.66</v>
          </cell>
          <cell r="CG131">
            <v>42544.097999999998</v>
          </cell>
          <cell r="CH131">
            <v>63816.146999999997</v>
          </cell>
          <cell r="CI131">
            <v>35453.415000000001</v>
          </cell>
          <cell r="CJ131" t="str">
            <v>-</v>
          </cell>
          <cell r="CK131" t="str">
            <v>-</v>
          </cell>
          <cell r="CL131" t="str">
            <v>-</v>
          </cell>
          <cell r="CM131" t="str">
            <v>-</v>
          </cell>
          <cell r="CN131">
            <v>0</v>
          </cell>
          <cell r="CQ131" t="str">
            <v>oui</v>
          </cell>
          <cell r="CR131">
            <v>423055</v>
          </cell>
          <cell r="CT131">
            <v>2927051</v>
          </cell>
          <cell r="CX131">
            <v>3350106</v>
          </cell>
          <cell r="DE131">
            <v>106360.245</v>
          </cell>
          <cell r="DJ131">
            <v>106360.245</v>
          </cell>
          <cell r="DO131">
            <v>0</v>
          </cell>
          <cell r="DQ131">
            <v>107500</v>
          </cell>
          <cell r="DR131">
            <v>40453</v>
          </cell>
          <cell r="DS131">
            <v>147953</v>
          </cell>
          <cell r="DT131">
            <v>295906</v>
          </cell>
          <cell r="DU131">
            <v>-2947839.7549999999</v>
          </cell>
          <cell r="ED131" t="str">
            <v>G:\Habitat\OPERATIONNEL HABITAT\02- Operations\Photothèque\images locatifs\Groix\insertion groix 24-06-04.jpg</v>
          </cell>
          <cell r="EE131" t="str">
            <v>G:\Habitat\OPERATIONNEL HABITAT\02- Operations\Photothèque\image non disponible.jpg</v>
          </cell>
        </row>
        <row r="132">
          <cell r="A132" t="str">
            <v>JAVA</v>
          </cell>
          <cell r="B132">
            <v>9686</v>
          </cell>
          <cell r="C132" t="str">
            <v>SUD</v>
          </cell>
          <cell r="D132" t="str">
            <v>Saint-Louis</v>
          </cell>
          <cell r="E132" t="str">
            <v>ZAC AVENIR</v>
          </cell>
          <cell r="F132">
            <v>27</v>
          </cell>
          <cell r="G132" t="str">
            <v>LLTS</v>
          </cell>
          <cell r="J132" t="str">
            <v>COL</v>
          </cell>
          <cell r="K132" t="str">
            <v>CF</v>
          </cell>
          <cell r="L132" t="str">
            <v>SIDR</v>
          </cell>
          <cell r="M132" t="str">
            <v>maitrisé</v>
          </cell>
          <cell r="N132" t="str">
            <v>JEM</v>
          </cell>
          <cell r="O132" t="str">
            <v>DL</v>
          </cell>
          <cell r="P132" t="str">
            <v>CS</v>
          </cell>
          <cell r="Q132" t="str">
            <v>HBM</v>
          </cell>
          <cell r="R132">
            <v>2007</v>
          </cell>
          <cell r="S132">
            <v>1</v>
          </cell>
          <cell r="U132" t="str">
            <v>BERTIN LEBEIGLE</v>
          </cell>
          <cell r="V132" t="str">
            <v>L - CHANTIER EN COURS</v>
          </cell>
          <cell r="W132">
            <v>39130</v>
          </cell>
          <cell r="X132" t="str">
            <v>d</v>
          </cell>
          <cell r="Y132" t="str">
            <v>97441407A0200</v>
          </cell>
          <cell r="Z132">
            <v>39385</v>
          </cell>
          <cell r="AA132" t="str">
            <v>o</v>
          </cell>
          <cell r="AB132">
            <v>39170</v>
          </cell>
          <cell r="AC132" t="str">
            <v>v</v>
          </cell>
          <cell r="AD132">
            <v>39231</v>
          </cell>
          <cell r="AE132">
            <v>39314</v>
          </cell>
          <cell r="AF132" t="str">
            <v>f</v>
          </cell>
          <cell r="AG132">
            <v>39429</v>
          </cell>
          <cell r="AH132">
            <v>39568</v>
          </cell>
          <cell r="AI132" t="str">
            <v>ao</v>
          </cell>
          <cell r="AJ132">
            <v>39738</v>
          </cell>
          <cell r="AK132" t="str">
            <v>ch</v>
          </cell>
          <cell r="AL132">
            <v>5.5891635981062597</v>
          </cell>
          <cell r="AM132">
            <v>2008</v>
          </cell>
          <cell r="AN132">
            <v>16</v>
          </cell>
          <cell r="AO132">
            <v>40226</v>
          </cell>
          <cell r="AP132">
            <v>40241</v>
          </cell>
          <cell r="AQ132" t="str">
            <v/>
          </cell>
          <cell r="AR132">
            <v>2010</v>
          </cell>
          <cell r="BK132">
            <v>0</v>
          </cell>
          <cell r="BL132">
            <v>4.79</v>
          </cell>
          <cell r="BO132" t="str">
            <v>à faire</v>
          </cell>
          <cell r="BQ132" t="str">
            <v>à faire</v>
          </cell>
          <cell r="BX132" t="str">
            <v>En attente accord de principe</v>
          </cell>
          <cell r="CJ132" t="str">
            <v>SNC Salazie 2</v>
          </cell>
          <cell r="CK132" t="str">
            <v>INFI</v>
          </cell>
          <cell r="CL132">
            <v>39650</v>
          </cell>
          <cell r="CM132" t="str">
            <v>-</v>
          </cell>
          <cell r="CN132">
            <v>0</v>
          </cell>
          <cell r="CO132" t="str">
            <v>217 undercies</v>
          </cell>
          <cell r="CQ132" t="str">
            <v>non</v>
          </cell>
          <cell r="CX132">
            <v>0</v>
          </cell>
          <cell r="DE132">
            <v>0</v>
          </cell>
          <cell r="DJ132">
            <v>0</v>
          </cell>
          <cell r="DO132">
            <v>0</v>
          </cell>
          <cell r="DS132">
            <v>0</v>
          </cell>
          <cell r="DT132">
            <v>0</v>
          </cell>
          <cell r="DU132">
            <v>0</v>
          </cell>
          <cell r="ED132" t="str">
            <v>G:\Habitat\OPERATIONNEL HABITAT\02- Operations\Photothèque\image non disponible.jpg</v>
          </cell>
          <cell r="EE132" t="str">
            <v>G:\Habitat\OPERATIONNEL HABITAT\02- Operations\Photothèque\image non disponible.jpg</v>
          </cell>
        </row>
        <row r="133">
          <cell r="A133" t="str">
            <v>JERSEY</v>
          </cell>
          <cell r="C133" t="str">
            <v>NORD</v>
          </cell>
          <cell r="D133" t="str">
            <v>Saint-Denis</v>
          </cell>
          <cell r="E133" t="str">
            <v xml:space="preserve">ZAC  PENTE ZANANAS </v>
          </cell>
          <cell r="F133">
            <v>40</v>
          </cell>
          <cell r="G133" t="str">
            <v>LLS</v>
          </cell>
          <cell r="J133" t="str">
            <v>COL</v>
          </cell>
          <cell r="K133" t="str">
            <v>CF</v>
          </cell>
          <cell r="L133" t="str">
            <v>SIDR</v>
          </cell>
          <cell r="N133" t="str">
            <v>JPM</v>
          </cell>
          <cell r="Q133" t="str">
            <v>AR</v>
          </cell>
          <cell r="R133">
            <v>2011</v>
          </cell>
          <cell r="T133" t="str">
            <v>Etude sur zone AUI lancé / En attente de lancement de procédure de création de ZAC</v>
          </cell>
          <cell r="V133" t="str">
            <v>A - NON LANCE</v>
          </cell>
          <cell r="X133" t="str">
            <v/>
          </cell>
          <cell r="AA133" t="str">
            <v/>
          </cell>
          <cell r="AC133" t="str">
            <v/>
          </cell>
          <cell r="AF133" t="str">
            <v/>
          </cell>
          <cell r="AI133" t="str">
            <v/>
          </cell>
          <cell r="AK133" t="str">
            <v/>
          </cell>
          <cell r="AL133">
            <v>0</v>
          </cell>
          <cell r="AM133" t="str">
            <v/>
          </cell>
          <cell r="AO133" t="str">
            <v/>
          </cell>
          <cell r="AP133" t="str">
            <v/>
          </cell>
          <cell r="AQ133" t="str">
            <v/>
          </cell>
          <cell r="CJ133" t="str">
            <v>-</v>
          </cell>
          <cell r="CK133" t="str">
            <v>-</v>
          </cell>
          <cell r="CL133" t="str">
            <v>-</v>
          </cell>
          <cell r="CM133" t="str">
            <v>-</v>
          </cell>
          <cell r="CN133">
            <v>0</v>
          </cell>
          <cell r="CQ133" t="str">
            <v>non</v>
          </cell>
          <cell r="CX133">
            <v>0</v>
          </cell>
          <cell r="DE133">
            <v>0</v>
          </cell>
          <cell r="DJ133">
            <v>0</v>
          </cell>
          <cell r="DO133">
            <v>0</v>
          </cell>
          <cell r="DS133">
            <v>0</v>
          </cell>
          <cell r="DT133">
            <v>0</v>
          </cell>
          <cell r="DU133">
            <v>0</v>
          </cell>
          <cell r="ED133" t="str">
            <v>G:\Habitat\OPERATIONNEL HABITAT\02- Operations\Photothèque\image non disponible.jpg</v>
          </cell>
          <cell r="EE133" t="str">
            <v>G:\Habitat\OPERATIONNEL HABITAT\02- Operations\Photothèque\image non disponible.jpg</v>
          </cell>
        </row>
        <row r="134">
          <cell r="A134" t="str">
            <v>JUAN DE NOVA</v>
          </cell>
          <cell r="B134">
            <v>9320</v>
          </cell>
          <cell r="C134" t="str">
            <v>NORD</v>
          </cell>
          <cell r="D134" t="str">
            <v>Saint-Denis</v>
          </cell>
          <cell r="E134" t="str">
            <v>AME ILE EPARSES</v>
          </cell>
          <cell r="F134">
            <v>31</v>
          </cell>
          <cell r="G134" t="str">
            <v>LLS</v>
          </cell>
          <cell r="J134" t="str">
            <v>MV</v>
          </cell>
          <cell r="K134" t="str">
            <v>RF</v>
          </cell>
          <cell r="N134" t="str">
            <v>JPM</v>
          </cell>
          <cell r="O134" t="str">
            <v>SV</v>
          </cell>
          <cell r="P134" t="str">
            <v>CC</v>
          </cell>
          <cell r="R134">
            <v>2002</v>
          </cell>
          <cell r="U134" t="str">
            <v>DELCOURT</v>
          </cell>
          <cell r="V134" t="str">
            <v>M - LIVRE/GPA</v>
          </cell>
          <cell r="W134">
            <v>37469</v>
          </cell>
          <cell r="X134" t="str">
            <v>d</v>
          </cell>
          <cell r="Y134" t="str">
            <v>97441102A0341</v>
          </cell>
          <cell r="Z134">
            <v>37575</v>
          </cell>
          <cell r="AA134" t="str">
            <v>o</v>
          </cell>
          <cell r="AB134" t="str">
            <v>validé</v>
          </cell>
          <cell r="AC134" t="str">
            <v/>
          </cell>
          <cell r="AE134">
            <v>37546</v>
          </cell>
          <cell r="AF134" t="str">
            <v>f</v>
          </cell>
          <cell r="AG134" t="str">
            <v>O</v>
          </cell>
          <cell r="AH134">
            <v>37665</v>
          </cell>
          <cell r="AI134" t="str">
            <v>ao</v>
          </cell>
          <cell r="AJ134">
            <v>37837</v>
          </cell>
          <cell r="AK134" t="str">
            <v/>
          </cell>
          <cell r="AL134">
            <v>5.6549184639663332</v>
          </cell>
          <cell r="AM134">
            <v>2003</v>
          </cell>
          <cell r="AN134">
            <v>19</v>
          </cell>
          <cell r="AO134">
            <v>38415</v>
          </cell>
          <cell r="AP134">
            <v>38564</v>
          </cell>
          <cell r="AQ134" t="str">
            <v>li</v>
          </cell>
          <cell r="AR134">
            <v>2005</v>
          </cell>
          <cell r="BO134" t="str">
            <v>signée</v>
          </cell>
          <cell r="BQ134" t="str">
            <v>signée</v>
          </cell>
          <cell r="BX134" t="str">
            <v>signé</v>
          </cell>
          <cell r="CA134">
            <v>2560</v>
          </cell>
          <cell r="CE134" t="str">
            <v>ECS ind</v>
          </cell>
          <cell r="CF134">
            <v>76059</v>
          </cell>
          <cell r="CG134">
            <v>22817</v>
          </cell>
          <cell r="CH134">
            <v>34226</v>
          </cell>
          <cell r="CI134">
            <v>19014</v>
          </cell>
          <cell r="CJ134" t="str">
            <v>-</v>
          </cell>
          <cell r="CK134" t="str">
            <v>-</v>
          </cell>
          <cell r="CL134" t="str">
            <v>-</v>
          </cell>
          <cell r="CM134" t="str">
            <v>-</v>
          </cell>
          <cell r="CN134">
            <v>0</v>
          </cell>
          <cell r="CQ134" t="str">
            <v>oui</v>
          </cell>
          <cell r="CT134">
            <v>2003205</v>
          </cell>
          <cell r="CX134">
            <v>2003205</v>
          </cell>
          <cell r="DE134">
            <v>57043</v>
          </cell>
          <cell r="DJ134">
            <v>57043</v>
          </cell>
          <cell r="DO134">
            <v>0</v>
          </cell>
          <cell r="DQ134">
            <v>169000</v>
          </cell>
          <cell r="DR134">
            <v>19015</v>
          </cell>
          <cell r="DS134">
            <v>188015</v>
          </cell>
          <cell r="DT134">
            <v>376030</v>
          </cell>
          <cell r="DU134">
            <v>-1570132</v>
          </cell>
          <cell r="ED134" t="str">
            <v>G:\Habitat\OPERATIONNEL HABITAT\02- Operations\Photothèque\image non disponible.jpg</v>
          </cell>
          <cell r="EE134" t="str">
            <v>G:\Habitat\OPERATIONNEL HABITAT\02- Operations\Photothèque\image non disponible.jpg</v>
          </cell>
        </row>
        <row r="135">
          <cell r="A135" t="str">
            <v>JULES JORON 1(ex GLENAN)</v>
          </cell>
          <cell r="B135">
            <v>9503</v>
          </cell>
          <cell r="C135" t="str">
            <v>SUD</v>
          </cell>
          <cell r="D135" t="str">
            <v>Saint-Louis</v>
          </cell>
          <cell r="E135" t="str">
            <v>ZAC AVENIR</v>
          </cell>
          <cell r="F135">
            <v>14</v>
          </cell>
          <cell r="G135" t="str">
            <v>LLS</v>
          </cell>
          <cell r="J135" t="str">
            <v>MV</v>
          </cell>
          <cell r="K135" t="str">
            <v>CF</v>
          </cell>
          <cell r="L135" t="str">
            <v>SIDR</v>
          </cell>
          <cell r="N135" t="str">
            <v>PC</v>
          </cell>
          <cell r="O135" t="str">
            <v>DL</v>
          </cell>
          <cell r="P135" t="str">
            <v>CS</v>
          </cell>
          <cell r="Q135" t="str">
            <v>HBM</v>
          </cell>
          <cell r="R135">
            <v>2004</v>
          </cell>
          <cell r="T135" t="str">
            <v>visite GPA 4/12/2007</v>
          </cell>
          <cell r="U135" t="str">
            <v>REYNAUD</v>
          </cell>
          <cell r="V135" t="str">
            <v>M - LIVRE/GPA</v>
          </cell>
          <cell r="W135">
            <v>37875</v>
          </cell>
          <cell r="X135" t="str">
            <v>d</v>
          </cell>
          <cell r="Y135" t="str">
            <v>97441403A0447</v>
          </cell>
          <cell r="Z135">
            <v>38107</v>
          </cell>
          <cell r="AA135" t="str">
            <v>o</v>
          </cell>
          <cell r="AB135" t="str">
            <v>validé</v>
          </cell>
          <cell r="AC135" t="str">
            <v/>
          </cell>
          <cell r="AD135">
            <v>38265</v>
          </cell>
          <cell r="AE135">
            <v>38231</v>
          </cell>
          <cell r="AF135" t="str">
            <v>f</v>
          </cell>
          <cell r="AG135">
            <v>38344</v>
          </cell>
          <cell r="AH135">
            <v>38313</v>
          </cell>
          <cell r="AI135" t="str">
            <v>ao</v>
          </cell>
          <cell r="AJ135">
            <v>38518</v>
          </cell>
          <cell r="AK135" t="str">
            <v/>
          </cell>
          <cell r="AL135">
            <v>6.7398737506575488</v>
          </cell>
          <cell r="AM135">
            <v>2005</v>
          </cell>
          <cell r="AN135">
            <v>17</v>
          </cell>
          <cell r="AO135">
            <v>39036</v>
          </cell>
          <cell r="AP135">
            <v>38902</v>
          </cell>
          <cell r="AQ135" t="str">
            <v>li</v>
          </cell>
          <cell r="AR135">
            <v>2006</v>
          </cell>
          <cell r="AW135">
            <v>12</v>
          </cell>
          <cell r="AX135">
            <v>56</v>
          </cell>
          <cell r="BA135">
            <v>31</v>
          </cell>
          <cell r="BB135">
            <v>72</v>
          </cell>
          <cell r="BE135">
            <v>12</v>
          </cell>
          <cell r="BF135">
            <v>81</v>
          </cell>
          <cell r="BI135">
            <v>6</v>
          </cell>
          <cell r="BJ135">
            <v>92</v>
          </cell>
          <cell r="BK135">
            <v>61</v>
          </cell>
          <cell r="BL135">
            <v>5.2</v>
          </cell>
          <cell r="BM135">
            <v>0.28999999999999998</v>
          </cell>
          <cell r="BN135">
            <v>0.2</v>
          </cell>
          <cell r="BO135" t="str">
            <v>signée</v>
          </cell>
          <cell r="BP135">
            <v>0.8</v>
          </cell>
          <cell r="BQ135" t="str">
            <v>signée</v>
          </cell>
          <cell r="BX135" t="str">
            <v>signé</v>
          </cell>
          <cell r="BY135">
            <v>4263</v>
          </cell>
          <cell r="BZ135">
            <v>5120</v>
          </cell>
          <cell r="CA135">
            <v>4508.21</v>
          </cell>
          <cell r="CE135" t="str">
            <v>ECS ind</v>
          </cell>
          <cell r="CF135">
            <v>188240</v>
          </cell>
          <cell r="CG135">
            <v>56472</v>
          </cell>
          <cell r="CH135">
            <v>84708</v>
          </cell>
          <cell r="CI135">
            <v>47060</v>
          </cell>
          <cell r="CJ135" t="str">
            <v>-</v>
          </cell>
          <cell r="CK135" t="str">
            <v>-</v>
          </cell>
          <cell r="CL135" t="str">
            <v>-</v>
          </cell>
          <cell r="CM135" t="str">
            <v>-</v>
          </cell>
          <cell r="CN135">
            <v>0</v>
          </cell>
          <cell r="CQ135" t="str">
            <v>oui</v>
          </cell>
          <cell r="CR135">
            <v>440820</v>
          </cell>
          <cell r="CT135">
            <v>3504672</v>
          </cell>
          <cell r="CX135">
            <v>3945492</v>
          </cell>
          <cell r="DE135">
            <v>141180</v>
          </cell>
          <cell r="DJ135">
            <v>141180</v>
          </cell>
          <cell r="DO135">
            <v>0</v>
          </cell>
          <cell r="DQ135">
            <v>122000</v>
          </cell>
          <cell r="DR135">
            <v>45250</v>
          </cell>
          <cell r="DS135">
            <v>167250</v>
          </cell>
          <cell r="DT135">
            <v>334500</v>
          </cell>
          <cell r="DU135">
            <v>-3469812</v>
          </cell>
          <cell r="ED135" t="str">
            <v>G:\Habitat\OPERATIONNEL HABITAT\02- Operations\Photothèque\images locatifs\Glenan\glenan - st louis 05.jpg</v>
          </cell>
          <cell r="EE135" t="str">
            <v>G:\Habitat\OPERATIONNEL HABITAT\02- Operations\Photothèque\images locatifs\Glenan\Photo GLENANS 035.jpg</v>
          </cell>
        </row>
        <row r="136">
          <cell r="A136" t="str">
            <v>JULES JORON 2</v>
          </cell>
          <cell r="B136">
            <v>9503</v>
          </cell>
          <cell r="C136" t="str">
            <v>SUD</v>
          </cell>
          <cell r="D136" t="str">
            <v>Saint-Louis</v>
          </cell>
          <cell r="E136" t="str">
            <v>ZAC AVENIR</v>
          </cell>
          <cell r="F136">
            <v>32</v>
          </cell>
          <cell r="G136" t="str">
            <v>LLS</v>
          </cell>
          <cell r="J136" t="str">
            <v>MV</v>
          </cell>
          <cell r="K136" t="str">
            <v>CF</v>
          </cell>
          <cell r="L136" t="str">
            <v>SIDR</v>
          </cell>
          <cell r="N136" t="str">
            <v>PC</v>
          </cell>
          <cell r="O136" t="str">
            <v>DL</v>
          </cell>
          <cell r="P136" t="str">
            <v>CS</v>
          </cell>
          <cell r="Q136" t="str">
            <v>HBM</v>
          </cell>
          <cell r="R136">
            <v>2004</v>
          </cell>
          <cell r="T136" t="str">
            <v>visite GPA 4/12/2007</v>
          </cell>
          <cell r="U136" t="str">
            <v>REYNAUD</v>
          </cell>
          <cell r="V136" t="str">
            <v>M - LIVRE/GPA</v>
          </cell>
          <cell r="W136">
            <v>37875</v>
          </cell>
          <cell r="X136" t="str">
            <v>d</v>
          </cell>
          <cell r="Y136" t="str">
            <v>97441403A0447</v>
          </cell>
          <cell r="Z136">
            <v>38107</v>
          </cell>
          <cell r="AA136" t="str">
            <v>o</v>
          </cell>
          <cell r="AB136" t="str">
            <v>validé</v>
          </cell>
          <cell r="AC136" t="str">
            <v/>
          </cell>
          <cell r="AE136">
            <v>38231</v>
          </cell>
          <cell r="AF136" t="str">
            <v>f</v>
          </cell>
          <cell r="AG136">
            <v>38344</v>
          </cell>
          <cell r="AH136">
            <v>38313</v>
          </cell>
          <cell r="AI136" t="str">
            <v>ao</v>
          </cell>
          <cell r="AJ136">
            <v>38518</v>
          </cell>
          <cell r="AK136" t="str">
            <v/>
          </cell>
          <cell r="AL136">
            <v>6.7398737506575488</v>
          </cell>
          <cell r="AM136">
            <v>2005</v>
          </cell>
          <cell r="AN136">
            <v>17</v>
          </cell>
          <cell r="AO136">
            <v>39036</v>
          </cell>
          <cell r="AP136">
            <v>39041</v>
          </cell>
          <cell r="AQ136" t="str">
            <v>li</v>
          </cell>
          <cell r="AR136">
            <v>2006</v>
          </cell>
          <cell r="BK136">
            <v>0</v>
          </cell>
          <cell r="BO136" t="str">
            <v>signée</v>
          </cell>
          <cell r="BQ136" t="str">
            <v>signée</v>
          </cell>
          <cell r="BX136" t="str">
            <v>signé</v>
          </cell>
          <cell r="CE136" t="str">
            <v>ECS ind</v>
          </cell>
          <cell r="CJ136" t="str">
            <v>-</v>
          </cell>
          <cell r="CK136" t="str">
            <v>-</v>
          </cell>
          <cell r="CL136" t="str">
            <v>-</v>
          </cell>
          <cell r="CM136" t="str">
            <v>-</v>
          </cell>
          <cell r="CN136">
            <v>0</v>
          </cell>
          <cell r="CQ136" t="str">
            <v>oui</v>
          </cell>
          <cell r="CX136">
            <v>0</v>
          </cell>
          <cell r="DE136">
            <v>0</v>
          </cell>
          <cell r="DJ136">
            <v>0</v>
          </cell>
          <cell r="DO136">
            <v>0</v>
          </cell>
          <cell r="DS136">
            <v>0</v>
          </cell>
          <cell r="DT136">
            <v>0</v>
          </cell>
          <cell r="DU136">
            <v>0</v>
          </cell>
          <cell r="ED136" t="str">
            <v>G:\Habitat\OPERATIONNEL HABITAT\02- Operations\Photothèque\image non disponible.jpg</v>
          </cell>
          <cell r="EE136" t="str">
            <v>G:\Habitat\OPERATIONNEL HABITAT\02- Operations\Photothèque\image non disponible.jpg</v>
          </cell>
        </row>
        <row r="137">
          <cell r="A137" t="str">
            <v>JULES JORON 3</v>
          </cell>
          <cell r="B137">
            <v>9503</v>
          </cell>
          <cell r="C137" t="str">
            <v>SUD</v>
          </cell>
          <cell r="D137" t="str">
            <v>Saint-Louis</v>
          </cell>
          <cell r="E137" t="str">
            <v>ZAC AVENIR</v>
          </cell>
          <cell r="F137">
            <v>15</v>
          </cell>
          <cell r="G137" t="str">
            <v>LLS</v>
          </cell>
          <cell r="J137" t="str">
            <v>MV</v>
          </cell>
          <cell r="K137" t="str">
            <v>CF</v>
          </cell>
          <cell r="L137" t="str">
            <v>SIDR</v>
          </cell>
          <cell r="N137" t="str">
            <v>PC</v>
          </cell>
          <cell r="O137" t="str">
            <v>DL</v>
          </cell>
          <cell r="P137" t="str">
            <v>CS</v>
          </cell>
          <cell r="Q137" t="str">
            <v>HBM</v>
          </cell>
          <cell r="R137">
            <v>2004</v>
          </cell>
          <cell r="T137" t="str">
            <v>visite GPA 4/12/2007</v>
          </cell>
          <cell r="U137" t="str">
            <v>REYNAUD</v>
          </cell>
          <cell r="V137" t="str">
            <v>M - LIVRE/GPA</v>
          </cell>
          <cell r="W137">
            <v>37875</v>
          </cell>
          <cell r="X137" t="str">
            <v>d</v>
          </cell>
          <cell r="Y137" t="str">
            <v>97441403A0447</v>
          </cell>
          <cell r="Z137">
            <v>38107</v>
          </cell>
          <cell r="AA137" t="str">
            <v>o</v>
          </cell>
          <cell r="AB137" t="str">
            <v>validé</v>
          </cell>
          <cell r="AC137" t="str">
            <v/>
          </cell>
          <cell r="AE137">
            <v>38231</v>
          </cell>
          <cell r="AF137" t="str">
            <v>f</v>
          </cell>
          <cell r="AG137">
            <v>38344</v>
          </cell>
          <cell r="AH137">
            <v>38313</v>
          </cell>
          <cell r="AI137" t="str">
            <v>ao</v>
          </cell>
          <cell r="AJ137">
            <v>38518</v>
          </cell>
          <cell r="AK137" t="str">
            <v/>
          </cell>
          <cell r="AL137">
            <v>6.7398737506575488</v>
          </cell>
          <cell r="AM137">
            <v>2005</v>
          </cell>
          <cell r="AN137">
            <v>17</v>
          </cell>
          <cell r="AO137">
            <v>39036</v>
          </cell>
          <cell r="AP137">
            <v>39057</v>
          </cell>
          <cell r="AQ137" t="str">
            <v>li</v>
          </cell>
          <cell r="AR137">
            <v>2006</v>
          </cell>
          <cell r="BK137">
            <v>0</v>
          </cell>
          <cell r="BO137" t="str">
            <v>signée</v>
          </cell>
          <cell r="BQ137" t="str">
            <v>signée</v>
          </cell>
          <cell r="BX137" t="str">
            <v>signé</v>
          </cell>
          <cell r="CE137" t="str">
            <v>ECS ind</v>
          </cell>
          <cell r="CJ137" t="str">
            <v>-</v>
          </cell>
          <cell r="CK137" t="str">
            <v>-</v>
          </cell>
          <cell r="CL137" t="str">
            <v>-</v>
          </cell>
          <cell r="CM137" t="str">
            <v>-</v>
          </cell>
          <cell r="CN137">
            <v>0</v>
          </cell>
          <cell r="CQ137" t="str">
            <v>oui</v>
          </cell>
          <cell r="CX137">
            <v>0</v>
          </cell>
          <cell r="DE137">
            <v>0</v>
          </cell>
          <cell r="DJ137">
            <v>0</v>
          </cell>
          <cell r="DO137">
            <v>0</v>
          </cell>
          <cell r="DS137">
            <v>0</v>
          </cell>
          <cell r="DT137">
            <v>0</v>
          </cell>
          <cell r="DU137">
            <v>0</v>
          </cell>
          <cell r="ED137" t="str">
            <v>G:\Habitat\OPERATIONNEL HABITAT\02- Operations\Photothèque\image non disponible.jpg</v>
          </cell>
          <cell r="EE137" t="str">
            <v>G:\Habitat\OPERATIONNEL HABITAT\02- Operations\Photothèque\image non disponible.jpg</v>
          </cell>
        </row>
        <row r="138">
          <cell r="A138" t="str">
            <v>LA CAYENNE</v>
          </cell>
          <cell r="B138">
            <v>9445</v>
          </cell>
          <cell r="C138" t="str">
            <v>SUD</v>
          </cell>
          <cell r="D138" t="str">
            <v>Saint-Joseph</v>
          </cell>
          <cell r="E138" t="str">
            <v>AME LA CAYENNE</v>
          </cell>
          <cell r="F138">
            <v>0</v>
          </cell>
          <cell r="G138" t="str">
            <v>OPA</v>
          </cell>
          <cell r="J138" t="str">
            <v>OPA</v>
          </cell>
          <cell r="K138" t="str">
            <v>RF</v>
          </cell>
          <cell r="N138" t="str">
            <v>EC</v>
          </cell>
          <cell r="O138" t="str">
            <v>GG</v>
          </cell>
          <cell r="P138" t="str">
            <v>CC</v>
          </cell>
          <cell r="R138">
            <v>2002</v>
          </cell>
          <cell r="T138" t="str">
            <v>sub frafu non versée 80% | pb conformité/retroccession</v>
          </cell>
          <cell r="U138" t="str">
            <v>ARCHITECTES DE L'EPERON</v>
          </cell>
          <cell r="V138" t="str">
            <v>M - LIVRE/GPA</v>
          </cell>
          <cell r="X138" t="str">
            <v>d</v>
          </cell>
          <cell r="AA138" t="str">
            <v/>
          </cell>
          <cell r="AB138" t="str">
            <v>validé</v>
          </cell>
          <cell r="AC138" t="str">
            <v/>
          </cell>
          <cell r="AF138" t="str">
            <v/>
          </cell>
          <cell r="AG138" t="str">
            <v>O</v>
          </cell>
          <cell r="AH138">
            <v>37669</v>
          </cell>
          <cell r="AI138" t="str">
            <v>ao</v>
          </cell>
          <cell r="AJ138">
            <v>37792</v>
          </cell>
          <cell r="AK138" t="str">
            <v/>
          </cell>
          <cell r="AL138">
            <v>4.0439242503945287</v>
          </cell>
          <cell r="AM138">
            <v>2003</v>
          </cell>
          <cell r="AN138">
            <v>16</v>
          </cell>
          <cell r="AO138">
            <v>38280</v>
          </cell>
          <cell r="AP138">
            <v>38323</v>
          </cell>
          <cell r="AQ138" t="str">
            <v>li</v>
          </cell>
          <cell r="AR138">
            <v>2004</v>
          </cell>
          <cell r="BO138" t="str">
            <v>signée</v>
          </cell>
          <cell r="BQ138" t="str">
            <v>signée</v>
          </cell>
          <cell r="BX138" t="str">
            <v>signé</v>
          </cell>
          <cell r="CJ138" t="str">
            <v>-</v>
          </cell>
          <cell r="CK138" t="str">
            <v>-</v>
          </cell>
          <cell r="CL138" t="str">
            <v>-</v>
          </cell>
          <cell r="CM138" t="str">
            <v>-</v>
          </cell>
          <cell r="CN138">
            <v>0</v>
          </cell>
          <cell r="CQ138" t="str">
            <v>oui</v>
          </cell>
          <cell r="CX138">
            <v>0</v>
          </cell>
          <cell r="DE138">
            <v>0</v>
          </cell>
          <cell r="DJ138">
            <v>0</v>
          </cell>
          <cell r="DO138">
            <v>0</v>
          </cell>
          <cell r="DS138">
            <v>0</v>
          </cell>
          <cell r="DT138">
            <v>0</v>
          </cell>
          <cell r="DU138">
            <v>0</v>
          </cell>
          <cell r="ED138" t="str">
            <v>G:\Habitat\OPERATIONNEL HABITAT\02- Operations\Photothèque\images locatifs\La cayenne\cayenne - st joseph 01.jpg</v>
          </cell>
          <cell r="EE138" t="str">
            <v>G:\Habitat\OPERATIONNEL HABITAT\02- Operations\Photothèque\image non disponible.jpg</v>
          </cell>
        </row>
        <row r="139">
          <cell r="A139" t="str">
            <v>LA DIGUE</v>
          </cell>
          <cell r="C139" t="str">
            <v>NORD</v>
          </cell>
          <cell r="D139" t="str">
            <v>Saint-Denis</v>
          </cell>
          <cell r="E139" t="str">
            <v>RHI HYACINTHE CARAMBOLES</v>
          </cell>
          <cell r="F139">
            <v>22</v>
          </cell>
          <cell r="G139" t="str">
            <v>LLTS</v>
          </cell>
          <cell r="J139" t="str">
            <v>MIXT</v>
          </cell>
          <cell r="K139" t="str">
            <v>CF</v>
          </cell>
          <cell r="L139" t="str">
            <v>SIDR</v>
          </cell>
          <cell r="N139" t="str">
            <v>JEM</v>
          </cell>
          <cell r="P139" t="str">
            <v>CS</v>
          </cell>
          <cell r="Q139" t="str">
            <v>AR</v>
          </cell>
          <cell r="R139">
            <v>2011</v>
          </cell>
          <cell r="V139" t="str">
            <v>A - NON LANCE</v>
          </cell>
          <cell r="X139" t="str">
            <v/>
          </cell>
          <cell r="AA139" t="str">
            <v/>
          </cell>
          <cell r="AC139" t="str">
            <v/>
          </cell>
          <cell r="AF139" t="str">
            <v/>
          </cell>
          <cell r="AI139" t="str">
            <v/>
          </cell>
          <cell r="AK139" t="str">
            <v/>
          </cell>
          <cell r="AL139">
            <v>0</v>
          </cell>
          <cell r="AM139" t="str">
            <v/>
          </cell>
          <cell r="AQ139" t="str">
            <v/>
          </cell>
          <cell r="CJ139" t="str">
            <v>-</v>
          </cell>
          <cell r="CK139" t="str">
            <v>-</v>
          </cell>
          <cell r="CL139" t="str">
            <v>-</v>
          </cell>
          <cell r="CM139" t="str">
            <v>-</v>
          </cell>
          <cell r="CN139">
            <v>0</v>
          </cell>
          <cell r="CQ139" t="str">
            <v>non</v>
          </cell>
          <cell r="CX139">
            <v>0</v>
          </cell>
          <cell r="DE139">
            <v>0</v>
          </cell>
          <cell r="DJ139">
            <v>0</v>
          </cell>
          <cell r="DO139">
            <v>0</v>
          </cell>
          <cell r="DS139">
            <v>0</v>
          </cell>
          <cell r="DT139">
            <v>0</v>
          </cell>
          <cell r="DU139">
            <v>0</v>
          </cell>
          <cell r="ED139" t="str">
            <v>G:\Habitat\OPERATIONNEL HABITAT\02- Operations\Photothèque\image non disponible.jpg</v>
          </cell>
          <cell r="EE139" t="str">
            <v>G:\Habitat\OPERATIONNEL HABITAT\02- Operations\Photothèque\image non disponible.jpg</v>
          </cell>
          <cell r="EX139" t="str">
            <v>SECTION DS</v>
          </cell>
        </row>
        <row r="140">
          <cell r="A140" t="str">
            <v>LA PLAINE</v>
          </cell>
          <cell r="C140" t="str">
            <v>SUD</v>
          </cell>
          <cell r="D140" t="str">
            <v>Saint-Louis</v>
          </cell>
          <cell r="F140">
            <v>100</v>
          </cell>
          <cell r="G140" t="str">
            <v>LLS</v>
          </cell>
          <cell r="J140" t="str">
            <v>MIXT</v>
          </cell>
          <cell r="K140" t="str">
            <v>CF</v>
          </cell>
          <cell r="L140" t="str">
            <v>SIDR</v>
          </cell>
          <cell r="N140" t="str">
            <v>N.A.</v>
          </cell>
          <cell r="Q140" t="str">
            <v>HBM</v>
          </cell>
          <cell r="R140">
            <v>2012</v>
          </cell>
          <cell r="AA140" t="str">
            <v/>
          </cell>
          <cell r="AC140" t="str">
            <v/>
          </cell>
          <cell r="AI140" t="str">
            <v/>
          </cell>
          <cell r="AK140" t="str">
            <v/>
          </cell>
          <cell r="AL140">
            <v>0</v>
          </cell>
          <cell r="AQ140" t="str">
            <v/>
          </cell>
          <cell r="CJ140" t="str">
            <v>-</v>
          </cell>
          <cell r="CK140" t="str">
            <v>-</v>
          </cell>
          <cell r="CL140" t="str">
            <v>-</v>
          </cell>
          <cell r="CM140" t="str">
            <v>-</v>
          </cell>
          <cell r="CN140">
            <v>0</v>
          </cell>
          <cell r="CQ140" t="str">
            <v>non</v>
          </cell>
          <cell r="CX140">
            <v>0</v>
          </cell>
          <cell r="DE140">
            <v>0</v>
          </cell>
          <cell r="DJ140">
            <v>0</v>
          </cell>
          <cell r="DO140">
            <v>0</v>
          </cell>
          <cell r="DS140">
            <v>0</v>
          </cell>
          <cell r="DT140">
            <v>0</v>
          </cell>
          <cell r="DU140">
            <v>0</v>
          </cell>
          <cell r="ED140" t="str">
            <v>G:\Habitat\OPERATIONNEL HABITAT\02- Operations\Photothèque\image non disponible.jpg</v>
          </cell>
          <cell r="EE140" t="str">
            <v>G:\Habitat\OPERATIONNEL HABITAT\02- Operations\Photothèque\image non disponible.jpg</v>
          </cell>
        </row>
        <row r="141">
          <cell r="A141" t="str">
            <v>LA PLAINE 1</v>
          </cell>
          <cell r="C141" t="str">
            <v>SUD</v>
          </cell>
          <cell r="D141" t="str">
            <v>Saint-Louis</v>
          </cell>
          <cell r="F141">
            <v>100</v>
          </cell>
          <cell r="N141" t="str">
            <v>N.A.</v>
          </cell>
          <cell r="R141">
            <v>2011</v>
          </cell>
          <cell r="AA141" t="str">
            <v/>
          </cell>
          <cell r="AC141" t="str">
            <v/>
          </cell>
          <cell r="AI141" t="str">
            <v/>
          </cell>
          <cell r="AK141" t="str">
            <v/>
          </cell>
          <cell r="AL141">
            <v>0</v>
          </cell>
          <cell r="AQ141" t="str">
            <v/>
          </cell>
          <cell r="CJ141" t="str">
            <v>-</v>
          </cell>
          <cell r="CK141" t="str">
            <v>-</v>
          </cell>
          <cell r="CL141" t="str">
            <v>-</v>
          </cell>
          <cell r="CM141" t="str">
            <v>-</v>
          </cell>
          <cell r="CN141">
            <v>0</v>
          </cell>
          <cell r="CQ141" t="str">
            <v>non</v>
          </cell>
          <cell r="CX141">
            <v>0</v>
          </cell>
          <cell r="DE141">
            <v>0</v>
          </cell>
          <cell r="DJ141">
            <v>0</v>
          </cell>
          <cell r="DO141">
            <v>0</v>
          </cell>
          <cell r="DS141">
            <v>0</v>
          </cell>
          <cell r="DT141">
            <v>0</v>
          </cell>
          <cell r="DU141">
            <v>0</v>
          </cell>
          <cell r="ED141" t="str">
            <v>G:\Habitat\OPERATIONNEL HABITAT\02- Operations\Photothèque\image non disponible.jpg</v>
          </cell>
          <cell r="EE141" t="str">
            <v>G:\Habitat\OPERATIONNEL HABITAT\02- Operations\Photothèque\image non disponible.jpg</v>
          </cell>
        </row>
        <row r="142">
          <cell r="A142" t="str">
            <v>LA PLAINE 2</v>
          </cell>
          <cell r="C142" t="str">
            <v>SUD</v>
          </cell>
          <cell r="D142" t="str">
            <v>Saint-Louis</v>
          </cell>
          <cell r="F142">
            <v>200</v>
          </cell>
          <cell r="N142" t="str">
            <v>N.A.</v>
          </cell>
          <cell r="R142">
            <v>2011</v>
          </cell>
          <cell r="AA142" t="str">
            <v/>
          </cell>
          <cell r="AC142" t="str">
            <v/>
          </cell>
          <cell r="AI142" t="str">
            <v/>
          </cell>
          <cell r="AK142" t="str">
            <v/>
          </cell>
          <cell r="AL142">
            <v>0</v>
          </cell>
          <cell r="AQ142" t="str">
            <v/>
          </cell>
          <cell r="CJ142" t="str">
            <v>-</v>
          </cell>
          <cell r="CK142" t="str">
            <v>-</v>
          </cell>
          <cell r="CL142" t="str">
            <v>-</v>
          </cell>
          <cell r="CM142" t="str">
            <v>-</v>
          </cell>
          <cell r="CN142">
            <v>0</v>
          </cell>
          <cell r="CQ142" t="str">
            <v>non</v>
          </cell>
          <cell r="CX142">
            <v>0</v>
          </cell>
          <cell r="DE142">
            <v>0</v>
          </cell>
          <cell r="DJ142">
            <v>0</v>
          </cell>
          <cell r="DO142">
            <v>0</v>
          </cell>
          <cell r="DS142">
            <v>0</v>
          </cell>
          <cell r="DT142">
            <v>0</v>
          </cell>
          <cell r="DU142">
            <v>0</v>
          </cell>
          <cell r="ED142" t="str">
            <v>G:\Habitat\OPERATIONNEL HABITAT\02- Operations\Photothèque\image non disponible.jpg</v>
          </cell>
          <cell r="EE142" t="str">
            <v>G:\Habitat\OPERATIONNEL HABITAT\02- Operations\Photothèque\image non disponible.jpg</v>
          </cell>
        </row>
        <row r="143">
          <cell r="A143" t="str">
            <v>LACROIX</v>
          </cell>
          <cell r="B143">
            <v>9593</v>
          </cell>
          <cell r="C143" t="str">
            <v>NORD</v>
          </cell>
          <cell r="D143" t="str">
            <v>Saint-Denis</v>
          </cell>
          <cell r="E143" t="str">
            <v>STE CLOTILDE</v>
          </cell>
          <cell r="F143">
            <v>42</v>
          </cell>
          <cell r="G143" t="str">
            <v>LLTS</v>
          </cell>
          <cell r="J143" t="str">
            <v>COL</v>
          </cell>
          <cell r="K143" t="str">
            <v>RF</v>
          </cell>
          <cell r="M143" t="str">
            <v>maitrisé</v>
          </cell>
          <cell r="N143" t="str">
            <v>BZ</v>
          </cell>
          <cell r="O143" t="str">
            <v>SV</v>
          </cell>
          <cell r="P143" t="str">
            <v>CS</v>
          </cell>
          <cell r="R143">
            <v>2005</v>
          </cell>
          <cell r="T143" t="str">
            <v xml:space="preserve"> PC modif parking ok/pas de FT</v>
          </cell>
          <cell r="U143" t="str">
            <v>ARCHITECTES DE L'EPERON</v>
          </cell>
          <cell r="V143" t="str">
            <v>M - LIVRE/GPA</v>
          </cell>
          <cell r="W143">
            <v>38349</v>
          </cell>
          <cell r="X143" t="str">
            <v>d</v>
          </cell>
          <cell r="Y143" t="str">
            <v>97441104A0617</v>
          </cell>
          <cell r="Z143">
            <v>38475</v>
          </cell>
          <cell r="AA143" t="str">
            <v>o</v>
          </cell>
          <cell r="AB143" t="str">
            <v>validé</v>
          </cell>
          <cell r="AC143" t="str">
            <v/>
          </cell>
          <cell r="AD143">
            <v>38624</v>
          </cell>
          <cell r="AE143">
            <v>38505</v>
          </cell>
          <cell r="AF143" t="str">
            <v>f</v>
          </cell>
          <cell r="AG143">
            <v>38722</v>
          </cell>
          <cell r="AH143">
            <v>38614</v>
          </cell>
          <cell r="AI143" t="str">
            <v>ao</v>
          </cell>
          <cell r="AJ143">
            <v>38789</v>
          </cell>
          <cell r="AK143" t="str">
            <v/>
          </cell>
          <cell r="AL143">
            <v>5.7535507627564435</v>
          </cell>
          <cell r="AM143">
            <v>2006</v>
          </cell>
          <cell r="AN143">
            <v>19</v>
          </cell>
          <cell r="AO143">
            <v>39368</v>
          </cell>
          <cell r="AP143">
            <v>39431</v>
          </cell>
          <cell r="AQ143" t="str">
            <v>li</v>
          </cell>
          <cell r="AR143">
            <v>2007</v>
          </cell>
          <cell r="AW143">
            <v>12</v>
          </cell>
          <cell r="AX143">
            <v>59</v>
          </cell>
          <cell r="BA143">
            <v>18</v>
          </cell>
          <cell r="BB143">
            <v>73</v>
          </cell>
          <cell r="BE143">
            <v>6</v>
          </cell>
          <cell r="BF143">
            <v>81</v>
          </cell>
          <cell r="BI143">
            <v>3</v>
          </cell>
          <cell r="BJ143">
            <v>102</v>
          </cell>
          <cell r="BK143">
            <v>39</v>
          </cell>
          <cell r="BL143">
            <v>4.6900000000000004</v>
          </cell>
          <cell r="BM143">
            <v>0.82</v>
          </cell>
          <cell r="BN143">
            <v>0.2</v>
          </cell>
          <cell r="BO143" t="str">
            <v>signée</v>
          </cell>
          <cell r="BP143">
            <v>0.8</v>
          </cell>
          <cell r="BQ143" t="str">
            <v>signée</v>
          </cell>
          <cell r="BX143" t="str">
            <v>signé</v>
          </cell>
          <cell r="BY143">
            <v>3186</v>
          </cell>
          <cell r="BZ143">
            <v>5775</v>
          </cell>
          <cell r="CA143">
            <v>3461.1</v>
          </cell>
          <cell r="CE143" t="str">
            <v>ECS ind</v>
          </cell>
          <cell r="CF143">
            <v>155400</v>
          </cell>
          <cell r="CG143">
            <v>46620</v>
          </cell>
          <cell r="CH143">
            <v>69930</v>
          </cell>
          <cell r="CI143" t="str">
            <v>C 21/01/2008</v>
          </cell>
          <cell r="CJ143" t="str">
            <v>-</v>
          </cell>
          <cell r="CK143" t="str">
            <v>-</v>
          </cell>
          <cell r="CL143" t="str">
            <v>-</v>
          </cell>
          <cell r="CM143" t="str">
            <v>-</v>
          </cell>
          <cell r="CN143">
            <v>0</v>
          </cell>
          <cell r="CQ143" t="str">
            <v>oui</v>
          </cell>
          <cell r="CR143">
            <v>178488</v>
          </cell>
          <cell r="CT143">
            <v>3039899</v>
          </cell>
          <cell r="CX143">
            <v>3218387</v>
          </cell>
          <cell r="DE143">
            <v>116550</v>
          </cell>
          <cell r="DJ143">
            <v>116550</v>
          </cell>
          <cell r="DO143">
            <v>0</v>
          </cell>
          <cell r="DQ143">
            <v>100700</v>
          </cell>
          <cell r="DR143">
            <v>34346</v>
          </cell>
          <cell r="DS143">
            <v>135046</v>
          </cell>
          <cell r="DT143">
            <v>270092</v>
          </cell>
          <cell r="DU143">
            <v>-2831745</v>
          </cell>
          <cell r="ED143" t="str">
            <v>G:\Habitat\OPERATIONNEL HABITAT\02- Operations\Photothèque\images locatifs\Lacroix\La Croix.jpg</v>
          </cell>
          <cell r="EE143" t="str">
            <v>G:\Habitat\OPERATIONNEL HABITAT\02- Operations\Photothèque\images locatifs\Lacroix\La Croix a.jpg</v>
          </cell>
        </row>
        <row r="144">
          <cell r="A144" t="str">
            <v>LATANIER</v>
          </cell>
          <cell r="B144">
            <v>9549</v>
          </cell>
          <cell r="C144" t="str">
            <v>EST</v>
          </cell>
          <cell r="D144" t="str">
            <v>Saint-André</v>
          </cell>
          <cell r="E144" t="str">
            <v>ZAC CRESSONIERE</v>
          </cell>
          <cell r="F144">
            <v>20</v>
          </cell>
          <cell r="G144" t="str">
            <v>LLS</v>
          </cell>
          <cell r="J144" t="str">
            <v>MV</v>
          </cell>
          <cell r="K144" t="str">
            <v>CF</v>
          </cell>
          <cell r="L144" t="str">
            <v>SIDR</v>
          </cell>
          <cell r="N144" t="str">
            <v>JPM</v>
          </cell>
          <cell r="O144" t="str">
            <v>JMO</v>
          </cell>
          <cell r="P144" t="str">
            <v>CC</v>
          </cell>
          <cell r="Q144" t="str">
            <v>SPG</v>
          </cell>
          <cell r="R144">
            <v>2004</v>
          </cell>
          <cell r="T144" t="str">
            <v>VISITE GPA le 27/11/2007</v>
          </cell>
          <cell r="U144" t="str">
            <v>BERTIN LEBEIGLE</v>
          </cell>
          <cell r="V144" t="str">
            <v>M - LIVRE/GPA</v>
          </cell>
          <cell r="W144">
            <v>38181</v>
          </cell>
          <cell r="X144" t="str">
            <v>d</v>
          </cell>
          <cell r="Y144" t="str">
            <v>97440904A0340</v>
          </cell>
          <cell r="Z144">
            <v>38530</v>
          </cell>
          <cell r="AA144" t="str">
            <v>o</v>
          </cell>
          <cell r="AB144" t="str">
            <v>validé</v>
          </cell>
          <cell r="AC144" t="str">
            <v/>
          </cell>
          <cell r="AE144">
            <v>38187</v>
          </cell>
          <cell r="AF144" t="str">
            <v>f</v>
          </cell>
          <cell r="AG144">
            <v>38575</v>
          </cell>
          <cell r="AH144">
            <v>38327</v>
          </cell>
          <cell r="AI144" t="str">
            <v>ao</v>
          </cell>
          <cell r="AJ144">
            <v>38574</v>
          </cell>
          <cell r="AK144" t="str">
            <v/>
          </cell>
          <cell r="AL144">
            <v>8.1207259337190951</v>
          </cell>
          <cell r="AM144">
            <v>2005</v>
          </cell>
          <cell r="AN144">
            <v>14</v>
          </cell>
          <cell r="AO144">
            <v>39000</v>
          </cell>
          <cell r="AP144">
            <v>38961</v>
          </cell>
          <cell r="AQ144" t="str">
            <v>li</v>
          </cell>
          <cell r="AR144">
            <v>2006</v>
          </cell>
          <cell r="BA144">
            <v>12</v>
          </cell>
          <cell r="BB144">
            <v>66.37</v>
          </cell>
          <cell r="BE144">
            <v>6</v>
          </cell>
          <cell r="BF144">
            <v>76.38</v>
          </cell>
          <cell r="BI144">
            <v>2</v>
          </cell>
          <cell r="BJ144">
            <v>96.07</v>
          </cell>
          <cell r="BK144">
            <v>20</v>
          </cell>
          <cell r="BL144">
            <v>5.23</v>
          </cell>
          <cell r="BM144">
            <v>0.67</v>
          </cell>
          <cell r="BN144">
            <v>0.4</v>
          </cell>
          <cell r="BO144" t="str">
            <v>transmis</v>
          </cell>
          <cell r="BP144">
            <v>0.6</v>
          </cell>
          <cell r="BQ144" t="str">
            <v>signée</v>
          </cell>
          <cell r="BX144" t="str">
            <v>signé</v>
          </cell>
          <cell r="BY144">
            <v>1686</v>
          </cell>
          <cell r="BZ144">
            <v>1722</v>
          </cell>
          <cell r="CA144">
            <v>1453</v>
          </cell>
          <cell r="CE144" t="str">
            <v>ECS ind</v>
          </cell>
          <cell r="CF144">
            <v>49896.14</v>
          </cell>
          <cell r="CG144">
            <v>14968.841999999999</v>
          </cell>
          <cell r="CH144">
            <v>22453.262999999995</v>
          </cell>
          <cell r="CI144">
            <v>12474.035</v>
          </cell>
          <cell r="CJ144" t="str">
            <v>-</v>
          </cell>
          <cell r="CK144" t="str">
            <v>-</v>
          </cell>
          <cell r="CL144" t="str">
            <v>-</v>
          </cell>
          <cell r="CM144" t="str">
            <v>-</v>
          </cell>
          <cell r="CN144">
            <v>0</v>
          </cell>
          <cell r="CQ144" t="str">
            <v>oui</v>
          </cell>
          <cell r="CR144">
            <v>150000</v>
          </cell>
          <cell r="CT144">
            <v>1019834</v>
          </cell>
          <cell r="CX144">
            <v>1169834</v>
          </cell>
          <cell r="DE144">
            <v>37422.104999999996</v>
          </cell>
          <cell r="DJ144">
            <v>37422.104999999996</v>
          </cell>
          <cell r="DO144">
            <v>0</v>
          </cell>
          <cell r="DQ144">
            <v>37100</v>
          </cell>
          <cell r="DR144">
            <v>17500</v>
          </cell>
          <cell r="DS144">
            <v>54600</v>
          </cell>
          <cell r="DT144">
            <v>109200</v>
          </cell>
          <cell r="DU144">
            <v>-1023211.895</v>
          </cell>
          <cell r="ED144" t="str">
            <v>G:\Habitat\OPERATIONNEL HABITAT\02- Operations\Photothèque\images locatifs\Lataniers\MONTAGE INSERTIONSLATANIERS .jpg</v>
          </cell>
          <cell r="EE144" t="str">
            <v>G:\Habitat\OPERATIONNEL HABITAT\02- Operations\Photothèque\images locatifs\Lataniers\PERS LATANIERS .jpg</v>
          </cell>
        </row>
        <row r="145">
          <cell r="A145" t="str">
            <v>LAVOIR 1</v>
          </cell>
          <cell r="B145">
            <v>9652</v>
          </cell>
          <cell r="C145" t="str">
            <v>SUD</v>
          </cell>
          <cell r="D145" t="str">
            <v>Saint-Pierre</v>
          </cell>
          <cell r="E145" t="str">
            <v>LE LAVOIR CENTRE VILLE</v>
          </cell>
          <cell r="F145">
            <v>32</v>
          </cell>
          <cell r="G145" t="str">
            <v>LLS</v>
          </cell>
          <cell r="J145" t="str">
            <v>COL</v>
          </cell>
          <cell r="K145" t="str">
            <v>ACQ</v>
          </cell>
          <cell r="M145" t="str">
            <v>non maitrisé</v>
          </cell>
          <cell r="N145" t="str">
            <v>PC</v>
          </cell>
          <cell r="O145" t="str">
            <v>CA</v>
          </cell>
          <cell r="P145" t="str">
            <v>CS</v>
          </cell>
          <cell r="R145">
            <v>2006</v>
          </cell>
          <cell r="T145" t="str">
            <v>dossier complexe lié au foncier</v>
          </cell>
          <cell r="U145" t="str">
            <v>M REYNAUD</v>
          </cell>
          <cell r="V145" t="str">
            <v>L - CHANTIER EN COURS</v>
          </cell>
          <cell r="W145">
            <v>38919</v>
          </cell>
          <cell r="X145" t="str">
            <v>d</v>
          </cell>
          <cell r="Y145" t="str">
            <v>97441606A0576</v>
          </cell>
          <cell r="Z145">
            <v>39211</v>
          </cell>
          <cell r="AA145" t="str">
            <v>o</v>
          </cell>
          <cell r="AB145">
            <v>38974</v>
          </cell>
          <cell r="AC145" t="str">
            <v>v</v>
          </cell>
          <cell r="AD145" t="str">
            <v>v</v>
          </cell>
          <cell r="AE145">
            <v>38967</v>
          </cell>
          <cell r="AF145" t="str">
            <v>f</v>
          </cell>
          <cell r="AG145">
            <v>39458</v>
          </cell>
          <cell r="AH145">
            <v>39659</v>
          </cell>
          <cell r="AI145" t="str">
            <v>ao</v>
          </cell>
          <cell r="AJ145">
            <v>39799</v>
          </cell>
          <cell r="AK145" t="str">
            <v>ch</v>
          </cell>
          <cell r="AL145">
            <v>4.6028406102051553</v>
          </cell>
          <cell r="AM145">
            <v>2008</v>
          </cell>
          <cell r="AN145">
            <v>18</v>
          </cell>
          <cell r="AO145">
            <v>40346</v>
          </cell>
          <cell r="AP145">
            <v>40361</v>
          </cell>
          <cell r="AQ145" t="str">
            <v/>
          </cell>
          <cell r="AR145">
            <v>2010</v>
          </cell>
          <cell r="AS145">
            <v>2</v>
          </cell>
          <cell r="AT145">
            <v>29</v>
          </cell>
          <cell r="AW145">
            <v>7</v>
          </cell>
          <cell r="AX145">
            <v>57</v>
          </cell>
          <cell r="BA145">
            <v>8</v>
          </cell>
          <cell r="BB145">
            <v>67</v>
          </cell>
          <cell r="BE145">
            <v>13</v>
          </cell>
          <cell r="BF145">
            <v>77</v>
          </cell>
          <cell r="BI145">
            <v>2</v>
          </cell>
          <cell r="BJ145">
            <v>88</v>
          </cell>
          <cell r="BK145">
            <v>32</v>
          </cell>
          <cell r="BL145">
            <v>6.31</v>
          </cell>
          <cell r="BM145">
            <v>0.31</v>
          </cell>
          <cell r="BO145" t="str">
            <v>à faire</v>
          </cell>
          <cell r="BQ145" t="str">
            <v>à faire</v>
          </cell>
          <cell r="BR145" t="str">
            <v>CG</v>
          </cell>
          <cell r="BU145" t="str">
            <v>CAF</v>
          </cell>
          <cell r="BX145" t="str">
            <v>En attente accord de principe</v>
          </cell>
          <cell r="BY145">
            <v>2131</v>
          </cell>
          <cell r="BZ145">
            <v>2945</v>
          </cell>
          <cell r="CA145">
            <v>2510.11</v>
          </cell>
          <cell r="CE145" t="str">
            <v>ECS ind</v>
          </cell>
          <cell r="CJ145" t="str">
            <v>SCI Saint Pierre</v>
          </cell>
          <cell r="CK145" t="str">
            <v>INFI</v>
          </cell>
          <cell r="CL145">
            <v>39773</v>
          </cell>
          <cell r="CM145" t="str">
            <v>-</v>
          </cell>
          <cell r="CN145">
            <v>0</v>
          </cell>
          <cell r="CO145" t="str">
            <v>199 undecies A</v>
          </cell>
          <cell r="CQ145" t="str">
            <v>non</v>
          </cell>
          <cell r="CX145">
            <v>0</v>
          </cell>
          <cell r="DE145">
            <v>0</v>
          </cell>
          <cell r="DJ145">
            <v>0</v>
          </cell>
          <cell r="DO145">
            <v>0</v>
          </cell>
          <cell r="DQ145">
            <v>143053</v>
          </cell>
          <cell r="DR145">
            <v>30352</v>
          </cell>
          <cell r="DS145">
            <v>173405</v>
          </cell>
          <cell r="DT145">
            <v>346810</v>
          </cell>
          <cell r="DU145">
            <v>346810</v>
          </cell>
          <cell r="ED145" t="str">
            <v>G:\Habitat\OPERATIONNEL HABITAT\02- Operations\Photothèque\images locatifs\LE LAVOIR PRE OP\insertion lavoir.jpg</v>
          </cell>
          <cell r="EE145" t="str">
            <v>G:\Habitat\OPERATIONNEL HABITAT\02- Operations\Photothèque\images locatifs\LE LAVOIR PRE OP\Masse le lavoir copie.jpg</v>
          </cell>
        </row>
        <row r="146">
          <cell r="A146" t="str">
            <v>LAVOIR 2</v>
          </cell>
          <cell r="B146">
            <v>9685</v>
          </cell>
          <cell r="C146" t="str">
            <v>SUD</v>
          </cell>
          <cell r="D146" t="str">
            <v>Saint-Pierre</v>
          </cell>
          <cell r="E146" t="str">
            <v>LE LAVOIR CENTRE VILLE</v>
          </cell>
          <cell r="F146">
            <v>48</v>
          </cell>
          <cell r="G146" t="str">
            <v>LLTS</v>
          </cell>
          <cell r="H146" t="str">
            <v>à déposer</v>
          </cell>
          <cell r="I146" t="str">
            <v>30CG5</v>
          </cell>
          <cell r="J146" t="str">
            <v>COL</v>
          </cell>
          <cell r="K146" t="str">
            <v>ACQ</v>
          </cell>
          <cell r="M146" t="str">
            <v>non maitrisé</v>
          </cell>
          <cell r="N146" t="str">
            <v>PC</v>
          </cell>
          <cell r="O146" t="str">
            <v>CA</v>
          </cell>
          <cell r="P146" t="str">
            <v>CS</v>
          </cell>
          <cell r="R146">
            <v>2006</v>
          </cell>
          <cell r="T146" t="str">
            <v>dossier complexe lié au foncier/surcout vrd/surcharge foncière</v>
          </cell>
          <cell r="U146" t="str">
            <v>M REYNAUD</v>
          </cell>
          <cell r="V146" t="str">
            <v>L - CHANTIER EN COURS</v>
          </cell>
          <cell r="W146">
            <v>38919</v>
          </cell>
          <cell r="X146" t="str">
            <v>d</v>
          </cell>
          <cell r="Y146" t="str">
            <v>97441606A0576</v>
          </cell>
          <cell r="Z146">
            <v>39211</v>
          </cell>
          <cell r="AA146" t="str">
            <v>o</v>
          </cell>
          <cell r="AB146">
            <v>38974</v>
          </cell>
          <cell r="AC146" t="str">
            <v>v</v>
          </cell>
          <cell r="AD146" t="str">
            <v>v</v>
          </cell>
          <cell r="AE146">
            <v>38967</v>
          </cell>
          <cell r="AF146" t="str">
            <v>f</v>
          </cell>
          <cell r="AG146">
            <v>39458</v>
          </cell>
          <cell r="AH146">
            <v>39659</v>
          </cell>
          <cell r="AI146" t="str">
            <v>ao</v>
          </cell>
          <cell r="AJ146">
            <v>39799</v>
          </cell>
          <cell r="AK146" t="str">
            <v>ch</v>
          </cell>
          <cell r="AL146">
            <v>4.6028406102051553</v>
          </cell>
          <cell r="AM146">
            <v>2008</v>
          </cell>
          <cell r="AN146">
            <v>18</v>
          </cell>
          <cell r="AO146">
            <v>40346</v>
          </cell>
          <cell r="AP146">
            <v>40361</v>
          </cell>
          <cell r="AQ146" t="str">
            <v/>
          </cell>
          <cell r="AR146">
            <v>2010</v>
          </cell>
          <cell r="AW146">
            <v>22</v>
          </cell>
          <cell r="AX146">
            <v>57</v>
          </cell>
          <cell r="BA146">
            <v>25</v>
          </cell>
          <cell r="BB146">
            <v>70</v>
          </cell>
          <cell r="BE146">
            <v>1</v>
          </cell>
          <cell r="BF146">
            <v>78</v>
          </cell>
          <cell r="BK146">
            <v>48</v>
          </cell>
          <cell r="BL146">
            <v>4.87</v>
          </cell>
          <cell r="BM146">
            <v>1.1100000000000001</v>
          </cell>
          <cell r="BO146" t="str">
            <v>à faire</v>
          </cell>
          <cell r="BQ146" t="str">
            <v>à faire</v>
          </cell>
          <cell r="BX146" t="str">
            <v>En attente accord de principe</v>
          </cell>
          <cell r="BY146">
            <v>2879</v>
          </cell>
          <cell r="BZ146">
            <v>6206</v>
          </cell>
          <cell r="CA146">
            <v>3588.07</v>
          </cell>
          <cell r="CE146" t="str">
            <v>ECS ind</v>
          </cell>
          <cell r="CJ146" t="str">
            <v>SCI Saint Pierre</v>
          </cell>
          <cell r="CK146" t="str">
            <v>INFI</v>
          </cell>
          <cell r="CL146">
            <v>39773</v>
          </cell>
          <cell r="CM146" t="str">
            <v>-</v>
          </cell>
          <cell r="CN146">
            <v>0</v>
          </cell>
          <cell r="CO146" t="str">
            <v>199 undecies A</v>
          </cell>
          <cell r="CQ146" t="str">
            <v>non</v>
          </cell>
          <cell r="CX146">
            <v>0</v>
          </cell>
          <cell r="DE146">
            <v>0</v>
          </cell>
          <cell r="DJ146">
            <v>0</v>
          </cell>
          <cell r="DO146">
            <v>0</v>
          </cell>
          <cell r="DQ146">
            <v>176556</v>
          </cell>
          <cell r="DR146">
            <v>45528</v>
          </cell>
          <cell r="DS146">
            <v>222084</v>
          </cell>
          <cell r="DT146">
            <v>444168</v>
          </cell>
          <cell r="DU146">
            <v>444168</v>
          </cell>
          <cell r="ED146" t="str">
            <v>G:\Habitat\OPERATIONNEL HABITAT\02- Operations\Photothèque\images locatifs\LE LAVOIR PRE OP\insertion lavoir.jpg</v>
          </cell>
          <cell r="EE146" t="str">
            <v>G:\Habitat\OPERATIONNEL HABITAT\02- Operations\Photothèque\images locatifs\LE LAVOIR PRE OP\Masse le lavoir copie.jpg</v>
          </cell>
        </row>
        <row r="147">
          <cell r="A147" t="str">
            <v>LAVOIR 3</v>
          </cell>
          <cell r="B147" t="str">
            <v>xxxx</v>
          </cell>
          <cell r="C147" t="str">
            <v>SUD</v>
          </cell>
          <cell r="D147" t="str">
            <v>Saint-Pierre</v>
          </cell>
          <cell r="E147" t="str">
            <v>LE LAVOIR CENTRE VILLE</v>
          </cell>
          <cell r="F147">
            <v>18</v>
          </cell>
          <cell r="G147" t="str">
            <v>PLS</v>
          </cell>
          <cell r="J147" t="str">
            <v>COL</v>
          </cell>
          <cell r="K147" t="str">
            <v>ACQ</v>
          </cell>
          <cell r="M147" t="str">
            <v>non maitrisé</v>
          </cell>
          <cell r="N147" t="str">
            <v>PC</v>
          </cell>
          <cell r="O147" t="str">
            <v>CA</v>
          </cell>
          <cell r="P147" t="str">
            <v>CS</v>
          </cell>
          <cell r="R147" t="str">
            <v>non prog</v>
          </cell>
          <cell r="T147" t="str">
            <v>terrain communaux à acquérir</v>
          </cell>
          <cell r="U147" t="str">
            <v>M REYNAUD</v>
          </cell>
          <cell r="V147" t="str">
            <v>D - ESQUISSES</v>
          </cell>
          <cell r="X147" t="str">
            <v/>
          </cell>
          <cell r="AA147" t="str">
            <v/>
          </cell>
          <cell r="AC147" t="str">
            <v/>
          </cell>
          <cell r="AF147" t="str">
            <v/>
          </cell>
          <cell r="AI147" t="str">
            <v/>
          </cell>
          <cell r="AK147" t="str">
            <v/>
          </cell>
          <cell r="AL147">
            <v>0</v>
          </cell>
          <cell r="AM147" t="str">
            <v/>
          </cell>
          <cell r="AO147">
            <v>0</v>
          </cell>
          <cell r="AQ147" t="str">
            <v/>
          </cell>
          <cell r="BK147">
            <v>0</v>
          </cell>
          <cell r="CJ147" t="str">
            <v>-</v>
          </cell>
          <cell r="CK147" t="str">
            <v>-</v>
          </cell>
          <cell r="CL147" t="str">
            <v>-</v>
          </cell>
          <cell r="CM147" t="str">
            <v>-</v>
          </cell>
          <cell r="CN147">
            <v>0</v>
          </cell>
          <cell r="CQ147" t="str">
            <v>non</v>
          </cell>
          <cell r="CX147">
            <v>0</v>
          </cell>
          <cell r="DE147">
            <v>0</v>
          </cell>
          <cell r="DJ147">
            <v>0</v>
          </cell>
          <cell r="DO147">
            <v>0</v>
          </cell>
          <cell r="DS147">
            <v>0</v>
          </cell>
          <cell r="DT147">
            <v>0</v>
          </cell>
          <cell r="DU147">
            <v>0</v>
          </cell>
          <cell r="ED147" t="str">
            <v>G:\Habitat\OPERATIONNEL HABITAT\02- Operations\Photothèque\images locatifs\LE LAVOIR PRE OP\insertion lavoir.jpg</v>
          </cell>
          <cell r="EE147" t="str">
            <v>G:\Habitat\OPERATIONNEL HABITAT\02- Operations\Photothèque\images locatifs\LE LAVOIR PRE OP\Masse le lavoir copie.jpg</v>
          </cell>
        </row>
        <row r="148">
          <cell r="A148" t="str">
            <v>LE FLORENTIN</v>
          </cell>
          <cell r="B148">
            <v>9749</v>
          </cell>
          <cell r="C148" t="str">
            <v>NORD</v>
          </cell>
          <cell r="D148" t="str">
            <v>Saint-Denis</v>
          </cell>
          <cell r="F148">
            <v>65</v>
          </cell>
          <cell r="G148" t="str">
            <v>LLS</v>
          </cell>
          <cell r="J148" t="str">
            <v>COL</v>
          </cell>
          <cell r="K148" t="str">
            <v>ACQ</v>
          </cell>
          <cell r="L148" t="str">
            <v>autres</v>
          </cell>
          <cell r="M148" t="str">
            <v>autres</v>
          </cell>
          <cell r="N148" t="str">
            <v>JEM</v>
          </cell>
          <cell r="P148" t="str">
            <v>CS</v>
          </cell>
          <cell r="R148">
            <v>2008</v>
          </cell>
          <cell r="T148" t="str">
            <v>OCEANIS</v>
          </cell>
          <cell r="U148" t="str">
            <v>Goetz</v>
          </cell>
          <cell r="V148" t="str">
            <v>J - PREPARATION MARCHES</v>
          </cell>
          <cell r="X148" t="str">
            <v/>
          </cell>
          <cell r="Z148" t="str">
            <v>obtenu</v>
          </cell>
          <cell r="AA148" t="str">
            <v/>
          </cell>
          <cell r="AB148">
            <v>39708</v>
          </cell>
          <cell r="AC148" t="str">
            <v>v</v>
          </cell>
          <cell r="AD148">
            <v>39710</v>
          </cell>
          <cell r="AE148">
            <v>39715</v>
          </cell>
          <cell r="AF148" t="str">
            <v>f</v>
          </cell>
          <cell r="AH148">
            <v>39598</v>
          </cell>
          <cell r="AI148" t="str">
            <v>ao</v>
          </cell>
          <cell r="AJ148">
            <v>39845</v>
          </cell>
          <cell r="AK148" t="str">
            <v>ch</v>
          </cell>
          <cell r="AL148">
            <v>8.1207259337190951</v>
          </cell>
          <cell r="AM148">
            <v>2009</v>
          </cell>
          <cell r="AN148">
            <v>15</v>
          </cell>
          <cell r="AO148">
            <v>40299</v>
          </cell>
          <cell r="AP148">
            <v>40314</v>
          </cell>
          <cell r="AQ148" t="str">
            <v/>
          </cell>
          <cell r="AR148">
            <v>2010</v>
          </cell>
          <cell r="BX148" t="str">
            <v>En attente accord de principe</v>
          </cell>
          <cell r="CJ148" t="str">
            <v>SNC Florentin</v>
          </cell>
          <cell r="CK148" t="str">
            <v>ALCYOM</v>
          </cell>
          <cell r="CL148" t="str">
            <v>-</v>
          </cell>
          <cell r="CM148" t="str">
            <v>-</v>
          </cell>
          <cell r="CN148">
            <v>0</v>
          </cell>
          <cell r="CQ148" t="str">
            <v>non</v>
          </cell>
          <cell r="CX148">
            <v>0</v>
          </cell>
          <cell r="DE148">
            <v>0</v>
          </cell>
          <cell r="DJ148">
            <v>0</v>
          </cell>
          <cell r="DO148">
            <v>0</v>
          </cell>
          <cell r="DS148">
            <v>0</v>
          </cell>
          <cell r="DT148">
            <v>0</v>
          </cell>
          <cell r="DU148">
            <v>0</v>
          </cell>
          <cell r="DV148" t="str">
            <v>OCEANIS</v>
          </cell>
          <cell r="ED148" t="str">
            <v>G:\Habitat\OPERATIONNEL HABITAT\02- Operations\Photothèque\image non disponible.jpg</v>
          </cell>
          <cell r="EE148" t="str">
            <v>G:\Habitat\OPERATIONNEL HABITAT\02- Operations\Photothèque\image non disponible.jpg</v>
          </cell>
          <cell r="EL148">
            <v>5</v>
          </cell>
          <cell r="EM148">
            <v>100000</v>
          </cell>
          <cell r="EN148" t="str">
            <v>signée</v>
          </cell>
        </row>
        <row r="149">
          <cell r="A149" t="str">
            <v>LES CANOTS</v>
          </cell>
          <cell r="B149">
            <v>9447</v>
          </cell>
          <cell r="C149" t="str">
            <v>SUD</v>
          </cell>
          <cell r="D149" t="str">
            <v>Saint-Joseph</v>
          </cell>
          <cell r="E149" t="str">
            <v>LA CAYENNE</v>
          </cell>
          <cell r="F149">
            <v>20</v>
          </cell>
          <cell r="G149" t="str">
            <v>LESG</v>
          </cell>
          <cell r="J149" t="str">
            <v>IND</v>
          </cell>
          <cell r="K149" t="str">
            <v>CF</v>
          </cell>
          <cell r="L149" t="str">
            <v>SIDR</v>
          </cell>
          <cell r="N149" t="str">
            <v>EC</v>
          </cell>
          <cell r="O149" t="str">
            <v>FG</v>
          </cell>
          <cell r="P149" t="str">
            <v>LV</v>
          </cell>
          <cell r="Q149" t="str">
            <v>HBM</v>
          </cell>
          <cell r="R149">
            <v>2002</v>
          </cell>
          <cell r="U149" t="str">
            <v>MEUNIER</v>
          </cell>
          <cell r="V149" t="str">
            <v>M - LIVRE/GPA</v>
          </cell>
          <cell r="W149">
            <v>37449</v>
          </cell>
          <cell r="X149" t="str">
            <v>d</v>
          </cell>
          <cell r="Z149">
            <v>37552</v>
          </cell>
          <cell r="AA149" t="str">
            <v>o</v>
          </cell>
          <cell r="AB149" t="str">
            <v>validé</v>
          </cell>
          <cell r="AC149" t="str">
            <v/>
          </cell>
          <cell r="AD149" t="str">
            <v/>
          </cell>
          <cell r="AE149">
            <v>37551</v>
          </cell>
          <cell r="AF149" t="str">
            <v>f</v>
          </cell>
          <cell r="AG149">
            <v>37607</v>
          </cell>
          <cell r="AH149">
            <v>37544</v>
          </cell>
          <cell r="AI149" t="str">
            <v>ao</v>
          </cell>
          <cell r="AJ149">
            <v>37895</v>
          </cell>
          <cell r="AK149" t="str">
            <v/>
          </cell>
          <cell r="AL149">
            <v>11.539978958442925</v>
          </cell>
          <cell r="AM149">
            <v>2003</v>
          </cell>
          <cell r="AN149">
            <v>13</v>
          </cell>
          <cell r="AO149">
            <v>38292</v>
          </cell>
          <cell r="AP149">
            <v>38275</v>
          </cell>
          <cell r="AQ149" t="str">
            <v>li</v>
          </cell>
          <cell r="AR149">
            <v>2004</v>
          </cell>
          <cell r="CJ149" t="str">
            <v>-</v>
          </cell>
          <cell r="CK149" t="str">
            <v>-</v>
          </cell>
          <cell r="CL149" t="str">
            <v>-</v>
          </cell>
          <cell r="CM149" t="str">
            <v>-</v>
          </cell>
          <cell r="CN149">
            <v>0</v>
          </cell>
          <cell r="CQ149" t="str">
            <v>oui</v>
          </cell>
          <cell r="CX149">
            <v>0</v>
          </cell>
          <cell r="DE149">
            <v>0</v>
          </cell>
          <cell r="DJ149">
            <v>0</v>
          </cell>
          <cell r="DO149">
            <v>0</v>
          </cell>
          <cell r="DS149">
            <v>0</v>
          </cell>
          <cell r="DT149">
            <v>0</v>
          </cell>
          <cell r="DU149">
            <v>0</v>
          </cell>
          <cell r="ED149" t="str">
            <v>G:\Habitat\OPERATIONNEL HABITAT\02- Operations\Photothèque\image non disponible.jpg</v>
          </cell>
          <cell r="EE149" t="str">
            <v>G:\Habitat\OPERATIONNEL HABITAT\02- Operations\Photothèque\image non disponible.jpg</v>
          </cell>
        </row>
        <row r="150">
          <cell r="A150" t="str">
            <v>LES GERANIUMS</v>
          </cell>
          <cell r="B150">
            <v>9309</v>
          </cell>
          <cell r="C150" t="str">
            <v>OUEST</v>
          </cell>
          <cell r="D150" t="str">
            <v>Trois-Bassins</v>
          </cell>
          <cell r="E150" t="str">
            <v>VRD COMMUN /FRAFU 2</v>
          </cell>
          <cell r="F150">
            <v>12</v>
          </cell>
          <cell r="G150" t="str">
            <v>LESG</v>
          </cell>
          <cell r="J150" t="str">
            <v>IND</v>
          </cell>
          <cell r="K150" t="str">
            <v>CF</v>
          </cell>
          <cell r="L150" t="str">
            <v>SIDR</v>
          </cell>
          <cell r="N150" t="str">
            <v>EC</v>
          </cell>
          <cell r="O150" t="str">
            <v>FG</v>
          </cell>
          <cell r="P150" t="str">
            <v>LV</v>
          </cell>
          <cell r="Q150" t="str">
            <v>EC</v>
          </cell>
          <cell r="R150">
            <v>2003</v>
          </cell>
          <cell r="U150" t="str">
            <v>SOAA MEUNIER</v>
          </cell>
          <cell r="V150" t="str">
            <v>M - LIVRE/GPA</v>
          </cell>
          <cell r="W150">
            <v>37819</v>
          </cell>
          <cell r="X150" t="str">
            <v>d</v>
          </cell>
          <cell r="Z150">
            <v>37935</v>
          </cell>
          <cell r="AA150" t="str">
            <v>o</v>
          </cell>
          <cell r="AB150" t="str">
            <v>validé</v>
          </cell>
          <cell r="AC150" t="str">
            <v/>
          </cell>
          <cell r="AD150" t="str">
            <v/>
          </cell>
          <cell r="AE150">
            <v>37909</v>
          </cell>
          <cell r="AF150" t="str">
            <v>f</v>
          </cell>
          <cell r="AG150">
            <v>37978</v>
          </cell>
          <cell r="AH150">
            <v>38061</v>
          </cell>
          <cell r="AI150" t="str">
            <v>ao</v>
          </cell>
          <cell r="AJ150">
            <v>38139</v>
          </cell>
          <cell r="AK150" t="str">
            <v/>
          </cell>
          <cell r="AL150">
            <v>2.5644397685428721</v>
          </cell>
          <cell r="AM150">
            <v>2004</v>
          </cell>
          <cell r="AN150">
            <v>12</v>
          </cell>
          <cell r="AO150">
            <v>38504</v>
          </cell>
          <cell r="AP150">
            <v>38716</v>
          </cell>
          <cell r="AQ150" t="str">
            <v>li</v>
          </cell>
          <cell r="AR150">
            <v>2005</v>
          </cell>
          <cell r="CJ150" t="str">
            <v>-</v>
          </cell>
          <cell r="CK150" t="str">
            <v>-</v>
          </cell>
          <cell r="CL150" t="str">
            <v>-</v>
          </cell>
          <cell r="CM150" t="str">
            <v>-</v>
          </cell>
          <cell r="CN150">
            <v>0</v>
          </cell>
          <cell r="CQ150" t="str">
            <v>oui</v>
          </cell>
          <cell r="CX150">
            <v>0</v>
          </cell>
          <cell r="DE150">
            <v>0</v>
          </cell>
          <cell r="DJ150">
            <v>0</v>
          </cell>
          <cell r="DO150">
            <v>0</v>
          </cell>
          <cell r="DS150">
            <v>0</v>
          </cell>
          <cell r="DT150">
            <v>0</v>
          </cell>
          <cell r="DU150">
            <v>0</v>
          </cell>
          <cell r="ED150" t="str">
            <v>G:\Habitat\OPERATIONNEL HABITAT\02- Operations\Photothèque\images casevo\Geranium\geraniums (1).jpg</v>
          </cell>
          <cell r="EE150" t="str">
            <v>G:\Habitat\OPERATIONNEL HABITAT\02- Operations\Photothèque\images casevo\Geranium\geraniums (2).jpg</v>
          </cell>
        </row>
        <row r="151">
          <cell r="A151" t="str">
            <v>LES GERANIUMS</v>
          </cell>
          <cell r="C151" t="str">
            <v>OUEST</v>
          </cell>
          <cell r="D151" t="str">
            <v>Trois-Bassins</v>
          </cell>
          <cell r="E151" t="str">
            <v>CENTRE VILLE</v>
          </cell>
          <cell r="F151">
            <v>53</v>
          </cell>
          <cell r="G151" t="str">
            <v>LLS</v>
          </cell>
          <cell r="J151" t="str">
            <v>IND</v>
          </cell>
          <cell r="N151" t="str">
            <v>BS</v>
          </cell>
          <cell r="R151">
            <v>2012</v>
          </cell>
          <cell r="V151" t="str">
            <v>A - NON LANCE</v>
          </cell>
          <cell r="X151" t="str">
            <v/>
          </cell>
          <cell r="AA151" t="str">
            <v/>
          </cell>
          <cell r="AC151" t="str">
            <v/>
          </cell>
          <cell r="AF151" t="str">
            <v/>
          </cell>
          <cell r="AI151" t="str">
            <v/>
          </cell>
          <cell r="AK151" t="str">
            <v/>
          </cell>
          <cell r="AL151">
            <v>0</v>
          </cell>
          <cell r="AM151" t="str">
            <v/>
          </cell>
          <cell r="AO151" t="str">
            <v/>
          </cell>
          <cell r="AP151" t="str">
            <v/>
          </cell>
          <cell r="AQ151" t="str">
            <v/>
          </cell>
          <cell r="AR151" t="str">
            <v/>
          </cell>
          <cell r="CJ151" t="str">
            <v>-</v>
          </cell>
          <cell r="CK151" t="str">
            <v>-</v>
          </cell>
          <cell r="CL151" t="str">
            <v>-</v>
          </cell>
          <cell r="CM151" t="str">
            <v>-</v>
          </cell>
          <cell r="CN151">
            <v>0</v>
          </cell>
          <cell r="CQ151" t="str">
            <v>non</v>
          </cell>
          <cell r="CX151">
            <v>0</v>
          </cell>
          <cell r="DE151">
            <v>0</v>
          </cell>
          <cell r="DJ151">
            <v>0</v>
          </cell>
          <cell r="DO151">
            <v>0</v>
          </cell>
          <cell r="DS151">
            <v>0</v>
          </cell>
          <cell r="DT151">
            <v>0</v>
          </cell>
          <cell r="DU151">
            <v>0</v>
          </cell>
          <cell r="ED151" t="str">
            <v>G:\Habitat\OPERATIONNEL HABITAT\02- Operations\Photothèque\images casevo\Geranium\geraniums (1).jpg</v>
          </cell>
          <cell r="EE151" t="str">
            <v>G:\Habitat\OPERATIONNEL HABITAT\02- Operations\Photothèque\images casevo\Geranium\geraniums (2).jpg</v>
          </cell>
        </row>
        <row r="152">
          <cell r="A152" t="str">
            <v>LES GLORIEUSES</v>
          </cell>
          <cell r="B152">
            <v>9436</v>
          </cell>
          <cell r="C152" t="str">
            <v>NORD</v>
          </cell>
          <cell r="D152" t="str">
            <v>Saint-Denis</v>
          </cell>
          <cell r="E152" t="str">
            <v>ILES EPARSES</v>
          </cell>
          <cell r="F152">
            <v>8</v>
          </cell>
          <cell r="G152" t="str">
            <v>PTZ</v>
          </cell>
          <cell r="J152" t="str">
            <v>IND</v>
          </cell>
          <cell r="K152" t="str">
            <v>CF</v>
          </cell>
          <cell r="L152" t="str">
            <v>SIDR</v>
          </cell>
          <cell r="N152" t="str">
            <v>EC</v>
          </cell>
          <cell r="O152" t="str">
            <v>FG</v>
          </cell>
          <cell r="P152" t="str">
            <v>LV</v>
          </cell>
          <cell r="Q152" t="str">
            <v>ALG</v>
          </cell>
          <cell r="R152">
            <v>2002</v>
          </cell>
          <cell r="U152" t="str">
            <v>ATELIER GAZUT</v>
          </cell>
          <cell r="V152" t="str">
            <v>M - LIVRE/GPA</v>
          </cell>
          <cell r="W152">
            <v>37609</v>
          </cell>
          <cell r="X152" t="str">
            <v>d</v>
          </cell>
          <cell r="Z152">
            <v>37706</v>
          </cell>
          <cell r="AA152" t="str">
            <v>o</v>
          </cell>
          <cell r="AB152" t="str">
            <v>validé</v>
          </cell>
          <cell r="AC152" t="str">
            <v/>
          </cell>
          <cell r="AD152">
            <v>0</v>
          </cell>
          <cell r="AF152" t="str">
            <v/>
          </cell>
          <cell r="AH152">
            <v>38122</v>
          </cell>
          <cell r="AI152" t="str">
            <v>ao</v>
          </cell>
          <cell r="AJ152">
            <v>38200</v>
          </cell>
          <cell r="AK152" t="str">
            <v/>
          </cell>
          <cell r="AL152">
            <v>2.5644397685428721</v>
          </cell>
          <cell r="AM152">
            <v>2004</v>
          </cell>
          <cell r="AN152">
            <v>12</v>
          </cell>
          <cell r="AO152">
            <v>38565</v>
          </cell>
          <cell r="AP152">
            <v>39187</v>
          </cell>
          <cell r="AQ152" t="str">
            <v>li</v>
          </cell>
          <cell r="AR152">
            <v>2007</v>
          </cell>
          <cell r="CJ152" t="str">
            <v>-</v>
          </cell>
          <cell r="CK152" t="str">
            <v>-</v>
          </cell>
          <cell r="CL152" t="str">
            <v>-</v>
          </cell>
          <cell r="CM152" t="str">
            <v>-</v>
          </cell>
          <cell r="CN152">
            <v>0</v>
          </cell>
          <cell r="CQ152" t="str">
            <v>oui</v>
          </cell>
          <cell r="CX152">
            <v>0</v>
          </cell>
          <cell r="DE152">
            <v>0</v>
          </cell>
          <cell r="DJ152">
            <v>0</v>
          </cell>
          <cell r="DO152">
            <v>0</v>
          </cell>
          <cell r="DS152">
            <v>0</v>
          </cell>
          <cell r="DT152">
            <v>0</v>
          </cell>
          <cell r="DU152">
            <v>0</v>
          </cell>
          <cell r="ED152" t="str">
            <v>G:\Habitat\OPERATIONNEL HABITAT\02- Operations\Photothèque\image non disponible.jpg</v>
          </cell>
          <cell r="EE152" t="str">
            <v>G:\Habitat\OPERATIONNEL HABITAT\02- Operations\Photothèque\image non disponible.jpg</v>
          </cell>
        </row>
        <row r="153">
          <cell r="A153" t="str">
            <v>LES HESPERIDES 1-2-3</v>
          </cell>
          <cell r="B153">
            <v>9450</v>
          </cell>
          <cell r="C153" t="str">
            <v>SUD</v>
          </cell>
          <cell r="D153" t="str">
            <v>Saint-Pierre</v>
          </cell>
          <cell r="E153" t="str">
            <v>RHI BASSE TERRE</v>
          </cell>
          <cell r="F153">
            <v>43</v>
          </cell>
          <cell r="G153" t="str">
            <v>LESG</v>
          </cell>
          <cell r="J153" t="str">
            <v>IND</v>
          </cell>
          <cell r="K153" t="str">
            <v>CF</v>
          </cell>
          <cell r="L153" t="str">
            <v>SIDR</v>
          </cell>
          <cell r="N153" t="str">
            <v>EC</v>
          </cell>
          <cell r="O153" t="str">
            <v>OS</v>
          </cell>
          <cell r="P153" t="str">
            <v>LV</v>
          </cell>
          <cell r="Q153" t="str">
            <v>HBM</v>
          </cell>
          <cell r="R153">
            <v>2002</v>
          </cell>
          <cell r="U153" t="str">
            <v>SOAA MEUNIER</v>
          </cell>
          <cell r="V153" t="str">
            <v>M - LIVRE/GPA</v>
          </cell>
          <cell r="W153">
            <v>37449</v>
          </cell>
          <cell r="X153" t="str">
            <v>d</v>
          </cell>
          <cell r="Z153">
            <v>37543</v>
          </cell>
          <cell r="AA153" t="str">
            <v>o</v>
          </cell>
          <cell r="AB153" t="str">
            <v>validé</v>
          </cell>
          <cell r="AC153" t="str">
            <v/>
          </cell>
          <cell r="AD153" t="str">
            <v/>
          </cell>
          <cell r="AE153">
            <v>37554</v>
          </cell>
          <cell r="AF153" t="str">
            <v>f</v>
          </cell>
          <cell r="AG153">
            <v>37613</v>
          </cell>
          <cell r="AH153">
            <v>37726</v>
          </cell>
          <cell r="AI153" t="str">
            <v>ao</v>
          </cell>
          <cell r="AJ153">
            <v>37834</v>
          </cell>
          <cell r="AK153" t="str">
            <v/>
          </cell>
          <cell r="AL153">
            <v>3.550762756443977</v>
          </cell>
          <cell r="AM153">
            <v>2003</v>
          </cell>
          <cell r="AN153">
            <v>18</v>
          </cell>
          <cell r="AO153">
            <v>38384</v>
          </cell>
          <cell r="AP153">
            <v>38701</v>
          </cell>
          <cell r="AQ153" t="str">
            <v>li</v>
          </cell>
          <cell r="AR153">
            <v>2005</v>
          </cell>
          <cell r="CJ153" t="str">
            <v>-</v>
          </cell>
          <cell r="CK153" t="str">
            <v>-</v>
          </cell>
          <cell r="CL153" t="str">
            <v>-</v>
          </cell>
          <cell r="CM153" t="str">
            <v>-</v>
          </cell>
          <cell r="CN153">
            <v>0</v>
          </cell>
          <cell r="CQ153" t="str">
            <v>oui</v>
          </cell>
          <cell r="CX153">
            <v>0</v>
          </cell>
          <cell r="DE153">
            <v>0</v>
          </cell>
          <cell r="DJ153">
            <v>0</v>
          </cell>
          <cell r="DO153">
            <v>0</v>
          </cell>
          <cell r="DS153">
            <v>0</v>
          </cell>
          <cell r="DT153">
            <v>0</v>
          </cell>
          <cell r="DU153">
            <v>0</v>
          </cell>
          <cell r="ED153" t="str">
            <v>G:\Habitat\OPERATIONNEL HABITAT\02- Operations\Photothèque\image non disponible.jpg</v>
          </cell>
          <cell r="EE153" t="str">
            <v>G:\Habitat\OPERATIONNEL HABITAT\02- Operations\Photothèque\image non disponible.jpg</v>
          </cell>
        </row>
        <row r="154">
          <cell r="A154" t="str">
            <v>BADAMIER (exLES HYACINTHE CARMABOLES)</v>
          </cell>
          <cell r="C154" t="str">
            <v>NORD</v>
          </cell>
          <cell r="D154" t="str">
            <v>Saint-Denis</v>
          </cell>
          <cell r="E154" t="str">
            <v>RHI HYACINTHE CARAMBOLES</v>
          </cell>
          <cell r="F154">
            <v>13</v>
          </cell>
          <cell r="G154" t="str">
            <v>LESG</v>
          </cell>
          <cell r="J154" t="str">
            <v>IND</v>
          </cell>
          <cell r="K154" t="str">
            <v>CF</v>
          </cell>
          <cell r="L154" t="str">
            <v>SIDR</v>
          </cell>
          <cell r="M154" t="str">
            <v>maitrisé</v>
          </cell>
          <cell r="N154" t="str">
            <v>JEM</v>
          </cell>
          <cell r="O154" t="str">
            <v>PE</v>
          </cell>
          <cell r="P154" t="str">
            <v>LV</v>
          </cell>
          <cell r="Q154" t="str">
            <v>AR</v>
          </cell>
          <cell r="R154">
            <v>2009</v>
          </cell>
          <cell r="S154">
            <v>0.25</v>
          </cell>
          <cell r="T154" t="str">
            <v xml:space="preserve">retard amenagt </v>
          </cell>
          <cell r="U154" t="str">
            <v>GAZUT</v>
          </cell>
          <cell r="V154" t="str">
            <v>D - ESQUISSES</v>
          </cell>
          <cell r="W154">
            <v>39933</v>
          </cell>
          <cell r="X154" t="str">
            <v/>
          </cell>
          <cell r="AA154" t="str">
            <v/>
          </cell>
          <cell r="AB154">
            <v>40040</v>
          </cell>
          <cell r="AC154" t="str">
            <v/>
          </cell>
          <cell r="AE154">
            <v>40071</v>
          </cell>
          <cell r="AH154">
            <v>40084</v>
          </cell>
          <cell r="AI154" t="str">
            <v/>
          </cell>
          <cell r="AJ154">
            <v>40265</v>
          </cell>
          <cell r="AK154" t="str">
            <v/>
          </cell>
          <cell r="AL154">
            <v>5.9508153603366649</v>
          </cell>
          <cell r="AM154">
            <v>2010</v>
          </cell>
          <cell r="AN154">
            <v>14</v>
          </cell>
          <cell r="AO154">
            <v>40691</v>
          </cell>
          <cell r="AP154">
            <v>40706</v>
          </cell>
          <cell r="AQ154" t="str">
            <v/>
          </cell>
          <cell r="AR154">
            <v>2011</v>
          </cell>
          <cell r="CJ154" t="str">
            <v>-</v>
          </cell>
          <cell r="CK154" t="str">
            <v>-</v>
          </cell>
          <cell r="CL154" t="str">
            <v>-</v>
          </cell>
          <cell r="CM154" t="str">
            <v>-</v>
          </cell>
          <cell r="CN154">
            <v>0</v>
          </cell>
          <cell r="CQ154" t="str">
            <v>non</v>
          </cell>
          <cell r="CX154">
            <v>0</v>
          </cell>
          <cell r="DE154">
            <v>0</v>
          </cell>
          <cell r="DJ154">
            <v>0</v>
          </cell>
          <cell r="DO154">
            <v>0</v>
          </cell>
          <cell r="DS154">
            <v>0</v>
          </cell>
          <cell r="DT154">
            <v>0</v>
          </cell>
          <cell r="DU154">
            <v>0</v>
          </cell>
          <cell r="ED154" t="str">
            <v>G:\Habitat\OPERATIONNEL HABITAT\02- Operations\Photothèque\image non disponible.jpg</v>
          </cell>
          <cell r="EE154" t="str">
            <v>G:\Habitat\OPERATIONNEL HABITAT\02- Operations\Photothèque\image non disponible.jpg</v>
          </cell>
        </row>
        <row r="155">
          <cell r="A155" t="str">
            <v>LONGANIS (LES HYACINTHE CARMABOLES)</v>
          </cell>
          <cell r="C155" t="str">
            <v>NORD</v>
          </cell>
          <cell r="D155" t="str">
            <v>Saint-Denis</v>
          </cell>
          <cell r="E155" t="str">
            <v>RHI HYACINTHE CARAMBOLES</v>
          </cell>
          <cell r="F155">
            <v>16</v>
          </cell>
          <cell r="G155" t="str">
            <v>LESG</v>
          </cell>
          <cell r="J155" t="str">
            <v>IND</v>
          </cell>
          <cell r="K155" t="str">
            <v>CF</v>
          </cell>
          <cell r="L155" t="str">
            <v>SIDR</v>
          </cell>
          <cell r="N155" t="str">
            <v>JEM</v>
          </cell>
          <cell r="P155" t="str">
            <v>CS</v>
          </cell>
          <cell r="Q155" t="str">
            <v>AR</v>
          </cell>
          <cell r="R155">
            <v>2010</v>
          </cell>
          <cell r="T155" t="str">
            <v>dépend du relogement sur l'opération COCO</v>
          </cell>
          <cell r="V155" t="str">
            <v>A - NON LANCE</v>
          </cell>
          <cell r="X155" t="str">
            <v/>
          </cell>
          <cell r="AA155" t="str">
            <v/>
          </cell>
          <cell r="AC155" t="str">
            <v/>
          </cell>
          <cell r="AI155" t="str">
            <v/>
          </cell>
          <cell r="AK155" t="str">
            <v/>
          </cell>
          <cell r="AL155">
            <v>0</v>
          </cell>
          <cell r="AO155" t="str">
            <v/>
          </cell>
          <cell r="AP155" t="str">
            <v/>
          </cell>
          <cell r="AQ155" t="str">
            <v/>
          </cell>
          <cell r="CJ155" t="str">
            <v>-</v>
          </cell>
          <cell r="CK155" t="str">
            <v>-</v>
          </cell>
          <cell r="CL155" t="str">
            <v>-</v>
          </cell>
          <cell r="CM155" t="str">
            <v>-</v>
          </cell>
          <cell r="CN155">
            <v>0</v>
          </cell>
          <cell r="CQ155" t="str">
            <v>non</v>
          </cell>
          <cell r="CX155">
            <v>0</v>
          </cell>
          <cell r="DE155">
            <v>0</v>
          </cell>
          <cell r="DJ155">
            <v>0</v>
          </cell>
          <cell r="DO155">
            <v>0</v>
          </cell>
          <cell r="DS155">
            <v>0</v>
          </cell>
          <cell r="DT155">
            <v>0</v>
          </cell>
          <cell r="DU155">
            <v>0</v>
          </cell>
          <cell r="ED155" t="str">
            <v>G:\Habitat\OPERATIONNEL HABITAT\02- Operations\Photothèque\image non disponible.jpg</v>
          </cell>
          <cell r="EE155" t="str">
            <v>G:\Habitat\OPERATIONNEL HABITAT\02- Operations\Photothèque\image non disponible.jpg</v>
          </cell>
        </row>
        <row r="156">
          <cell r="A156" t="str">
            <v>LES JACQUES</v>
          </cell>
          <cell r="B156">
            <v>9678</v>
          </cell>
          <cell r="C156" t="str">
            <v>EST</v>
          </cell>
          <cell r="D156" t="str">
            <v>Saint-André</v>
          </cell>
          <cell r="E156" t="str">
            <v>ZAC CRESSONIERE</v>
          </cell>
          <cell r="F156">
            <v>9</v>
          </cell>
          <cell r="G156" t="str">
            <v>LESG</v>
          </cell>
          <cell r="J156" t="str">
            <v>IND</v>
          </cell>
          <cell r="K156" t="str">
            <v>CF</v>
          </cell>
          <cell r="L156" t="str">
            <v>SIDR</v>
          </cell>
          <cell r="M156" t="str">
            <v>maitrisé</v>
          </cell>
          <cell r="N156" t="str">
            <v>BS</v>
          </cell>
          <cell r="O156" t="str">
            <v>OS</v>
          </cell>
          <cell r="P156" t="str">
            <v>LV</v>
          </cell>
          <cell r="Q156" t="str">
            <v>SPG</v>
          </cell>
          <cell r="R156">
            <v>2006</v>
          </cell>
          <cell r="T156" t="str">
            <v>Mur avec riverains</v>
          </cell>
          <cell r="U156" t="str">
            <v>ROUX</v>
          </cell>
          <cell r="V156" t="str">
            <v>L - CHANTIER EN COURS</v>
          </cell>
          <cell r="W156">
            <v>38975</v>
          </cell>
          <cell r="X156" t="str">
            <v>d</v>
          </cell>
          <cell r="Y156" t="str">
            <v>97440906a0542</v>
          </cell>
          <cell r="Z156">
            <v>39143</v>
          </cell>
          <cell r="AA156" t="str">
            <v>o</v>
          </cell>
          <cell r="AB156">
            <v>40040</v>
          </cell>
          <cell r="AC156" t="str">
            <v/>
          </cell>
          <cell r="AD156">
            <v>0</v>
          </cell>
          <cell r="AE156">
            <v>40071</v>
          </cell>
          <cell r="AF156" t="str">
            <v/>
          </cell>
          <cell r="AG156">
            <v>39080</v>
          </cell>
          <cell r="AH156">
            <v>39363</v>
          </cell>
          <cell r="AI156" t="str">
            <v>ao</v>
          </cell>
          <cell r="AJ156">
            <v>39545</v>
          </cell>
          <cell r="AK156" t="str">
            <v>ch</v>
          </cell>
          <cell r="AL156">
            <v>5.9836927932667017</v>
          </cell>
          <cell r="AM156">
            <v>2008</v>
          </cell>
          <cell r="AN156">
            <v>12</v>
          </cell>
          <cell r="AO156">
            <v>39910</v>
          </cell>
          <cell r="AP156">
            <v>39925</v>
          </cell>
          <cell r="AQ156" t="str">
            <v/>
          </cell>
          <cell r="AR156">
            <v>2009</v>
          </cell>
          <cell r="CJ156" t="str">
            <v>-</v>
          </cell>
          <cell r="CK156" t="str">
            <v>-</v>
          </cell>
          <cell r="CL156" t="str">
            <v>-</v>
          </cell>
          <cell r="CM156" t="str">
            <v>-</v>
          </cell>
          <cell r="CN156">
            <v>0</v>
          </cell>
          <cell r="CQ156" t="str">
            <v>non</v>
          </cell>
          <cell r="CX156">
            <v>0</v>
          </cell>
          <cell r="DE156">
            <v>0</v>
          </cell>
          <cell r="DJ156">
            <v>0</v>
          </cell>
          <cell r="DO156">
            <v>0</v>
          </cell>
          <cell r="DS156">
            <v>0</v>
          </cell>
          <cell r="DT156">
            <v>0</v>
          </cell>
          <cell r="DU156">
            <v>0</v>
          </cell>
          <cell r="ED156" t="str">
            <v>G:\Habitat\OPERATIONNEL HABITAT\02- Operations\Photothèque\image non disponible.jpg</v>
          </cell>
          <cell r="EE156" t="str">
            <v>G:\Habitat\OPERATIONNEL HABITAT\02- Operations\Photothèque\image non disponible.jpg</v>
          </cell>
        </row>
        <row r="157">
          <cell r="A157" t="str">
            <v>LES JACQUIERS</v>
          </cell>
          <cell r="C157" t="str">
            <v>NORD</v>
          </cell>
          <cell r="D157" t="str">
            <v>Saint-Denis</v>
          </cell>
          <cell r="F157">
            <v>63</v>
          </cell>
          <cell r="G157" t="str">
            <v>LLS</v>
          </cell>
          <cell r="J157" t="str">
            <v>COL</v>
          </cell>
          <cell r="K157" t="str">
            <v>ACQ</v>
          </cell>
          <cell r="L157" t="str">
            <v>autres</v>
          </cell>
          <cell r="M157" t="str">
            <v>autres</v>
          </cell>
          <cell r="N157" t="str">
            <v>JEM</v>
          </cell>
          <cell r="P157" t="str">
            <v>CS</v>
          </cell>
          <cell r="R157">
            <v>2008</v>
          </cell>
          <cell r="T157" t="str">
            <v>Estimation des domaines inférieur au prix de d'acquisition</v>
          </cell>
          <cell r="V157" t="str">
            <v>I - ACT</v>
          </cell>
          <cell r="X157" t="str">
            <v/>
          </cell>
          <cell r="Z157" t="str">
            <v>obtenu</v>
          </cell>
          <cell r="AA157" t="str">
            <v/>
          </cell>
          <cell r="AB157">
            <v>39708</v>
          </cell>
          <cell r="AC157" t="str">
            <v>v</v>
          </cell>
          <cell r="AD157">
            <v>39710</v>
          </cell>
          <cell r="AE157">
            <v>39715</v>
          </cell>
          <cell r="AF157" t="str">
            <v>f</v>
          </cell>
          <cell r="AH157">
            <v>39568</v>
          </cell>
          <cell r="AI157" t="str">
            <v>ao</v>
          </cell>
          <cell r="AJ157">
            <v>39751</v>
          </cell>
          <cell r="AK157" t="str">
            <v>ch</v>
          </cell>
          <cell r="AL157">
            <v>6.0165702261967384</v>
          </cell>
          <cell r="AM157">
            <v>2008</v>
          </cell>
          <cell r="AN157">
            <v>15</v>
          </cell>
          <cell r="AO157">
            <v>40208</v>
          </cell>
          <cell r="AP157">
            <v>40223</v>
          </cell>
          <cell r="AQ157" t="str">
            <v/>
          </cell>
          <cell r="AR157">
            <v>2010</v>
          </cell>
          <cell r="CJ157" t="str">
            <v>SNC Jacquier</v>
          </cell>
          <cell r="CK157" t="str">
            <v>ALCYOM</v>
          </cell>
          <cell r="CL157" t="str">
            <v>-</v>
          </cell>
          <cell r="CM157" t="str">
            <v>-</v>
          </cell>
          <cell r="CN157">
            <v>0</v>
          </cell>
          <cell r="CQ157" t="str">
            <v>non</v>
          </cell>
          <cell r="CX157">
            <v>0</v>
          </cell>
          <cell r="DE157">
            <v>0</v>
          </cell>
          <cell r="DJ157">
            <v>0</v>
          </cell>
          <cell r="DO157">
            <v>0</v>
          </cell>
          <cell r="DS157">
            <v>0</v>
          </cell>
          <cell r="DT157">
            <v>0</v>
          </cell>
          <cell r="DU157">
            <v>0</v>
          </cell>
          <cell r="DV157" t="str">
            <v>OCEANIS</v>
          </cell>
          <cell r="ED157" t="str">
            <v>G:\Habitat\OPERATIONNEL HABITAT\02- Operations\Photothèque\image non disponible.jpg</v>
          </cell>
          <cell r="EE157" t="str">
            <v>G:\Habitat\OPERATIONNEL HABITAT\02- Operations\Photothèque\image non disponible.jpg</v>
          </cell>
        </row>
        <row r="158">
          <cell r="A158" t="str">
            <v>LES JARDINS D' AUBINAYex AKIRIBATI 1 (PA)</v>
          </cell>
          <cell r="B158">
            <v>9689</v>
          </cell>
          <cell r="C158" t="str">
            <v>NORD</v>
          </cell>
          <cell r="D158" t="str">
            <v>Saint-Denis</v>
          </cell>
          <cell r="E158" t="str">
            <v>BAS DE LA RIVIERE ARMOS</v>
          </cell>
          <cell r="F158">
            <v>78</v>
          </cell>
          <cell r="G158" t="str">
            <v>LLTS</v>
          </cell>
          <cell r="H158" t="str">
            <v>déposé</v>
          </cell>
          <cell r="I158" t="str">
            <v xml:space="preserve">CG5 </v>
          </cell>
          <cell r="J158" t="str">
            <v>COL</v>
          </cell>
          <cell r="K158" t="str">
            <v>RF</v>
          </cell>
          <cell r="M158" t="str">
            <v>sous compromis</v>
          </cell>
          <cell r="N158" t="str">
            <v>JPM</v>
          </cell>
          <cell r="O158" t="str">
            <v>PE</v>
          </cell>
          <cell r="P158" t="str">
            <v>LV</v>
          </cell>
          <cell r="R158">
            <v>2010</v>
          </cell>
          <cell r="S158">
            <v>0.5</v>
          </cell>
          <cell r="T158" t="str">
            <v>pb maitrise foncière libération lieu de culte - ppri : zone innondable et mouvement de terrain, travaux d'endiguement initialement prévu en 2007, démarrage en 2009 - Falaise à conforter - Initialement une partie prévue pour personnes agées. - projet à pré</v>
          </cell>
          <cell r="U158" t="str">
            <v>DELCOURT</v>
          </cell>
          <cell r="V158" t="str">
            <v>E - APS / PC</v>
          </cell>
          <cell r="W158">
            <v>39870</v>
          </cell>
          <cell r="X158" t="str">
            <v>d</v>
          </cell>
          <cell r="AA158" t="str">
            <v/>
          </cell>
          <cell r="AB158">
            <v>39798</v>
          </cell>
          <cell r="AC158" t="str">
            <v>v</v>
          </cell>
          <cell r="AE158">
            <v>40344</v>
          </cell>
          <cell r="AF158" t="str">
            <v/>
          </cell>
          <cell r="AH158">
            <v>40344</v>
          </cell>
          <cell r="AI158" t="str">
            <v/>
          </cell>
          <cell r="AJ158">
            <v>40527</v>
          </cell>
          <cell r="AK158" t="str">
            <v/>
          </cell>
          <cell r="AL158">
            <v>6.0165702261967384</v>
          </cell>
          <cell r="AM158">
            <v>2010</v>
          </cell>
          <cell r="AN158">
            <v>18</v>
          </cell>
          <cell r="AO158">
            <v>41075</v>
          </cell>
          <cell r="AP158">
            <v>41090</v>
          </cell>
          <cell r="AQ158" t="str">
            <v/>
          </cell>
          <cell r="AR158">
            <v>2012</v>
          </cell>
          <cell r="AW158">
            <v>34</v>
          </cell>
          <cell r="AX158">
            <v>57</v>
          </cell>
          <cell r="BA158">
            <v>2</v>
          </cell>
          <cell r="BB158">
            <v>66</v>
          </cell>
          <cell r="BK158">
            <v>36</v>
          </cell>
          <cell r="BL158">
            <v>5.23</v>
          </cell>
          <cell r="BM158">
            <v>1.1100000000000001</v>
          </cell>
          <cell r="BO158" t="str">
            <v>à faire</v>
          </cell>
          <cell r="BQ158" t="str">
            <v>à faire</v>
          </cell>
          <cell r="CE158" t="str">
            <v>ECS ind</v>
          </cell>
          <cell r="CJ158" t="str">
            <v>-</v>
          </cell>
          <cell r="CK158" t="str">
            <v>-</v>
          </cell>
          <cell r="CL158" t="str">
            <v>-</v>
          </cell>
          <cell r="CM158" t="str">
            <v>-</v>
          </cell>
          <cell r="CN158">
            <v>0</v>
          </cell>
          <cell r="CQ158" t="str">
            <v>non</v>
          </cell>
          <cell r="CX158">
            <v>0</v>
          </cell>
          <cell r="DE158">
            <v>0</v>
          </cell>
          <cell r="DJ158">
            <v>0</v>
          </cell>
          <cell r="DO158">
            <v>0</v>
          </cell>
          <cell r="DQ158">
            <v>118102</v>
          </cell>
          <cell r="DR158">
            <v>43200</v>
          </cell>
          <cell r="DS158">
            <v>161302</v>
          </cell>
          <cell r="DT158">
            <v>322604</v>
          </cell>
          <cell r="DU158">
            <v>322604</v>
          </cell>
          <cell r="ED158" t="str">
            <v>G:\Habitat\OPERATIONNEL HABITAT\02- Operations\Photothèque\image non disponible.jpg</v>
          </cell>
          <cell r="EE158" t="str">
            <v>G:\Habitat\OPERATIONNEL HABITAT\02- Operations\Photothèque\image non disponible.jpg</v>
          </cell>
          <cell r="EX158" t="str">
            <v>AH 136</v>
          </cell>
        </row>
        <row r="159">
          <cell r="A159" t="str">
            <v>LES LAVES 1&amp;2</v>
          </cell>
          <cell r="B159">
            <v>9451</v>
          </cell>
          <cell r="C159" t="str">
            <v>SUD</v>
          </cell>
          <cell r="D159" t="str">
            <v>Saint-Pierre</v>
          </cell>
          <cell r="E159" t="str">
            <v>TERRE SAINTE</v>
          </cell>
          <cell r="F159">
            <v>16</v>
          </cell>
          <cell r="G159" t="str">
            <v>LESG</v>
          </cell>
          <cell r="J159" t="str">
            <v>IND</v>
          </cell>
          <cell r="K159" t="str">
            <v>RF</v>
          </cell>
          <cell r="N159" t="str">
            <v>EC</v>
          </cell>
          <cell r="O159" t="str">
            <v>OS</v>
          </cell>
          <cell r="P159" t="str">
            <v>LV</v>
          </cell>
          <cell r="R159">
            <v>2002</v>
          </cell>
          <cell r="T159" t="str">
            <v>Problématique de la livraison de la station d'épuration (livraison annoncée octobre 2011) alors que l'opération doit se terminer fin 2010 !!!!</v>
          </cell>
          <cell r="U159" t="str">
            <v>SOAA MEUNIER</v>
          </cell>
          <cell r="V159" t="str">
            <v>M - LIVRE/GPA</v>
          </cell>
          <cell r="W159">
            <v>37449</v>
          </cell>
          <cell r="X159" t="str">
            <v>d</v>
          </cell>
          <cell r="Z159">
            <v>37543</v>
          </cell>
          <cell r="AA159" t="str">
            <v>o</v>
          </cell>
          <cell r="AB159" t="str">
            <v>validé</v>
          </cell>
          <cell r="AC159" t="str">
            <v/>
          </cell>
          <cell r="AD159" t="str">
            <v/>
          </cell>
          <cell r="AE159">
            <v>37554</v>
          </cell>
          <cell r="AF159" t="str">
            <v>f</v>
          </cell>
          <cell r="AG159">
            <v>37609</v>
          </cell>
          <cell r="AH159">
            <v>37575</v>
          </cell>
          <cell r="AI159" t="str">
            <v>ao</v>
          </cell>
          <cell r="AJ159">
            <v>37681</v>
          </cell>
          <cell r="AK159" t="str">
            <v/>
          </cell>
          <cell r="AL159">
            <v>3.485007890583903</v>
          </cell>
          <cell r="AM159">
            <v>2003</v>
          </cell>
          <cell r="AN159">
            <v>12</v>
          </cell>
          <cell r="AO159">
            <v>38047</v>
          </cell>
          <cell r="AP159">
            <v>38336</v>
          </cell>
          <cell r="AQ159" t="str">
            <v>li</v>
          </cell>
          <cell r="AR159">
            <v>2004</v>
          </cell>
          <cell r="CJ159" t="str">
            <v>-</v>
          </cell>
          <cell r="CK159" t="str">
            <v>-</v>
          </cell>
          <cell r="CL159" t="str">
            <v>-</v>
          </cell>
          <cell r="CM159" t="str">
            <v>-</v>
          </cell>
          <cell r="CN159">
            <v>0</v>
          </cell>
          <cell r="CQ159" t="str">
            <v>oui</v>
          </cell>
          <cell r="CX159">
            <v>0</v>
          </cell>
          <cell r="DE159">
            <v>0</v>
          </cell>
          <cell r="DJ159">
            <v>0</v>
          </cell>
          <cell r="DO159">
            <v>0</v>
          </cell>
          <cell r="DS159">
            <v>0</v>
          </cell>
          <cell r="DT159">
            <v>0</v>
          </cell>
          <cell r="DU159">
            <v>0</v>
          </cell>
          <cell r="ED159" t="str">
            <v>G:\Habitat\OPERATIONNEL HABITAT\02- Operations\Photothèque\image non disponible.jpg</v>
          </cell>
          <cell r="EE159" t="str">
            <v>G:\Habitat\OPERATIONNEL HABITAT\02- Operations\Photothèque\image non disponible.jpg</v>
          </cell>
        </row>
        <row r="160">
          <cell r="A160" t="str">
            <v>LES MAISONS DE L'OCEAN</v>
          </cell>
          <cell r="B160">
            <v>9492</v>
          </cell>
          <cell r="C160" t="str">
            <v>OUEST</v>
          </cell>
          <cell r="D160" t="str">
            <v>Port</v>
          </cell>
          <cell r="E160" t="str">
            <v>PRU LE PORT</v>
          </cell>
          <cell r="F160">
            <v>18</v>
          </cell>
          <cell r="G160" t="str">
            <v>PTZ</v>
          </cell>
          <cell r="J160" t="str">
            <v>MV</v>
          </cell>
          <cell r="K160" t="str">
            <v>CF</v>
          </cell>
          <cell r="L160" t="str">
            <v>SIDR</v>
          </cell>
          <cell r="M160" t="str">
            <v>maitrisé</v>
          </cell>
          <cell r="N160" t="str">
            <v>JEM</v>
          </cell>
          <cell r="O160" t="str">
            <v>FG</v>
          </cell>
          <cell r="P160" t="str">
            <v>LV</v>
          </cell>
          <cell r="Q160" t="str">
            <v>CP</v>
          </cell>
          <cell r="R160">
            <v>2003</v>
          </cell>
          <cell r="T160" t="str">
            <v>Validationliste 7 attributaires par la ville</v>
          </cell>
          <cell r="U160" t="str">
            <v>ATELIER GAZUT</v>
          </cell>
          <cell r="V160" t="str">
            <v>L - CHANTIER EN COURS</v>
          </cell>
          <cell r="W160">
            <v>38118</v>
          </cell>
          <cell r="X160" t="str">
            <v>d</v>
          </cell>
          <cell r="Z160">
            <v>38453</v>
          </cell>
          <cell r="AA160" t="str">
            <v>o</v>
          </cell>
          <cell r="AB160" t="str">
            <v>validé</v>
          </cell>
          <cell r="AC160" t="str">
            <v/>
          </cell>
          <cell r="AD160">
            <v>0</v>
          </cell>
          <cell r="AF160" t="str">
            <v/>
          </cell>
          <cell r="AH160">
            <v>38944</v>
          </cell>
          <cell r="AI160" t="str">
            <v>ao</v>
          </cell>
          <cell r="AJ160">
            <v>39377</v>
          </cell>
          <cell r="AK160" t="str">
            <v/>
          </cell>
          <cell r="AL160">
            <v>14.235928458705944</v>
          </cell>
          <cell r="AM160">
            <v>2007</v>
          </cell>
          <cell r="AN160">
            <v>15</v>
          </cell>
          <cell r="AO160">
            <v>39835</v>
          </cell>
          <cell r="AP160">
            <v>39850</v>
          </cell>
          <cell r="AQ160" t="str">
            <v>li</v>
          </cell>
          <cell r="AR160">
            <v>2009</v>
          </cell>
          <cell r="CJ160" t="str">
            <v>-</v>
          </cell>
          <cell r="CK160" t="str">
            <v>-</v>
          </cell>
          <cell r="CL160" t="str">
            <v>-</v>
          </cell>
          <cell r="CM160" t="str">
            <v>-</v>
          </cell>
          <cell r="CN160">
            <v>0</v>
          </cell>
          <cell r="CQ160" t="str">
            <v>non</v>
          </cell>
          <cell r="CX160">
            <v>0</v>
          </cell>
          <cell r="DE160">
            <v>0</v>
          </cell>
          <cell r="DJ160">
            <v>0</v>
          </cell>
          <cell r="DO160">
            <v>0</v>
          </cell>
          <cell r="DS160">
            <v>0</v>
          </cell>
          <cell r="DT160">
            <v>0</v>
          </cell>
          <cell r="DU160">
            <v>0</v>
          </cell>
          <cell r="ED160" t="str">
            <v>G:\Habitat\OPERATIONNEL HABITAT\02- Operations\Photothèque\image non disponible.jpg</v>
          </cell>
          <cell r="EE160" t="str">
            <v>G:\Habitat\OPERATIONNEL HABITAT\02- Operations\Photothèque\image non disponible.jpg</v>
          </cell>
        </row>
        <row r="161">
          <cell r="A161" t="str">
            <v>LES MANGOUSTANS - TR 3</v>
          </cell>
          <cell r="B161">
            <v>9489</v>
          </cell>
          <cell r="C161" t="str">
            <v>EST</v>
          </cell>
          <cell r="D161" t="str">
            <v>Saint-André</v>
          </cell>
          <cell r="E161" t="str">
            <v>ZAC CRESSONIERE</v>
          </cell>
          <cell r="F161">
            <v>15</v>
          </cell>
          <cell r="G161" t="str">
            <v>LLS</v>
          </cell>
          <cell r="J161" t="str">
            <v>MV</v>
          </cell>
          <cell r="K161" t="str">
            <v>CF</v>
          </cell>
          <cell r="L161" t="str">
            <v>SIDR</v>
          </cell>
          <cell r="N161" t="str">
            <v>JPM</v>
          </cell>
          <cell r="O161" t="str">
            <v>DL</v>
          </cell>
          <cell r="P161" t="str">
            <v>CC</v>
          </cell>
          <cell r="Q161" t="str">
            <v>SPG</v>
          </cell>
          <cell r="R161">
            <v>2003</v>
          </cell>
          <cell r="T161" t="str">
            <v>conformitée/solde sub lbu/solaire</v>
          </cell>
          <cell r="U161" t="str">
            <v>BOCQUEE</v>
          </cell>
          <cell r="V161" t="str">
            <v>M - LIVRE/GPA</v>
          </cell>
          <cell r="W161">
            <v>37904</v>
          </cell>
          <cell r="X161" t="str">
            <v>d</v>
          </cell>
          <cell r="Y161" t="str">
            <v>97440903A0469</v>
          </cell>
          <cell r="Z161">
            <v>38001</v>
          </cell>
          <cell r="AA161" t="str">
            <v>o</v>
          </cell>
          <cell r="AB161" t="str">
            <v>validé</v>
          </cell>
          <cell r="AC161" t="str">
            <v/>
          </cell>
          <cell r="AE161">
            <v>37907</v>
          </cell>
          <cell r="AF161" t="str">
            <v>f</v>
          </cell>
          <cell r="AG161" t="str">
            <v>O</v>
          </cell>
          <cell r="AH161">
            <v>38085</v>
          </cell>
          <cell r="AI161" t="str">
            <v>ao</v>
          </cell>
          <cell r="AJ161">
            <v>38261</v>
          </cell>
          <cell r="AK161" t="str">
            <v/>
          </cell>
          <cell r="AL161">
            <v>5.7864281956864811</v>
          </cell>
          <cell r="AM161">
            <v>2004</v>
          </cell>
          <cell r="AN161">
            <v>20</v>
          </cell>
          <cell r="AO161">
            <v>38869</v>
          </cell>
          <cell r="AP161">
            <v>38898</v>
          </cell>
          <cell r="AQ161" t="str">
            <v>li</v>
          </cell>
          <cell r="AR161">
            <v>2006</v>
          </cell>
          <cell r="BN161">
            <v>0.2</v>
          </cell>
          <cell r="BO161" t="str">
            <v>signée</v>
          </cell>
          <cell r="BP161">
            <v>0.8</v>
          </cell>
          <cell r="BQ161" t="str">
            <v>signée</v>
          </cell>
          <cell r="BX161" t="str">
            <v>signé</v>
          </cell>
          <cell r="CE161" t="str">
            <v>ECS ind</v>
          </cell>
          <cell r="CJ161" t="str">
            <v>-</v>
          </cell>
          <cell r="CK161" t="str">
            <v>-</v>
          </cell>
          <cell r="CL161" t="str">
            <v>-</v>
          </cell>
          <cell r="CM161" t="str">
            <v>-</v>
          </cell>
          <cell r="CN161">
            <v>0</v>
          </cell>
          <cell r="CQ161" t="str">
            <v>oui</v>
          </cell>
          <cell r="CX161">
            <v>0</v>
          </cell>
          <cell r="DE161">
            <v>0</v>
          </cell>
          <cell r="DJ161">
            <v>0</v>
          </cell>
          <cell r="DO161">
            <v>0</v>
          </cell>
          <cell r="DS161">
            <v>0</v>
          </cell>
          <cell r="DT161">
            <v>0</v>
          </cell>
          <cell r="DU161">
            <v>0</v>
          </cell>
          <cell r="ED161" t="str">
            <v>G:\Habitat\OPERATIONNEL HABITAT\02- Operations\Photothèque\image non disponible.jpg</v>
          </cell>
          <cell r="EE161" t="str">
            <v>G:\Habitat\OPERATIONNEL HABITAT\02- Operations\Photothèque\image non disponible.jpg</v>
          </cell>
        </row>
        <row r="162">
          <cell r="A162" t="str">
            <v>LES MANGOUSTANS - TR1&amp;2</v>
          </cell>
          <cell r="B162">
            <v>9489</v>
          </cell>
          <cell r="C162" t="str">
            <v>EST</v>
          </cell>
          <cell r="D162" t="str">
            <v>Saint-André</v>
          </cell>
          <cell r="E162" t="str">
            <v>ZAC CRESSONIERE</v>
          </cell>
          <cell r="F162">
            <v>32</v>
          </cell>
          <cell r="G162" t="str">
            <v>LLS</v>
          </cell>
          <cell r="J162" t="str">
            <v>MV</v>
          </cell>
          <cell r="K162" t="str">
            <v>CF</v>
          </cell>
          <cell r="L162" t="str">
            <v>SIDR</v>
          </cell>
          <cell r="N162" t="str">
            <v>JPM</v>
          </cell>
          <cell r="O162" t="str">
            <v>DL</v>
          </cell>
          <cell r="P162" t="str">
            <v>CC</v>
          </cell>
          <cell r="Q162" t="str">
            <v>SPG</v>
          </cell>
          <cell r="R162">
            <v>2003</v>
          </cell>
          <cell r="T162" t="str">
            <v>conformitée/solde sub lbu/solaire</v>
          </cell>
          <cell r="U162" t="str">
            <v>BOCQUEE</v>
          </cell>
          <cell r="V162" t="str">
            <v>M - LIVRE/GPA</v>
          </cell>
          <cell r="W162">
            <v>37904</v>
          </cell>
          <cell r="X162" t="str">
            <v>d</v>
          </cell>
          <cell r="Y162" t="str">
            <v>97440903A0469</v>
          </cell>
          <cell r="Z162">
            <v>38001</v>
          </cell>
          <cell r="AA162" t="str">
            <v>o</v>
          </cell>
          <cell r="AB162" t="str">
            <v>validé</v>
          </cell>
          <cell r="AC162" t="str">
            <v/>
          </cell>
          <cell r="AE162">
            <v>37907</v>
          </cell>
          <cell r="AF162" t="str">
            <v>f</v>
          </cell>
          <cell r="AG162" t="str">
            <v>O</v>
          </cell>
          <cell r="AH162">
            <v>38085</v>
          </cell>
          <cell r="AI162" t="str">
            <v>ao</v>
          </cell>
          <cell r="AJ162">
            <v>38261</v>
          </cell>
          <cell r="AK162" t="str">
            <v/>
          </cell>
          <cell r="AL162">
            <v>5.7864281956864811</v>
          </cell>
          <cell r="AM162">
            <v>2004</v>
          </cell>
          <cell r="AN162">
            <v>20</v>
          </cell>
          <cell r="AO162">
            <v>38869</v>
          </cell>
          <cell r="AP162">
            <v>38684</v>
          </cell>
          <cell r="AQ162" t="str">
            <v>li</v>
          </cell>
          <cell r="AR162">
            <v>2005</v>
          </cell>
          <cell r="BN162">
            <v>0.2</v>
          </cell>
          <cell r="BO162" t="str">
            <v>signée</v>
          </cell>
          <cell r="BP162">
            <v>0.8</v>
          </cell>
          <cell r="BQ162" t="str">
            <v>signée</v>
          </cell>
          <cell r="BX162" t="str">
            <v>signé</v>
          </cell>
          <cell r="CA162">
            <v>3556.3</v>
          </cell>
          <cell r="CE162" t="str">
            <v>ECS ind</v>
          </cell>
          <cell r="CF162">
            <v>117055</v>
          </cell>
          <cell r="CG162">
            <v>35116</v>
          </cell>
          <cell r="CH162">
            <v>52675</v>
          </cell>
          <cell r="CI162">
            <v>29263</v>
          </cell>
          <cell r="CJ162" t="str">
            <v>-</v>
          </cell>
          <cell r="CK162" t="str">
            <v>-</v>
          </cell>
          <cell r="CL162" t="str">
            <v>-</v>
          </cell>
          <cell r="CM162" t="str">
            <v>-</v>
          </cell>
          <cell r="CN162">
            <v>0</v>
          </cell>
          <cell r="CQ162" t="str">
            <v>oui</v>
          </cell>
          <cell r="CR162">
            <v>284092</v>
          </cell>
          <cell r="CT162">
            <v>2568383</v>
          </cell>
          <cell r="CX162">
            <v>2852475</v>
          </cell>
          <cell r="DE162">
            <v>87791</v>
          </cell>
          <cell r="DJ162">
            <v>87791</v>
          </cell>
          <cell r="DO162">
            <v>0</v>
          </cell>
          <cell r="DQ162">
            <v>95088</v>
          </cell>
          <cell r="DR162">
            <v>39375</v>
          </cell>
          <cell r="DS162">
            <v>134463</v>
          </cell>
          <cell r="DT162">
            <v>268926</v>
          </cell>
          <cell r="DU162">
            <v>-2495758</v>
          </cell>
          <cell r="ED162" t="str">
            <v>G:\Habitat\OPERATIONNEL HABITAT\02- Operations\Photothèque\image non disponible.jpg</v>
          </cell>
          <cell r="EE162" t="str">
            <v>G:\Habitat\OPERATIONNEL HABITAT\02- Operations\Photothèque\image non disponible.jpg</v>
          </cell>
        </row>
        <row r="163">
          <cell r="A163" t="str">
            <v>LES MANGUIERS 1</v>
          </cell>
          <cell r="B163">
            <v>9258</v>
          </cell>
          <cell r="C163" t="str">
            <v>EST</v>
          </cell>
          <cell r="D163" t="str">
            <v>Sainte-Rose</v>
          </cell>
          <cell r="E163" t="str">
            <v>VRD COMMUN /FRAFU 2</v>
          </cell>
          <cell r="F163">
            <v>20</v>
          </cell>
          <cell r="G163" t="str">
            <v>LESG</v>
          </cell>
          <cell r="J163" t="str">
            <v>IND</v>
          </cell>
          <cell r="K163" t="str">
            <v>CF</v>
          </cell>
          <cell r="L163" t="str">
            <v>SIDR</v>
          </cell>
          <cell r="N163" t="str">
            <v>EC</v>
          </cell>
          <cell r="O163" t="str">
            <v>OS</v>
          </cell>
          <cell r="P163" t="str">
            <v>LV</v>
          </cell>
          <cell r="Q163" t="str">
            <v>EC</v>
          </cell>
          <cell r="R163">
            <v>2002</v>
          </cell>
          <cell r="U163" t="str">
            <v>DUPUIS</v>
          </cell>
          <cell r="V163" t="str">
            <v>M - LIVRE/GPA</v>
          </cell>
          <cell r="W163">
            <v>37043</v>
          </cell>
          <cell r="X163" t="str">
            <v>d</v>
          </cell>
          <cell r="Z163">
            <v>37358</v>
          </cell>
          <cell r="AA163" t="str">
            <v>o</v>
          </cell>
          <cell r="AB163" t="str">
            <v>validé</v>
          </cell>
          <cell r="AC163" t="str">
            <v/>
          </cell>
          <cell r="AD163">
            <v>0</v>
          </cell>
          <cell r="AE163">
            <v>37606</v>
          </cell>
          <cell r="AF163" t="str">
            <v>f</v>
          </cell>
          <cell r="AG163">
            <v>37613</v>
          </cell>
          <cell r="AH163">
            <v>37667</v>
          </cell>
          <cell r="AI163" t="str">
            <v>ao</v>
          </cell>
          <cell r="AJ163">
            <v>37742</v>
          </cell>
          <cell r="AK163" t="str">
            <v/>
          </cell>
          <cell r="AL163">
            <v>2.4658074697527619</v>
          </cell>
          <cell r="AM163">
            <v>2003</v>
          </cell>
          <cell r="AN163">
            <v>14</v>
          </cell>
          <cell r="AO163">
            <v>38169</v>
          </cell>
          <cell r="AP163">
            <v>39202</v>
          </cell>
          <cell r="AQ163" t="str">
            <v>li</v>
          </cell>
          <cell r="AR163">
            <v>2007</v>
          </cell>
          <cell r="CJ163" t="str">
            <v>-</v>
          </cell>
          <cell r="CK163" t="str">
            <v>-</v>
          </cell>
          <cell r="CL163" t="str">
            <v>-</v>
          </cell>
          <cell r="CM163" t="str">
            <v>-</v>
          </cell>
          <cell r="CN163">
            <v>0</v>
          </cell>
          <cell r="CQ163" t="str">
            <v>oui</v>
          </cell>
          <cell r="CX163">
            <v>0</v>
          </cell>
          <cell r="DE163">
            <v>0</v>
          </cell>
          <cell r="DJ163">
            <v>0</v>
          </cell>
          <cell r="DO163">
            <v>0</v>
          </cell>
          <cell r="DS163">
            <v>0</v>
          </cell>
          <cell r="DT163">
            <v>0</v>
          </cell>
          <cell r="DU163">
            <v>0</v>
          </cell>
          <cell r="ED163" t="str">
            <v>G:\Habitat\OPERATIONNEL HABITAT\02- Operations\Photothèque\image non disponible.jpg</v>
          </cell>
          <cell r="EE163" t="str">
            <v>G:\Habitat\OPERATIONNEL HABITAT\02- Operations\Photothèque\image non disponible.jpg</v>
          </cell>
        </row>
        <row r="164">
          <cell r="A164" t="str">
            <v>LES MANGUIERS 2</v>
          </cell>
          <cell r="B164">
            <v>9487</v>
          </cell>
          <cell r="C164" t="str">
            <v>EST</v>
          </cell>
          <cell r="D164" t="str">
            <v>Sainte-Rose</v>
          </cell>
          <cell r="E164" t="str">
            <v>VRD COMMUN /FRAFU 2</v>
          </cell>
          <cell r="F164">
            <v>20</v>
          </cell>
          <cell r="G164" t="str">
            <v>LESG</v>
          </cell>
          <cell r="J164" t="str">
            <v>IND</v>
          </cell>
          <cell r="K164" t="str">
            <v>CF</v>
          </cell>
          <cell r="L164" t="str">
            <v>SIDR</v>
          </cell>
          <cell r="N164" t="str">
            <v>EC</v>
          </cell>
          <cell r="O164" t="str">
            <v>OS</v>
          </cell>
          <cell r="P164" t="str">
            <v>LV</v>
          </cell>
          <cell r="Q164" t="str">
            <v>EC</v>
          </cell>
          <cell r="R164">
            <v>2003</v>
          </cell>
          <cell r="U164" t="str">
            <v>DUPUIS</v>
          </cell>
          <cell r="V164" t="str">
            <v>M - LIVRE/GPA</v>
          </cell>
          <cell r="W164">
            <v>37787</v>
          </cell>
          <cell r="X164" t="str">
            <v>d</v>
          </cell>
          <cell r="Z164">
            <v>37911</v>
          </cell>
          <cell r="AA164" t="str">
            <v>o</v>
          </cell>
          <cell r="AB164" t="str">
            <v>validé</v>
          </cell>
          <cell r="AC164" t="str">
            <v/>
          </cell>
          <cell r="AD164">
            <v>0</v>
          </cell>
          <cell r="AE164">
            <v>37914</v>
          </cell>
          <cell r="AF164" t="str">
            <v>f</v>
          </cell>
          <cell r="AG164">
            <v>37967</v>
          </cell>
          <cell r="AH164">
            <v>38092</v>
          </cell>
          <cell r="AI164" t="str">
            <v>ao</v>
          </cell>
          <cell r="AJ164">
            <v>38198</v>
          </cell>
          <cell r="AK164" t="str">
            <v/>
          </cell>
          <cell r="AL164">
            <v>3.485007890583903</v>
          </cell>
          <cell r="AM164">
            <v>2004</v>
          </cell>
          <cell r="AN164">
            <v>14</v>
          </cell>
          <cell r="AO164">
            <v>38625</v>
          </cell>
          <cell r="AP164">
            <v>39355</v>
          </cell>
          <cell r="AQ164" t="str">
            <v>li</v>
          </cell>
          <cell r="AR164">
            <v>2007</v>
          </cell>
          <cell r="CJ164" t="str">
            <v>-</v>
          </cell>
          <cell r="CK164" t="str">
            <v>-</v>
          </cell>
          <cell r="CL164" t="str">
            <v>-</v>
          </cell>
          <cell r="CM164" t="str">
            <v>-</v>
          </cell>
          <cell r="CN164">
            <v>0</v>
          </cell>
          <cell r="CQ164" t="str">
            <v>oui</v>
          </cell>
          <cell r="CX164">
            <v>0</v>
          </cell>
          <cell r="DE164">
            <v>0</v>
          </cell>
          <cell r="DJ164">
            <v>0</v>
          </cell>
          <cell r="DO164">
            <v>0</v>
          </cell>
          <cell r="DS164">
            <v>0</v>
          </cell>
          <cell r="DT164">
            <v>0</v>
          </cell>
          <cell r="DU164">
            <v>0</v>
          </cell>
          <cell r="ED164" t="str">
            <v>G:\Habitat\OPERATIONNEL HABITAT\02- Operations\Photothèque\image non disponible.jpg</v>
          </cell>
          <cell r="EE164" t="str">
            <v>G:\Habitat\OPERATIONNEL HABITAT\02- Operations\Photothèque\image non disponible.jpg</v>
          </cell>
        </row>
        <row r="165">
          <cell r="A165" t="str">
            <v>LES PECHEURS</v>
          </cell>
          <cell r="B165">
            <v>9730</v>
          </cell>
          <cell r="C165" t="str">
            <v>NORD</v>
          </cell>
          <cell r="D165" t="str">
            <v>Saint-Denis</v>
          </cell>
          <cell r="E165" t="str">
            <v xml:space="preserve">BAS DE LA RIVIERE </v>
          </cell>
          <cell r="F165">
            <v>30</v>
          </cell>
          <cell r="G165" t="str">
            <v>LLS</v>
          </cell>
          <cell r="J165" t="str">
            <v>COL</v>
          </cell>
          <cell r="K165" t="str">
            <v>RF</v>
          </cell>
          <cell r="M165" t="str">
            <v>maitrisé</v>
          </cell>
          <cell r="N165" t="str">
            <v>JPM</v>
          </cell>
          <cell r="O165" t="str">
            <v>PE</v>
          </cell>
          <cell r="P165" t="str">
            <v>LV</v>
          </cell>
          <cell r="R165">
            <v>2010</v>
          </cell>
          <cell r="T165" t="str">
            <v>ATTENTION decision ville/port - projet à présenter à la DDE - Programmation décalée suite aux retards des travaux d'endiguement</v>
          </cell>
          <cell r="U165" t="str">
            <v>procedure formalisée</v>
          </cell>
          <cell r="V165" t="str">
            <v>C - PROGRAMME</v>
          </cell>
          <cell r="W165">
            <v>39994</v>
          </cell>
          <cell r="AA165" t="str">
            <v/>
          </cell>
          <cell r="AB165">
            <v>39979</v>
          </cell>
          <cell r="AC165" t="str">
            <v/>
          </cell>
          <cell r="AE165">
            <v>40359</v>
          </cell>
          <cell r="AH165">
            <v>40344</v>
          </cell>
          <cell r="AI165" t="str">
            <v/>
          </cell>
          <cell r="AJ165">
            <v>40527</v>
          </cell>
          <cell r="AK165" t="str">
            <v/>
          </cell>
          <cell r="AL165">
            <v>6.0165702261967384</v>
          </cell>
          <cell r="AM165">
            <v>2010</v>
          </cell>
          <cell r="AN165">
            <v>16</v>
          </cell>
          <cell r="AO165">
            <v>41014</v>
          </cell>
          <cell r="AP165">
            <v>41029</v>
          </cell>
          <cell r="AQ165" t="str">
            <v/>
          </cell>
          <cell r="AR165">
            <v>2011</v>
          </cell>
          <cell r="CJ165" t="str">
            <v>-</v>
          </cell>
          <cell r="CK165" t="str">
            <v>-</v>
          </cell>
          <cell r="CL165" t="str">
            <v>-</v>
          </cell>
          <cell r="CM165" t="str">
            <v>-</v>
          </cell>
          <cell r="CN165">
            <v>0</v>
          </cell>
          <cell r="CQ165" t="str">
            <v>non</v>
          </cell>
          <cell r="CX165">
            <v>0</v>
          </cell>
          <cell r="DE165">
            <v>0</v>
          </cell>
          <cell r="DJ165">
            <v>0</v>
          </cell>
          <cell r="DO165">
            <v>0</v>
          </cell>
          <cell r="DS165">
            <v>0</v>
          </cell>
          <cell r="DT165">
            <v>0</v>
          </cell>
          <cell r="DU165">
            <v>0</v>
          </cell>
          <cell r="ED165" t="str">
            <v>G:\Habitat\OPERATIONNEL HABITAT\02- Operations\Photothèque\image non disponible.jpg</v>
          </cell>
          <cell r="EE165" t="str">
            <v>G:\Habitat\OPERATIONNEL HABITAT\02- Operations\Photothèque\image non disponible.jpg</v>
          </cell>
        </row>
        <row r="166">
          <cell r="A166" t="str">
            <v>LES PECHEURS ACC</v>
          </cell>
          <cell r="B166">
            <v>9759</v>
          </cell>
          <cell r="C166" t="str">
            <v>NORD</v>
          </cell>
          <cell r="D166" t="str">
            <v>Saint-Denis</v>
          </cell>
          <cell r="E166" t="str">
            <v xml:space="preserve">BAS DE LA RIVIERE </v>
          </cell>
          <cell r="F166">
            <v>10</v>
          </cell>
          <cell r="G166" t="str">
            <v>ACC</v>
          </cell>
          <cell r="J166" t="str">
            <v>COL</v>
          </cell>
          <cell r="K166" t="str">
            <v>RF</v>
          </cell>
          <cell r="M166" t="str">
            <v>sous compromis</v>
          </cell>
          <cell r="N166" t="str">
            <v>JPM</v>
          </cell>
          <cell r="O166" t="str">
            <v>PE</v>
          </cell>
          <cell r="P166" t="str">
            <v>LV</v>
          </cell>
          <cell r="R166">
            <v>2010</v>
          </cell>
          <cell r="T166" t="str">
            <v>Dation t3+v</v>
          </cell>
          <cell r="U166" t="str">
            <v>procedure formalisée</v>
          </cell>
          <cell r="V166" t="str">
            <v>C - PROGRAMME</v>
          </cell>
          <cell r="W166">
            <v>39994</v>
          </cell>
          <cell r="AA166" t="str">
            <v/>
          </cell>
          <cell r="AB166">
            <v>39979</v>
          </cell>
          <cell r="AC166" t="str">
            <v/>
          </cell>
          <cell r="AE166">
            <v>40360</v>
          </cell>
          <cell r="AH166">
            <v>40345</v>
          </cell>
          <cell r="AI166" t="str">
            <v/>
          </cell>
          <cell r="AJ166">
            <v>40252</v>
          </cell>
          <cell r="AK166" t="str">
            <v/>
          </cell>
          <cell r="AL166">
            <v>-3.0576012624934243</v>
          </cell>
          <cell r="AM166">
            <v>2010</v>
          </cell>
          <cell r="AN166">
            <v>16</v>
          </cell>
          <cell r="AO166">
            <v>40739</v>
          </cell>
          <cell r="AP166">
            <v>40754</v>
          </cell>
          <cell r="AQ166" t="str">
            <v/>
          </cell>
          <cell r="AR166">
            <v>2011</v>
          </cell>
          <cell r="CJ166" t="str">
            <v>-</v>
          </cell>
          <cell r="CK166" t="str">
            <v>-</v>
          </cell>
          <cell r="CL166" t="str">
            <v>-</v>
          </cell>
          <cell r="CM166" t="str">
            <v>-</v>
          </cell>
          <cell r="CN166">
            <v>0</v>
          </cell>
          <cell r="CQ166" t="str">
            <v>non</v>
          </cell>
          <cell r="CX166">
            <v>0</v>
          </cell>
          <cell r="DE166">
            <v>0</v>
          </cell>
          <cell r="DJ166">
            <v>0</v>
          </cell>
          <cell r="DO166">
            <v>0</v>
          </cell>
          <cell r="DS166">
            <v>0</v>
          </cell>
          <cell r="DT166">
            <v>0</v>
          </cell>
          <cell r="DU166">
            <v>0</v>
          </cell>
          <cell r="ED166" t="str">
            <v>G:\Habitat\OPERATIONNEL HABITAT\02- Operations\Photothèque\image non disponible.jpg</v>
          </cell>
          <cell r="EE166" t="str">
            <v>G:\Habitat\OPERATIONNEL HABITAT\02- Operations\Photothèque\image non disponible.jpg</v>
          </cell>
        </row>
        <row r="167">
          <cell r="A167" t="str">
            <v>L'ETANG</v>
          </cell>
          <cell r="B167">
            <v>9432</v>
          </cell>
          <cell r="C167" t="str">
            <v>OUEST</v>
          </cell>
          <cell r="D167" t="str">
            <v>Saint-Paul</v>
          </cell>
          <cell r="E167" t="str">
            <v>RHI BOUT DE L'ETANG</v>
          </cell>
          <cell r="F167">
            <v>30</v>
          </cell>
          <cell r="G167" t="str">
            <v>LESG</v>
          </cell>
          <cell r="J167" t="str">
            <v>IND</v>
          </cell>
          <cell r="K167" t="str">
            <v>CF</v>
          </cell>
          <cell r="L167" t="str">
            <v>SIDR</v>
          </cell>
          <cell r="N167" t="str">
            <v>EC</v>
          </cell>
          <cell r="O167" t="str">
            <v>FG</v>
          </cell>
          <cell r="P167" t="str">
            <v>LV</v>
          </cell>
          <cell r="Q167" t="str">
            <v>EC</v>
          </cell>
          <cell r="R167">
            <v>2002</v>
          </cell>
          <cell r="U167" t="str">
            <v>ATELIER GAZUT</v>
          </cell>
          <cell r="V167" t="str">
            <v>M - LIVRE/GPA</v>
          </cell>
          <cell r="W167">
            <v>37432</v>
          </cell>
          <cell r="X167" t="str">
            <v>d</v>
          </cell>
          <cell r="Z167">
            <v>37578</v>
          </cell>
          <cell r="AA167" t="str">
            <v>o</v>
          </cell>
          <cell r="AB167" t="str">
            <v>validé</v>
          </cell>
          <cell r="AC167" t="str">
            <v/>
          </cell>
          <cell r="AD167" t="str">
            <v/>
          </cell>
          <cell r="AE167">
            <v>38647</v>
          </cell>
          <cell r="AF167" t="str">
            <v>f</v>
          </cell>
          <cell r="AG167">
            <v>37603</v>
          </cell>
          <cell r="AH167">
            <v>37653</v>
          </cell>
          <cell r="AI167" t="str">
            <v>ao</v>
          </cell>
          <cell r="AJ167">
            <v>37742</v>
          </cell>
          <cell r="AK167" t="str">
            <v/>
          </cell>
          <cell r="AL167">
            <v>2.9260915307732773</v>
          </cell>
          <cell r="AM167">
            <v>2003</v>
          </cell>
          <cell r="AN167">
            <v>14</v>
          </cell>
          <cell r="AO167">
            <v>38169</v>
          </cell>
          <cell r="AP167">
            <v>38261</v>
          </cell>
          <cell r="AQ167" t="str">
            <v>li</v>
          </cell>
          <cell r="AR167">
            <v>2004</v>
          </cell>
          <cell r="CJ167" t="str">
            <v>-</v>
          </cell>
          <cell r="CK167" t="str">
            <v>-</v>
          </cell>
          <cell r="CL167" t="str">
            <v>-</v>
          </cell>
          <cell r="CM167" t="str">
            <v>-</v>
          </cell>
          <cell r="CN167">
            <v>0</v>
          </cell>
          <cell r="CQ167" t="str">
            <v>oui</v>
          </cell>
          <cell r="CX167">
            <v>0</v>
          </cell>
          <cell r="DE167">
            <v>0</v>
          </cell>
          <cell r="DJ167">
            <v>0</v>
          </cell>
          <cell r="DO167">
            <v>0</v>
          </cell>
          <cell r="DS167">
            <v>0</v>
          </cell>
          <cell r="DT167">
            <v>0</v>
          </cell>
          <cell r="DU167">
            <v>0</v>
          </cell>
          <cell r="ED167" t="str">
            <v>G:\Habitat\OPERATIONNEL HABITAT\02- Operations\Photothèque\image non disponible.jpg</v>
          </cell>
          <cell r="EE167" t="str">
            <v>G:\Habitat\OPERATIONNEL HABITAT\02- Operations\Photothèque\image non disponible.jpg</v>
          </cell>
        </row>
        <row r="168">
          <cell r="A168" t="str">
            <v>LIGNE BAMBOUS</v>
          </cell>
          <cell r="B168">
            <v>9723</v>
          </cell>
          <cell r="C168" t="str">
            <v>SUD</v>
          </cell>
          <cell r="D168" t="str">
            <v>Saint-Pierre</v>
          </cell>
          <cell r="E168" t="str">
            <v>Lotissement communal</v>
          </cell>
          <cell r="F168">
            <v>30</v>
          </cell>
          <cell r="G168" t="str">
            <v>LLTS</v>
          </cell>
          <cell r="J168" t="str">
            <v>COL</v>
          </cell>
          <cell r="K168" t="str">
            <v>CF</v>
          </cell>
          <cell r="L168" t="str">
            <v>autres</v>
          </cell>
          <cell r="M168" t="str">
            <v>autres</v>
          </cell>
          <cell r="N168" t="str">
            <v>LC</v>
          </cell>
          <cell r="O168" t="str">
            <v>CA</v>
          </cell>
          <cell r="P168" t="str">
            <v>CS</v>
          </cell>
          <cell r="R168">
            <v>2008</v>
          </cell>
          <cell r="S168">
            <v>0.25</v>
          </cell>
          <cell r="T168" t="str">
            <v>modif lotissement communal?</v>
          </cell>
          <cell r="U168" t="str">
            <v>PERRAU</v>
          </cell>
          <cell r="V168" t="str">
            <v>E - APS / PC</v>
          </cell>
          <cell r="W168">
            <v>39682</v>
          </cell>
          <cell r="X168" t="str">
            <v>d</v>
          </cell>
          <cell r="Y168" t="str">
            <v>9741608A0582</v>
          </cell>
          <cell r="Z168">
            <v>39749</v>
          </cell>
          <cell r="AA168" t="str">
            <v>o</v>
          </cell>
          <cell r="AB168">
            <v>39639</v>
          </cell>
          <cell r="AC168" t="str">
            <v>v</v>
          </cell>
          <cell r="AE168">
            <v>39706</v>
          </cell>
          <cell r="AF168" t="str">
            <v>f</v>
          </cell>
          <cell r="AH168">
            <v>39995</v>
          </cell>
          <cell r="AI168" t="str">
            <v/>
          </cell>
          <cell r="AJ168">
            <v>40179</v>
          </cell>
          <cell r="AK168" t="str">
            <v/>
          </cell>
          <cell r="AL168">
            <v>6.0494476591267752</v>
          </cell>
          <cell r="AM168">
            <v>2010</v>
          </cell>
          <cell r="AN168">
            <v>14</v>
          </cell>
          <cell r="AO168">
            <v>40603</v>
          </cell>
          <cell r="AP168">
            <v>40618</v>
          </cell>
          <cell r="AQ168" t="str">
            <v/>
          </cell>
          <cell r="AR168">
            <v>2011</v>
          </cell>
          <cell r="BX168" t="str">
            <v>En attente accord de principe</v>
          </cell>
          <cell r="CJ168" t="str">
            <v>-</v>
          </cell>
          <cell r="CK168" t="str">
            <v>-</v>
          </cell>
          <cell r="CL168" t="str">
            <v>-</v>
          </cell>
          <cell r="CM168" t="str">
            <v>-</v>
          </cell>
          <cell r="CN168">
            <v>0</v>
          </cell>
          <cell r="CQ168" t="str">
            <v>non</v>
          </cell>
          <cell r="CX168">
            <v>0</v>
          </cell>
          <cell r="DE168">
            <v>0</v>
          </cell>
          <cell r="DJ168">
            <v>0</v>
          </cell>
          <cell r="DO168">
            <v>0</v>
          </cell>
          <cell r="DS168">
            <v>0</v>
          </cell>
          <cell r="DT168">
            <v>0</v>
          </cell>
          <cell r="DU168">
            <v>0</v>
          </cell>
          <cell r="ED168" t="str">
            <v>G:\Habitat\OPERATIONNEL HABITAT\02- Operations\Photothèque\image non disponible.jpg</v>
          </cell>
          <cell r="EE168" t="str">
            <v>G:\Habitat\OPERATIONNEL HABITAT\02- Operations\Photothèque\image non disponible.jpg</v>
          </cell>
        </row>
        <row r="169">
          <cell r="A169" t="str">
            <v>LOFOTEN</v>
          </cell>
          <cell r="B169">
            <v>9504</v>
          </cell>
          <cell r="C169" t="str">
            <v>SUD</v>
          </cell>
          <cell r="D169" t="str">
            <v>Saint-Pierre</v>
          </cell>
          <cell r="E169" t="str">
            <v>CENTRE VILLE</v>
          </cell>
          <cell r="F169">
            <v>43</v>
          </cell>
          <cell r="G169" t="str">
            <v>LLS</v>
          </cell>
          <cell r="J169" t="str">
            <v>COL</v>
          </cell>
          <cell r="K169" t="str">
            <v>RF</v>
          </cell>
          <cell r="N169" t="str">
            <v>PC</v>
          </cell>
          <cell r="O169" t="str">
            <v>DL</v>
          </cell>
          <cell r="P169" t="str">
            <v>CS</v>
          </cell>
          <cell r="R169">
            <v>2004</v>
          </cell>
          <cell r="T169" t="str">
            <v>visite GPA 2008</v>
          </cell>
          <cell r="U169" t="str">
            <v>DPV architecture</v>
          </cell>
          <cell r="V169" t="str">
            <v>M - LIVRE/GPA</v>
          </cell>
          <cell r="W169">
            <v>38174</v>
          </cell>
          <cell r="X169" t="str">
            <v>d</v>
          </cell>
          <cell r="Y169" t="str">
            <v>97441604A0446</v>
          </cell>
          <cell r="Z169">
            <v>38504</v>
          </cell>
          <cell r="AA169" t="str">
            <v>o</v>
          </cell>
          <cell r="AB169" t="str">
            <v>validé</v>
          </cell>
          <cell r="AC169" t="str">
            <v/>
          </cell>
          <cell r="AD169">
            <v>38265</v>
          </cell>
          <cell r="AE169">
            <v>38187</v>
          </cell>
          <cell r="AF169" t="str">
            <v>f</v>
          </cell>
          <cell r="AG169">
            <v>38589</v>
          </cell>
          <cell r="AH169">
            <v>38474</v>
          </cell>
          <cell r="AI169" t="str">
            <v>ao</v>
          </cell>
          <cell r="AJ169">
            <v>38600</v>
          </cell>
          <cell r="AK169" t="str">
            <v/>
          </cell>
          <cell r="AL169">
            <v>4.1425565491846399</v>
          </cell>
          <cell r="AM169">
            <v>2005</v>
          </cell>
          <cell r="AN169">
            <v>16</v>
          </cell>
          <cell r="AO169">
            <v>39087</v>
          </cell>
          <cell r="AP169">
            <v>39062</v>
          </cell>
          <cell r="AQ169" t="str">
            <v>li</v>
          </cell>
          <cell r="AR169">
            <v>2006</v>
          </cell>
          <cell r="AU169">
            <v>5</v>
          </cell>
          <cell r="AV169">
            <v>42</v>
          </cell>
          <cell r="AW169">
            <v>4</v>
          </cell>
          <cell r="AX169">
            <v>56</v>
          </cell>
          <cell r="AY169">
            <v>7</v>
          </cell>
          <cell r="AZ169">
            <v>57</v>
          </cell>
          <cell r="BA169">
            <v>15</v>
          </cell>
          <cell r="BB169">
            <v>68</v>
          </cell>
          <cell r="BE169">
            <v>9</v>
          </cell>
          <cell r="BF169">
            <v>78</v>
          </cell>
          <cell r="BG169">
            <v>3</v>
          </cell>
          <cell r="BH169">
            <v>85</v>
          </cell>
          <cell r="BK169">
            <v>43</v>
          </cell>
          <cell r="BL169">
            <v>6.18</v>
          </cell>
          <cell r="BM169">
            <v>0.82</v>
          </cell>
          <cell r="BN169">
            <v>0.2</v>
          </cell>
          <cell r="BO169" t="str">
            <v>signée</v>
          </cell>
          <cell r="BP169">
            <v>0.8</v>
          </cell>
          <cell r="BQ169" t="str">
            <v>signée</v>
          </cell>
          <cell r="BX169" t="str">
            <v>signé</v>
          </cell>
          <cell r="BY169">
            <v>3283</v>
          </cell>
          <cell r="BZ169">
            <v>4996</v>
          </cell>
          <cell r="CA169">
            <v>3428.77</v>
          </cell>
          <cell r="CE169" t="str">
            <v>ECS ind</v>
          </cell>
          <cell r="CF169">
            <v>147513.45000000001</v>
          </cell>
          <cell r="CG169">
            <v>44254.035000000003</v>
          </cell>
          <cell r="CH169">
            <v>66381.052500000005</v>
          </cell>
          <cell r="CI169">
            <v>36878.362500000003</v>
          </cell>
          <cell r="CJ169" t="str">
            <v>-</v>
          </cell>
          <cell r="CK169" t="str">
            <v>-</v>
          </cell>
          <cell r="CL169" t="str">
            <v>-</v>
          </cell>
          <cell r="CM169" t="str">
            <v>-</v>
          </cell>
          <cell r="CN169">
            <v>0</v>
          </cell>
          <cell r="CQ169" t="str">
            <v>oui</v>
          </cell>
          <cell r="CR169">
            <v>427379</v>
          </cell>
          <cell r="CT169">
            <v>2779329</v>
          </cell>
          <cell r="CX169">
            <v>3206708</v>
          </cell>
          <cell r="DE169">
            <v>110635.08750000001</v>
          </cell>
          <cell r="DJ169">
            <v>110635.08750000001</v>
          </cell>
          <cell r="DO169">
            <v>0</v>
          </cell>
          <cell r="DQ169">
            <v>93317</v>
          </cell>
          <cell r="DS169">
            <v>93317</v>
          </cell>
          <cell r="DT169">
            <v>186634</v>
          </cell>
          <cell r="DU169">
            <v>-2909438.9125000001</v>
          </cell>
          <cell r="ED169" t="str">
            <v>G:\Habitat\OPERATIONNEL HABITAT\02- Operations\Photothèque\images locatifs\Lofoten\Lofoten revu.jpg</v>
          </cell>
          <cell r="EE169" t="str">
            <v>G:\Habitat\OPERATIONNEL HABITAT\02- Operations\Photothèque\images locatifs\Lofoten\Lofoten-pers.jpg</v>
          </cell>
        </row>
        <row r="170">
          <cell r="A170" t="str">
            <v>MADERE</v>
          </cell>
          <cell r="B170">
            <v>9645</v>
          </cell>
          <cell r="C170" t="str">
            <v>OUEST</v>
          </cell>
          <cell r="D170" t="str">
            <v>Possession</v>
          </cell>
          <cell r="E170" t="str">
            <v>DOS D'ANE</v>
          </cell>
          <cell r="F170">
            <v>20</v>
          </cell>
          <cell r="G170" t="str">
            <v>LLTS</v>
          </cell>
          <cell r="H170" t="str">
            <v>à déposer</v>
          </cell>
          <cell r="I170" t="str">
            <v>CG5</v>
          </cell>
          <cell r="J170" t="str">
            <v>MV</v>
          </cell>
          <cell r="K170" t="str">
            <v>ACQ</v>
          </cell>
          <cell r="M170" t="str">
            <v>maitrisé</v>
          </cell>
          <cell r="N170" t="str">
            <v>JEM</v>
          </cell>
          <cell r="O170" t="str">
            <v>PE</v>
          </cell>
          <cell r="P170" t="str">
            <v>CS</v>
          </cell>
          <cell r="R170">
            <v>2009</v>
          </cell>
          <cell r="S170">
            <v>0.5</v>
          </cell>
          <cell r="T170" t="str">
            <v>ppri zone rouge ???/etude idems favorable / attention financement surcout VRD</v>
          </cell>
          <cell r="U170" t="str">
            <v>D JAN</v>
          </cell>
          <cell r="V170" t="str">
            <v>D - ESQUISSES</v>
          </cell>
          <cell r="W170">
            <v>39933</v>
          </cell>
          <cell r="X170" t="str">
            <v/>
          </cell>
          <cell r="AA170" t="str">
            <v/>
          </cell>
          <cell r="AB170">
            <v>39918</v>
          </cell>
          <cell r="AC170" t="str">
            <v>v</v>
          </cell>
          <cell r="AE170">
            <v>40071</v>
          </cell>
          <cell r="AF170" t="str">
            <v/>
          </cell>
          <cell r="AH170">
            <v>40040</v>
          </cell>
          <cell r="AI170" t="str">
            <v/>
          </cell>
          <cell r="AJ170">
            <v>40224</v>
          </cell>
          <cell r="AK170" t="str">
            <v/>
          </cell>
          <cell r="AL170">
            <v>6.0494476591267752</v>
          </cell>
          <cell r="AM170">
            <v>2010</v>
          </cell>
          <cell r="AN170">
            <v>10</v>
          </cell>
          <cell r="AO170">
            <v>40527</v>
          </cell>
          <cell r="AP170">
            <v>40542</v>
          </cell>
          <cell r="AQ170" t="str">
            <v/>
          </cell>
          <cell r="AR170">
            <v>2010</v>
          </cell>
          <cell r="AW170">
            <v>8</v>
          </cell>
          <cell r="AX170">
            <v>56</v>
          </cell>
          <cell r="BA170">
            <v>5</v>
          </cell>
          <cell r="BB170">
            <v>73</v>
          </cell>
          <cell r="BE170">
            <v>6</v>
          </cell>
          <cell r="BF170">
            <v>84</v>
          </cell>
          <cell r="BI170">
            <v>3</v>
          </cell>
          <cell r="BJ170">
            <v>91</v>
          </cell>
          <cell r="BK170">
            <v>22</v>
          </cell>
          <cell r="BO170" t="str">
            <v>à faire</v>
          </cell>
          <cell r="BQ170" t="str">
            <v>à faire</v>
          </cell>
          <cell r="BY170">
            <v>1590.12</v>
          </cell>
          <cell r="BZ170">
            <v>1749</v>
          </cell>
          <cell r="CA170">
            <v>1590</v>
          </cell>
          <cell r="CE170" t="str">
            <v>ECS ind</v>
          </cell>
          <cell r="CF170">
            <v>81400</v>
          </cell>
          <cell r="CG170">
            <v>24420</v>
          </cell>
          <cell r="CH170">
            <v>36630</v>
          </cell>
          <cell r="CI170">
            <v>20350</v>
          </cell>
          <cell r="CJ170" t="str">
            <v>-</v>
          </cell>
          <cell r="CK170" t="str">
            <v>-</v>
          </cell>
          <cell r="CL170" t="str">
            <v>-</v>
          </cell>
          <cell r="CM170" t="str">
            <v>-</v>
          </cell>
          <cell r="CN170">
            <v>0</v>
          </cell>
          <cell r="CQ170" t="str">
            <v>non</v>
          </cell>
          <cell r="CX170">
            <v>0</v>
          </cell>
          <cell r="DE170">
            <v>61050</v>
          </cell>
          <cell r="DJ170">
            <v>61050</v>
          </cell>
          <cell r="DO170">
            <v>0</v>
          </cell>
          <cell r="DQ170">
            <v>70849</v>
          </cell>
          <cell r="DR170">
            <v>25200</v>
          </cell>
          <cell r="DS170">
            <v>96049</v>
          </cell>
          <cell r="DT170">
            <v>192098</v>
          </cell>
          <cell r="DU170">
            <v>253148</v>
          </cell>
          <cell r="ED170" t="str">
            <v>G:\Habitat\OPERATIONNEL HABITAT\02- Operations\Photothèque\image non disponible.jpg</v>
          </cell>
          <cell r="EE170" t="str">
            <v>G:\Habitat\OPERATIONNEL HABITAT\02- Operations\Photothèque\image non disponible.jpg</v>
          </cell>
        </row>
        <row r="171">
          <cell r="A171" t="str">
            <v>MAHE</v>
          </cell>
          <cell r="C171" t="str">
            <v>NORD</v>
          </cell>
          <cell r="D171" t="str">
            <v>Saint-Denis</v>
          </cell>
          <cell r="E171" t="str">
            <v>RHI HYACINTHE CARAMBOLES</v>
          </cell>
          <cell r="F171">
            <v>34</v>
          </cell>
          <cell r="G171" t="str">
            <v>LLTS</v>
          </cell>
          <cell r="J171" t="str">
            <v>MV</v>
          </cell>
          <cell r="K171" t="str">
            <v>CF</v>
          </cell>
          <cell r="L171" t="str">
            <v>SIDR</v>
          </cell>
          <cell r="N171" t="str">
            <v>JEM</v>
          </cell>
          <cell r="P171" t="str">
            <v>CS</v>
          </cell>
          <cell r="Q171" t="str">
            <v>AR</v>
          </cell>
          <cell r="R171">
            <v>2010</v>
          </cell>
          <cell r="T171" t="str">
            <v>dépend du relogement sur l'opération COCO</v>
          </cell>
          <cell r="V171" t="str">
            <v>A - NON LANCE</v>
          </cell>
          <cell r="X171" t="str">
            <v/>
          </cell>
          <cell r="AA171" t="str">
            <v/>
          </cell>
          <cell r="AC171" t="str">
            <v/>
          </cell>
          <cell r="AF171" t="str">
            <v/>
          </cell>
          <cell r="AI171" t="str">
            <v/>
          </cell>
          <cell r="AK171" t="str">
            <v/>
          </cell>
          <cell r="AL171">
            <v>0</v>
          </cell>
          <cell r="AM171" t="str">
            <v/>
          </cell>
          <cell r="AO171" t="str">
            <v/>
          </cell>
          <cell r="AP171" t="str">
            <v/>
          </cell>
          <cell r="AQ171" t="str">
            <v/>
          </cell>
          <cell r="CJ171" t="str">
            <v>-</v>
          </cell>
          <cell r="CK171" t="str">
            <v>-</v>
          </cell>
          <cell r="CL171" t="str">
            <v>-</v>
          </cell>
          <cell r="CM171" t="str">
            <v>-</v>
          </cell>
          <cell r="CN171">
            <v>0</v>
          </cell>
          <cell r="CQ171" t="str">
            <v>non</v>
          </cell>
          <cell r="CX171">
            <v>0</v>
          </cell>
          <cell r="DE171">
            <v>0</v>
          </cell>
          <cell r="DJ171">
            <v>0</v>
          </cell>
          <cell r="DO171">
            <v>0</v>
          </cell>
          <cell r="DS171">
            <v>0</v>
          </cell>
          <cell r="DT171">
            <v>0</v>
          </cell>
          <cell r="DU171">
            <v>0</v>
          </cell>
          <cell r="ED171" t="str">
            <v>G:\Habitat\OPERATIONNEL HABITAT\02- Operations\Photothèque\image non disponible.jpg</v>
          </cell>
          <cell r="EE171" t="str">
            <v>G:\Habitat\OPERATIONNEL HABITAT\02- Operations\Photothèque\image non disponible.jpg</v>
          </cell>
          <cell r="EX171" t="str">
            <v>SECTION DS</v>
          </cell>
        </row>
        <row r="172">
          <cell r="A172" t="str">
            <v>MALTE 1</v>
          </cell>
          <cell r="B172">
            <v>9639</v>
          </cell>
          <cell r="C172" t="str">
            <v>OUEST</v>
          </cell>
          <cell r="D172" t="str">
            <v>Saint-Paul</v>
          </cell>
          <cell r="E172" t="str">
            <v>RHI BOUILLON</v>
          </cell>
          <cell r="F172">
            <v>14</v>
          </cell>
          <cell r="G172" t="str">
            <v>LLTS</v>
          </cell>
          <cell r="J172" t="str">
            <v>COL</v>
          </cell>
          <cell r="K172" t="str">
            <v>CF</v>
          </cell>
          <cell r="L172" t="str">
            <v>SIDR</v>
          </cell>
          <cell r="M172" t="str">
            <v>maitrisé</v>
          </cell>
          <cell r="N172" t="str">
            <v>JEM</v>
          </cell>
          <cell r="O172" t="str">
            <v>FG</v>
          </cell>
          <cell r="P172" t="str">
            <v>CS</v>
          </cell>
          <cell r="Q172" t="str">
            <v>RR</v>
          </cell>
          <cell r="R172">
            <v>2008</v>
          </cell>
          <cell r="S172">
            <v>0.75</v>
          </cell>
          <cell r="T172" t="str">
            <v>attente decision tco/ ville/attention bornage ?</v>
          </cell>
          <cell r="U172" t="str">
            <v>ARCHITECTES DE L'EPERON</v>
          </cell>
          <cell r="V172" t="str">
            <v>G - PROJET</v>
          </cell>
          <cell r="W172">
            <v>39701</v>
          </cell>
          <cell r="X172" t="str">
            <v>d</v>
          </cell>
          <cell r="AA172" t="str">
            <v/>
          </cell>
          <cell r="AB172">
            <v>39595</v>
          </cell>
          <cell r="AC172" t="str">
            <v>v</v>
          </cell>
          <cell r="AD172">
            <v>39710</v>
          </cell>
          <cell r="AE172">
            <v>39717</v>
          </cell>
          <cell r="AF172" t="str">
            <v>f</v>
          </cell>
          <cell r="AH172">
            <v>39859</v>
          </cell>
          <cell r="AI172" t="str">
            <v>ao</v>
          </cell>
          <cell r="AJ172">
            <v>40040</v>
          </cell>
          <cell r="AK172" t="str">
            <v/>
          </cell>
          <cell r="AL172">
            <v>5.9508153603366649</v>
          </cell>
          <cell r="AM172">
            <v>2009</v>
          </cell>
          <cell r="AN172">
            <v>14</v>
          </cell>
          <cell r="AO172">
            <v>40466</v>
          </cell>
          <cell r="AP172">
            <v>40481</v>
          </cell>
          <cell r="AQ172" t="str">
            <v/>
          </cell>
          <cell r="AR172">
            <v>2010</v>
          </cell>
          <cell r="BK172">
            <v>0</v>
          </cell>
          <cell r="BL172">
            <v>5.49</v>
          </cell>
          <cell r="BO172" t="str">
            <v>à faire</v>
          </cell>
          <cell r="BQ172" t="str">
            <v>à faire</v>
          </cell>
          <cell r="CE172" t="str">
            <v>ECS ind</v>
          </cell>
          <cell r="CJ172" t="str">
            <v>SCI Saint Denis</v>
          </cell>
          <cell r="CK172" t="str">
            <v>INFI</v>
          </cell>
          <cell r="CL172">
            <v>39801</v>
          </cell>
          <cell r="CM172" t="str">
            <v>-</v>
          </cell>
          <cell r="CN172">
            <v>0</v>
          </cell>
          <cell r="CO172" t="str">
            <v>199 undecies A</v>
          </cell>
          <cell r="CQ172" t="str">
            <v>non</v>
          </cell>
          <cell r="CX172">
            <v>0</v>
          </cell>
          <cell r="DE172">
            <v>0</v>
          </cell>
          <cell r="DJ172">
            <v>0</v>
          </cell>
          <cell r="DO172">
            <v>0</v>
          </cell>
          <cell r="DQ172">
            <v>79940</v>
          </cell>
          <cell r="DR172">
            <v>18022</v>
          </cell>
          <cell r="DS172">
            <v>97962</v>
          </cell>
          <cell r="DT172">
            <v>195924</v>
          </cell>
          <cell r="DU172">
            <v>195924</v>
          </cell>
          <cell r="ED172" t="str">
            <v>G:\Habitat\OPERATIONNEL HABITAT\02- Operations\Photothèque\images locatifs\Malte\Malte.jpg</v>
          </cell>
          <cell r="EE172" t="str">
            <v>G:\Habitat\OPERATIONNEL HABITAT\02- Operations\Photothèque\images locatifs\Malte\Malte (1).jpg</v>
          </cell>
        </row>
        <row r="173">
          <cell r="A173" t="str">
            <v>MALTE 2</v>
          </cell>
          <cell r="C173" t="str">
            <v>OUEST</v>
          </cell>
          <cell r="D173" t="str">
            <v>Saint-Paul</v>
          </cell>
          <cell r="E173" t="str">
            <v>RHI BOUILLON</v>
          </cell>
          <cell r="F173">
            <v>8</v>
          </cell>
          <cell r="G173" t="str">
            <v>LLTS</v>
          </cell>
          <cell r="J173" t="str">
            <v>MV</v>
          </cell>
          <cell r="K173" t="str">
            <v>CF</v>
          </cell>
          <cell r="L173" t="str">
            <v>SIDR</v>
          </cell>
          <cell r="N173" t="str">
            <v>JEM</v>
          </cell>
          <cell r="Q173" t="str">
            <v>RR</v>
          </cell>
          <cell r="R173">
            <v>2010</v>
          </cell>
          <cell r="T173" t="str">
            <v>bornage judicière  foncier - aménageur SIDR rencontre des difficultés à liberer le terrain</v>
          </cell>
          <cell r="V173" t="str">
            <v>A - NON LANCE</v>
          </cell>
          <cell r="X173" t="str">
            <v/>
          </cell>
          <cell r="AA173" t="str">
            <v/>
          </cell>
          <cell r="AC173" t="str">
            <v/>
          </cell>
          <cell r="AF173" t="str">
            <v/>
          </cell>
          <cell r="AI173" t="str">
            <v/>
          </cell>
          <cell r="AK173" t="str">
            <v/>
          </cell>
          <cell r="AL173">
            <v>0</v>
          </cell>
          <cell r="AM173" t="str">
            <v/>
          </cell>
          <cell r="AQ173" t="str">
            <v/>
          </cell>
          <cell r="CJ173" t="str">
            <v>-</v>
          </cell>
          <cell r="CK173" t="str">
            <v>-</v>
          </cell>
          <cell r="CL173" t="str">
            <v>-</v>
          </cell>
          <cell r="CM173" t="str">
            <v>-</v>
          </cell>
          <cell r="CN173">
            <v>0</v>
          </cell>
          <cell r="CQ173" t="str">
            <v>non</v>
          </cell>
          <cell r="CX173">
            <v>0</v>
          </cell>
          <cell r="DE173">
            <v>0</v>
          </cell>
          <cell r="DJ173">
            <v>0</v>
          </cell>
          <cell r="DO173">
            <v>0</v>
          </cell>
          <cell r="DS173">
            <v>0</v>
          </cell>
          <cell r="DT173">
            <v>0</v>
          </cell>
          <cell r="DU173">
            <v>0</v>
          </cell>
          <cell r="ED173" t="str">
            <v>G:\Habitat\OPERATIONNEL HABITAT\02- Operations\Photothèque\images locatifs\Malte\Malte.jpg</v>
          </cell>
          <cell r="EE173" t="str">
            <v>G:\Habitat\OPERATIONNEL HABITAT\02- Operations\Photothèque\images locatifs\Malte\Malte (2).jpg</v>
          </cell>
        </row>
        <row r="174">
          <cell r="A174" t="str">
            <v>MALTE 3</v>
          </cell>
          <cell r="C174" t="str">
            <v>OUEST</v>
          </cell>
          <cell r="D174" t="str">
            <v>Saint-Paul</v>
          </cell>
          <cell r="E174" t="str">
            <v>RHI BOUILLON</v>
          </cell>
          <cell r="F174">
            <v>10</v>
          </cell>
          <cell r="G174" t="str">
            <v>LLTS</v>
          </cell>
          <cell r="J174" t="str">
            <v>MV</v>
          </cell>
          <cell r="K174" t="str">
            <v>CF</v>
          </cell>
          <cell r="L174" t="str">
            <v>SIDR</v>
          </cell>
          <cell r="N174" t="str">
            <v>JEM</v>
          </cell>
          <cell r="R174">
            <v>2010</v>
          </cell>
          <cell r="T174" t="str">
            <v>Aménageur SIDR rencontre des difficultés sur la libération de l'emprise</v>
          </cell>
          <cell r="V174" t="str">
            <v>A - NON LANCE</v>
          </cell>
          <cell r="AA174" t="str">
            <v/>
          </cell>
          <cell r="AC174" t="str">
            <v/>
          </cell>
          <cell r="AI174" t="str">
            <v/>
          </cell>
          <cell r="AK174" t="str">
            <v/>
          </cell>
          <cell r="AL174">
            <v>0</v>
          </cell>
          <cell r="AQ174" t="str">
            <v/>
          </cell>
          <cell r="CJ174" t="str">
            <v>-</v>
          </cell>
          <cell r="CK174" t="str">
            <v>-</v>
          </cell>
          <cell r="CL174" t="str">
            <v>-</v>
          </cell>
          <cell r="CM174" t="str">
            <v>-</v>
          </cell>
          <cell r="CN174">
            <v>0</v>
          </cell>
          <cell r="CQ174" t="str">
            <v>non</v>
          </cell>
          <cell r="CX174">
            <v>0</v>
          </cell>
          <cell r="DE174">
            <v>0</v>
          </cell>
          <cell r="DJ174">
            <v>0</v>
          </cell>
          <cell r="DO174">
            <v>0</v>
          </cell>
          <cell r="DS174">
            <v>0</v>
          </cell>
          <cell r="DT174">
            <v>0</v>
          </cell>
          <cell r="DU174">
            <v>0</v>
          </cell>
          <cell r="ED174" t="str">
            <v>G:\Habitat\OPERATIONNEL HABITAT\02- Operations\Photothèque\images locatifs\Malte\Malte.jpg</v>
          </cell>
          <cell r="EE174" t="str">
            <v>G:\Habitat\OPERATIONNEL HABITAT\02- Operations\Photothèque\image non disponible.jpg</v>
          </cell>
        </row>
        <row r="175">
          <cell r="A175" t="str">
            <v>MARE A POULES D'EAU</v>
          </cell>
          <cell r="B175">
            <v>9699</v>
          </cell>
          <cell r="C175" t="str">
            <v>EST</v>
          </cell>
          <cell r="D175" t="str">
            <v>Salazie</v>
          </cell>
          <cell r="E175" t="str">
            <v>MARE A POULES D'EAU</v>
          </cell>
          <cell r="F175">
            <v>14</v>
          </cell>
          <cell r="G175" t="str">
            <v>LLS</v>
          </cell>
          <cell r="J175" t="str">
            <v>MV</v>
          </cell>
          <cell r="K175" t="str">
            <v>ACQ</v>
          </cell>
          <cell r="M175" t="str">
            <v>maitrisé</v>
          </cell>
          <cell r="N175" t="str">
            <v>JPM</v>
          </cell>
          <cell r="O175" t="str">
            <v>PE</v>
          </cell>
          <cell r="P175" t="str">
            <v>CC</v>
          </cell>
          <cell r="R175">
            <v>2007</v>
          </cell>
          <cell r="S175">
            <v>1</v>
          </cell>
          <cell r="T175" t="str">
            <v>libération emprise à voir avec aménagement</v>
          </cell>
          <cell r="U175" t="str">
            <v>BERTIN LEBEIGLE</v>
          </cell>
          <cell r="V175" t="str">
            <v>J - PREPARATION MARCHES</v>
          </cell>
          <cell r="W175">
            <v>38989</v>
          </cell>
          <cell r="X175" t="str">
            <v>d</v>
          </cell>
          <cell r="Y175" t="str">
            <v>97442106A0099</v>
          </cell>
          <cell r="Z175">
            <v>39258</v>
          </cell>
          <cell r="AA175" t="str">
            <v>o</v>
          </cell>
          <cell r="AB175">
            <v>39274</v>
          </cell>
          <cell r="AC175" t="str">
            <v>v</v>
          </cell>
          <cell r="AD175">
            <v>39345</v>
          </cell>
          <cell r="AE175">
            <v>39294</v>
          </cell>
          <cell r="AF175" t="str">
            <v>f</v>
          </cell>
          <cell r="AG175">
            <v>39464</v>
          </cell>
          <cell r="AH175">
            <v>39611</v>
          </cell>
          <cell r="AI175" t="str">
            <v>ao</v>
          </cell>
          <cell r="AJ175">
            <v>39845</v>
          </cell>
          <cell r="AK175" t="str">
            <v>ch</v>
          </cell>
          <cell r="AL175">
            <v>7.6933193056286164</v>
          </cell>
          <cell r="AM175">
            <v>2009</v>
          </cell>
          <cell r="AN175">
            <v>14</v>
          </cell>
          <cell r="AO175">
            <v>40269</v>
          </cell>
          <cell r="AP175">
            <v>40284</v>
          </cell>
          <cell r="AQ175" t="str">
            <v/>
          </cell>
          <cell r="AR175">
            <v>2010</v>
          </cell>
          <cell r="BK175">
            <v>0</v>
          </cell>
          <cell r="BL175">
            <v>6.03</v>
          </cell>
          <cell r="CJ175" t="str">
            <v>SNC Salazie 2</v>
          </cell>
          <cell r="CK175" t="str">
            <v>INFI</v>
          </cell>
          <cell r="CL175">
            <v>39650</v>
          </cell>
          <cell r="CM175" t="str">
            <v>-</v>
          </cell>
          <cell r="CN175">
            <v>0</v>
          </cell>
          <cell r="CO175" t="str">
            <v>217 undercies</v>
          </cell>
          <cell r="CQ175" t="str">
            <v>non</v>
          </cell>
          <cell r="CX175">
            <v>0</v>
          </cell>
          <cell r="DE175">
            <v>0</v>
          </cell>
          <cell r="DJ175">
            <v>0</v>
          </cell>
          <cell r="DO175">
            <v>0</v>
          </cell>
          <cell r="DS175">
            <v>0</v>
          </cell>
          <cell r="DT175">
            <v>0</v>
          </cell>
          <cell r="DU175">
            <v>0</v>
          </cell>
          <cell r="ED175" t="str">
            <v>G:\Habitat\OPERATIONNEL HABITAT\02- Operations\Photothèque\image non disponible.jpg</v>
          </cell>
          <cell r="EE175" t="str">
            <v>G:\Habitat\OPERATIONNEL HABITAT\02- Operations\Photothèque\image non disponible.jpg</v>
          </cell>
        </row>
        <row r="176">
          <cell r="A176" t="str">
            <v>MONDON</v>
          </cell>
          <cell r="C176" t="str">
            <v>NORD</v>
          </cell>
          <cell r="D176" t="str">
            <v>Saint-Denis</v>
          </cell>
          <cell r="E176" t="str">
            <v>BOULEVARD MONDON</v>
          </cell>
          <cell r="F176">
            <v>60</v>
          </cell>
          <cell r="G176" t="str">
            <v>LLTS</v>
          </cell>
          <cell r="J176" t="str">
            <v>COL</v>
          </cell>
          <cell r="K176" t="str">
            <v>CF</v>
          </cell>
          <cell r="L176" t="str">
            <v>SIDR</v>
          </cell>
          <cell r="N176" t="str">
            <v>JPM</v>
          </cell>
          <cell r="O176" t="str">
            <v>PE</v>
          </cell>
          <cell r="Q176" t="str">
            <v>AR</v>
          </cell>
          <cell r="R176">
            <v>2011</v>
          </cell>
          <cell r="T176" t="str">
            <v>Périmètre ANRU - Secteur Camélias/Vauban - PLU Ui - 7 familles à reloger sur le secteur dont 5 en LES - libération des emprises des terrains.</v>
          </cell>
          <cell r="U176" t="str">
            <v>procedure formalisée</v>
          </cell>
          <cell r="V176" t="str">
            <v>A - NON LANCE</v>
          </cell>
          <cell r="X176" t="str">
            <v/>
          </cell>
          <cell r="AA176" t="str">
            <v/>
          </cell>
          <cell r="AC176" t="str">
            <v/>
          </cell>
          <cell r="AF176" t="str">
            <v/>
          </cell>
          <cell r="AI176" t="str">
            <v/>
          </cell>
          <cell r="AK176" t="str">
            <v/>
          </cell>
          <cell r="AL176">
            <v>0</v>
          </cell>
          <cell r="AM176" t="str">
            <v/>
          </cell>
          <cell r="AO176" t="str">
            <v/>
          </cell>
          <cell r="AP176" t="str">
            <v/>
          </cell>
          <cell r="AQ176" t="str">
            <v/>
          </cell>
          <cell r="CJ176" t="str">
            <v>-</v>
          </cell>
          <cell r="CK176" t="str">
            <v>-</v>
          </cell>
          <cell r="CL176" t="str">
            <v>-</v>
          </cell>
          <cell r="CM176" t="str">
            <v>-</v>
          </cell>
          <cell r="CN176">
            <v>0</v>
          </cell>
          <cell r="CP176" t="str">
            <v>ANRU St Denis</v>
          </cell>
          <cell r="CQ176" t="str">
            <v>non</v>
          </cell>
          <cell r="CX176">
            <v>0</v>
          </cell>
          <cell r="DE176">
            <v>0</v>
          </cell>
          <cell r="DJ176">
            <v>0</v>
          </cell>
          <cell r="DO176">
            <v>0</v>
          </cell>
          <cell r="DS176">
            <v>0</v>
          </cell>
          <cell r="DT176">
            <v>0</v>
          </cell>
          <cell r="DU176">
            <v>0</v>
          </cell>
          <cell r="ED176" t="str">
            <v>G:\Habitat\OPERATIONNEL HABITAT\02- Operations\Photothèque\image non disponible.jpg</v>
          </cell>
          <cell r="EE176" t="str">
            <v>G:\Habitat\OPERATIONNEL HABITAT\02- Operations\Photothèque\image non disponible.jpg</v>
          </cell>
          <cell r="EX176" t="str">
            <v>DM 544-655</v>
          </cell>
        </row>
        <row r="177">
          <cell r="A177" t="str">
            <v>MONTSERRAT</v>
          </cell>
          <cell r="B177" t="str">
            <v>xxxx</v>
          </cell>
          <cell r="C177" t="str">
            <v>NORD</v>
          </cell>
          <cell r="D177" t="str">
            <v>Saint-Denis</v>
          </cell>
          <cell r="E177" t="str">
            <v>LA MONTAGNE</v>
          </cell>
          <cell r="F177">
            <v>16</v>
          </cell>
          <cell r="G177" t="str">
            <v>LESG</v>
          </cell>
          <cell r="J177" t="str">
            <v>IND</v>
          </cell>
          <cell r="K177" t="str">
            <v>CF</v>
          </cell>
          <cell r="L177" t="str">
            <v>SIDR</v>
          </cell>
          <cell r="N177" t="str">
            <v>BS</v>
          </cell>
          <cell r="R177">
            <v>2012</v>
          </cell>
          <cell r="V177" t="str">
            <v>B - ETUDE PRE-OP</v>
          </cell>
          <cell r="X177" t="str">
            <v/>
          </cell>
          <cell r="AA177" t="str">
            <v/>
          </cell>
          <cell r="AC177" t="str">
            <v/>
          </cell>
          <cell r="AF177" t="str">
            <v/>
          </cell>
          <cell r="AI177" t="str">
            <v/>
          </cell>
          <cell r="AK177" t="str">
            <v/>
          </cell>
          <cell r="AL177">
            <v>0</v>
          </cell>
          <cell r="AM177" t="str">
            <v/>
          </cell>
          <cell r="AO177" t="str">
            <v/>
          </cell>
          <cell r="AP177" t="str">
            <v/>
          </cell>
          <cell r="AQ177" t="str">
            <v/>
          </cell>
          <cell r="AR177" t="str">
            <v/>
          </cell>
          <cell r="CJ177" t="str">
            <v>-</v>
          </cell>
          <cell r="CK177" t="str">
            <v>-</v>
          </cell>
          <cell r="CL177" t="str">
            <v>-</v>
          </cell>
          <cell r="CM177" t="str">
            <v>-</v>
          </cell>
          <cell r="CN177">
            <v>0</v>
          </cell>
          <cell r="CQ177" t="str">
            <v>non</v>
          </cell>
          <cell r="CX177">
            <v>0</v>
          </cell>
          <cell r="DE177">
            <v>0</v>
          </cell>
          <cell r="DJ177">
            <v>0</v>
          </cell>
          <cell r="DO177">
            <v>0</v>
          </cell>
          <cell r="DS177">
            <v>0</v>
          </cell>
          <cell r="DT177">
            <v>0</v>
          </cell>
          <cell r="DU177">
            <v>0</v>
          </cell>
          <cell r="ED177" t="str">
            <v>G:\Habitat\OPERATIONNEL HABITAT\02- Operations\Photothèque\image non disponible.jpg</v>
          </cell>
          <cell r="EE177" t="str">
            <v>G:\Habitat\OPERATIONNEL HABITAT\02- Operations\Photothèque\image non disponible.jpg</v>
          </cell>
          <cell r="EX177" t="str">
            <v>EL 57</v>
          </cell>
        </row>
        <row r="178">
          <cell r="A178" t="str">
            <v>MONTSERRAT b</v>
          </cell>
          <cell r="C178" t="str">
            <v>NORD</v>
          </cell>
          <cell r="D178" t="str">
            <v>Saint-Denis</v>
          </cell>
          <cell r="E178" t="str">
            <v>LA MONTAGNE</v>
          </cell>
          <cell r="F178">
            <v>57</v>
          </cell>
          <cell r="G178" t="str">
            <v>LLTS</v>
          </cell>
          <cell r="J178" t="str">
            <v>MIXT</v>
          </cell>
          <cell r="K178" t="str">
            <v>CF</v>
          </cell>
          <cell r="L178" t="str">
            <v>SIDR</v>
          </cell>
          <cell r="N178" t="str">
            <v>N.A.</v>
          </cell>
          <cell r="Q178" t="str">
            <v>AR</v>
          </cell>
          <cell r="R178">
            <v>2012</v>
          </cell>
          <cell r="S178">
            <v>0</v>
          </cell>
          <cell r="T178" t="str">
            <v>pb financt amenagement - Terrain en pente. FRAFU secondaire à mobilisé. Surcharge foncière éventuelle / convention à hauteur de 30 %. Etudes faisabilités réalisées. Réseau primaire réalisé par la CINOR. Pb de viabilisation</v>
          </cell>
          <cell r="V178" t="str">
            <v>B - ETUDE PRE-OP</v>
          </cell>
          <cell r="X178" t="str">
            <v/>
          </cell>
          <cell r="AA178" t="str">
            <v/>
          </cell>
          <cell r="AC178" t="str">
            <v/>
          </cell>
          <cell r="AF178" t="str">
            <v/>
          </cell>
          <cell r="AI178" t="str">
            <v/>
          </cell>
          <cell r="AK178" t="str">
            <v/>
          </cell>
          <cell r="AL178">
            <v>0</v>
          </cell>
          <cell r="AM178" t="str">
            <v/>
          </cell>
          <cell r="AO178" t="str">
            <v/>
          </cell>
          <cell r="AP178" t="str">
            <v/>
          </cell>
          <cell r="AQ178" t="str">
            <v/>
          </cell>
          <cell r="BK178">
            <v>0</v>
          </cell>
          <cell r="CJ178" t="str">
            <v>-</v>
          </cell>
          <cell r="CK178" t="str">
            <v>-</v>
          </cell>
          <cell r="CL178" t="str">
            <v>-</v>
          </cell>
          <cell r="CM178" t="str">
            <v>-</v>
          </cell>
          <cell r="CN178">
            <v>0</v>
          </cell>
          <cell r="CQ178" t="str">
            <v>non</v>
          </cell>
          <cell r="CX178">
            <v>0</v>
          </cell>
          <cell r="DE178">
            <v>0</v>
          </cell>
          <cell r="DJ178">
            <v>0</v>
          </cell>
          <cell r="DO178">
            <v>0</v>
          </cell>
          <cell r="DS178">
            <v>0</v>
          </cell>
          <cell r="DT178">
            <v>0</v>
          </cell>
          <cell r="DU178">
            <v>0</v>
          </cell>
          <cell r="ED178" t="str">
            <v>G:\Habitat\OPERATIONNEL HABITAT\02- Operations\Photothèque\image non disponible.jpg</v>
          </cell>
          <cell r="EE178" t="str">
            <v>G:\Habitat\OPERATIONNEL HABITAT\02- Operations\Photothèque\image non disponible.jpg</v>
          </cell>
          <cell r="EX178" t="str">
            <v>EL 57</v>
          </cell>
        </row>
        <row r="179">
          <cell r="A179" t="str">
            <v>MURANO ex CAPRI 2</v>
          </cell>
          <cell r="B179">
            <v>9733</v>
          </cell>
          <cell r="C179" t="str">
            <v>EST</v>
          </cell>
          <cell r="D179" t="str">
            <v>Saint-Benoît</v>
          </cell>
          <cell r="E179" t="str">
            <v>ZAC ENTREE DE VILLE ST ANNE</v>
          </cell>
          <cell r="F179">
            <v>60</v>
          </cell>
          <cell r="G179" t="str">
            <v>LLTS</v>
          </cell>
          <cell r="J179" t="str">
            <v>COL</v>
          </cell>
          <cell r="K179" t="str">
            <v>CF</v>
          </cell>
          <cell r="L179" t="str">
            <v>SIDR</v>
          </cell>
          <cell r="N179" t="str">
            <v>Cla</v>
          </cell>
          <cell r="O179" t="str">
            <v>Jmo</v>
          </cell>
          <cell r="Q179" t="str">
            <v>AR</v>
          </cell>
          <cell r="R179">
            <v>2010</v>
          </cell>
          <cell r="T179" t="str">
            <v>Conditionné par l'acquisition foncière (voir SIDR aménagement)</v>
          </cell>
          <cell r="U179" t="str">
            <v>procedure formalisée</v>
          </cell>
          <cell r="V179" t="str">
            <v>A - NON LANCE</v>
          </cell>
          <cell r="X179" t="str">
            <v/>
          </cell>
          <cell r="AA179" t="str">
            <v/>
          </cell>
          <cell r="AC179" t="str">
            <v/>
          </cell>
          <cell r="AF179" t="str">
            <v/>
          </cell>
          <cell r="AI179" t="str">
            <v/>
          </cell>
          <cell r="AK179" t="str">
            <v/>
          </cell>
          <cell r="AL179">
            <v>0</v>
          </cell>
          <cell r="AM179" t="str">
            <v/>
          </cell>
          <cell r="AQ179" t="str">
            <v/>
          </cell>
          <cell r="AR179">
            <v>2012</v>
          </cell>
          <cell r="CJ179" t="str">
            <v>-</v>
          </cell>
          <cell r="CK179" t="str">
            <v>-</v>
          </cell>
          <cell r="CL179" t="str">
            <v>-</v>
          </cell>
          <cell r="CM179" t="str">
            <v>-</v>
          </cell>
          <cell r="CN179">
            <v>0</v>
          </cell>
          <cell r="CQ179" t="str">
            <v>non</v>
          </cell>
          <cell r="CX179">
            <v>0</v>
          </cell>
          <cell r="DE179">
            <v>0</v>
          </cell>
          <cell r="DJ179">
            <v>0</v>
          </cell>
          <cell r="DO179">
            <v>0</v>
          </cell>
          <cell r="DS179">
            <v>0</v>
          </cell>
          <cell r="DT179">
            <v>0</v>
          </cell>
          <cell r="DU179">
            <v>0</v>
          </cell>
          <cell r="ED179" t="str">
            <v>G:\Habitat\OPERATIONNEL HABITAT\02- Operations\Photothèque\image non disponible.jpg</v>
          </cell>
          <cell r="EE179" t="str">
            <v>G:\Habitat\OPERATIONNEL HABITAT\02- Operations\Photothèque\image non disponible.jpg</v>
          </cell>
        </row>
        <row r="180">
          <cell r="A180" t="str">
            <v>OISEAUX DU PARADIS</v>
          </cell>
          <cell r="C180" t="str">
            <v>NORD</v>
          </cell>
          <cell r="D180" t="str">
            <v>Saint-Denis</v>
          </cell>
          <cell r="F180">
            <v>63</v>
          </cell>
          <cell r="G180" t="str">
            <v>LLS</v>
          </cell>
          <cell r="J180" t="str">
            <v>COL</v>
          </cell>
          <cell r="K180" t="str">
            <v>ACQ</v>
          </cell>
          <cell r="L180" t="str">
            <v>autres</v>
          </cell>
          <cell r="M180" t="str">
            <v>autres</v>
          </cell>
          <cell r="N180" t="str">
            <v>PC</v>
          </cell>
          <cell r="P180" t="str">
            <v>CC</v>
          </cell>
          <cell r="R180">
            <v>2009</v>
          </cell>
          <cell r="T180" t="str">
            <v>OCEANIS</v>
          </cell>
          <cell r="U180" t="str">
            <v>Equation</v>
          </cell>
          <cell r="V180" t="str">
            <v>J - PREPARATION MARCHES</v>
          </cell>
          <cell r="X180" t="str">
            <v/>
          </cell>
          <cell r="Z180" t="str">
            <v>obtenu</v>
          </cell>
          <cell r="AA180" t="str">
            <v/>
          </cell>
          <cell r="AB180">
            <v>39708</v>
          </cell>
          <cell r="AC180" t="str">
            <v>v</v>
          </cell>
          <cell r="AD180">
            <v>39710</v>
          </cell>
          <cell r="AF180" t="str">
            <v/>
          </cell>
          <cell r="AH180">
            <v>39553</v>
          </cell>
          <cell r="AI180" t="str">
            <v>ao</v>
          </cell>
          <cell r="AJ180">
            <v>39736</v>
          </cell>
          <cell r="AK180" t="str">
            <v>ch</v>
          </cell>
          <cell r="AL180">
            <v>6.0165702261967384</v>
          </cell>
          <cell r="AM180">
            <v>2008</v>
          </cell>
          <cell r="AN180">
            <v>20</v>
          </cell>
          <cell r="AO180">
            <v>40344</v>
          </cell>
          <cell r="AP180">
            <v>40359</v>
          </cell>
          <cell r="AQ180" t="str">
            <v/>
          </cell>
          <cell r="AR180">
            <v>2010</v>
          </cell>
          <cell r="CJ180" t="str">
            <v>-</v>
          </cell>
          <cell r="CK180" t="str">
            <v>ALCYOM</v>
          </cell>
          <cell r="CL180" t="str">
            <v>-</v>
          </cell>
          <cell r="CM180" t="str">
            <v>-</v>
          </cell>
          <cell r="CN180">
            <v>0</v>
          </cell>
          <cell r="CQ180" t="str">
            <v>non</v>
          </cell>
          <cell r="CX180">
            <v>0</v>
          </cell>
          <cell r="DE180">
            <v>0</v>
          </cell>
          <cell r="DJ180">
            <v>0</v>
          </cell>
          <cell r="DO180">
            <v>0</v>
          </cell>
          <cell r="DS180">
            <v>0</v>
          </cell>
          <cell r="DT180">
            <v>0</v>
          </cell>
          <cell r="DU180">
            <v>0</v>
          </cell>
          <cell r="DV180" t="str">
            <v>OCEANIS</v>
          </cell>
          <cell r="ED180" t="str">
            <v>G:\Habitat\OPERATIONNEL HABITAT\02- Operations\Photothèque\image non disponible.jpg</v>
          </cell>
          <cell r="EE180" t="str">
            <v>G:\Habitat\OPERATIONNEL HABITAT\02- Operations\Photothèque\image non disponible.jpg</v>
          </cell>
        </row>
        <row r="181">
          <cell r="A181" t="str">
            <v>OLYMPE 1</v>
          </cell>
          <cell r="B181">
            <v>9555</v>
          </cell>
          <cell r="C181" t="str">
            <v>EST</v>
          </cell>
          <cell r="D181" t="str">
            <v>Saint-Benoît</v>
          </cell>
          <cell r="E181" t="str">
            <v>BOURBIER LES BAS</v>
          </cell>
          <cell r="F181">
            <v>14</v>
          </cell>
          <cell r="G181" t="str">
            <v>ACC</v>
          </cell>
          <cell r="J181" t="str">
            <v>IND</v>
          </cell>
          <cell r="K181" t="str">
            <v>RF</v>
          </cell>
          <cell r="N181" t="str">
            <v>PC</v>
          </cell>
          <cell r="O181" t="str">
            <v>JH</v>
          </cell>
          <cell r="P181" t="str">
            <v>NA</v>
          </cell>
          <cell r="R181">
            <v>2005</v>
          </cell>
          <cell r="T181" t="str">
            <v>visite GPA ok</v>
          </cell>
          <cell r="U181" t="str">
            <v>RAVAUX</v>
          </cell>
          <cell r="V181" t="str">
            <v>M - LIVRE/GPA</v>
          </cell>
          <cell r="W181">
            <v>38167</v>
          </cell>
          <cell r="X181" t="str">
            <v>d</v>
          </cell>
          <cell r="Z181">
            <v>38315</v>
          </cell>
          <cell r="AA181" t="str">
            <v>o</v>
          </cell>
          <cell r="AB181">
            <v>39337</v>
          </cell>
          <cell r="AC181" t="str">
            <v>v</v>
          </cell>
          <cell r="AD181" t="str">
            <v>v</v>
          </cell>
          <cell r="AF181" t="str">
            <v/>
          </cell>
          <cell r="AH181">
            <v>38443</v>
          </cell>
          <cell r="AI181" t="str">
            <v>ao</v>
          </cell>
          <cell r="AJ181">
            <v>38534</v>
          </cell>
          <cell r="AK181" t="str">
            <v/>
          </cell>
          <cell r="AL181">
            <v>2.9918463966333508</v>
          </cell>
          <cell r="AM181">
            <v>2005</v>
          </cell>
          <cell r="AN181">
            <v>16</v>
          </cell>
          <cell r="AO181">
            <v>39022</v>
          </cell>
          <cell r="AP181">
            <v>39037</v>
          </cell>
          <cell r="AQ181" t="str">
            <v>li</v>
          </cell>
          <cell r="AR181">
            <v>2006</v>
          </cell>
          <cell r="CJ181" t="str">
            <v>-</v>
          </cell>
          <cell r="CK181" t="str">
            <v>-</v>
          </cell>
          <cell r="CL181" t="str">
            <v>-</v>
          </cell>
          <cell r="CM181" t="str">
            <v>-</v>
          </cell>
          <cell r="CN181">
            <v>0</v>
          </cell>
          <cell r="CQ181" t="str">
            <v>oui</v>
          </cell>
          <cell r="CX181">
            <v>0</v>
          </cell>
          <cell r="DE181">
            <v>0</v>
          </cell>
          <cell r="DJ181">
            <v>0</v>
          </cell>
          <cell r="DO181">
            <v>0</v>
          </cell>
          <cell r="DS181">
            <v>0</v>
          </cell>
          <cell r="DT181">
            <v>0</v>
          </cell>
          <cell r="DU181">
            <v>0</v>
          </cell>
          <cell r="ED181" t="str">
            <v>G:\Habitat\OPERATIONNEL HABITAT\02- Operations\Photothèque\images accession\Villas Olympe\Une.jpg</v>
          </cell>
          <cell r="EE181" t="str">
            <v>G:\Habitat\OPERATIONNEL HABITAT\02- Operations\Photothèque\images accession\Villas Olympe\P.2.jpg</v>
          </cell>
        </row>
        <row r="182">
          <cell r="A182" t="str">
            <v>OLYMPE 2</v>
          </cell>
          <cell r="B182">
            <v>9555</v>
          </cell>
          <cell r="C182" t="str">
            <v>EST</v>
          </cell>
          <cell r="D182" t="str">
            <v>Saint-Benoît</v>
          </cell>
          <cell r="E182" t="str">
            <v>BOURBIER LES BAS</v>
          </cell>
          <cell r="F182">
            <v>6</v>
          </cell>
          <cell r="G182" t="str">
            <v>ACC</v>
          </cell>
          <cell r="J182" t="str">
            <v>IND</v>
          </cell>
          <cell r="K182" t="str">
            <v>RF</v>
          </cell>
          <cell r="M182" t="str">
            <v>maitrisé</v>
          </cell>
          <cell r="N182" t="str">
            <v>PC</v>
          </cell>
          <cell r="O182" t="str">
            <v>JH</v>
          </cell>
          <cell r="P182" t="str">
            <v>NA</v>
          </cell>
          <cell r="R182">
            <v>2007</v>
          </cell>
          <cell r="S182">
            <v>1</v>
          </cell>
          <cell r="T182" t="str">
            <v>retard tx/livraison 2008 2 logts</v>
          </cell>
          <cell r="U182" t="str">
            <v>RAVAUX</v>
          </cell>
          <cell r="V182" t="str">
            <v>L - CHANTIER EN COURS</v>
          </cell>
          <cell r="X182" t="str">
            <v/>
          </cell>
          <cell r="Y182" t="str">
            <v>97441005A0280M</v>
          </cell>
          <cell r="Z182">
            <v>39008</v>
          </cell>
          <cell r="AA182" t="str">
            <v>o</v>
          </cell>
          <cell r="AB182">
            <v>39261</v>
          </cell>
          <cell r="AC182" t="str">
            <v>v</v>
          </cell>
          <cell r="AD182" t="str">
            <v>v</v>
          </cell>
          <cell r="AF182" t="str">
            <v/>
          </cell>
          <cell r="AH182">
            <v>39295</v>
          </cell>
          <cell r="AI182" t="str">
            <v>ao</v>
          </cell>
          <cell r="AJ182">
            <v>39419</v>
          </cell>
          <cell r="AK182" t="str">
            <v>ch</v>
          </cell>
          <cell r="AL182">
            <v>4.0768016833245664</v>
          </cell>
          <cell r="AM182">
            <v>2007</v>
          </cell>
          <cell r="AN182">
            <v>18</v>
          </cell>
          <cell r="AO182">
            <v>39967</v>
          </cell>
          <cell r="AP182">
            <v>39982</v>
          </cell>
          <cell r="AQ182" t="str">
            <v/>
          </cell>
          <cell r="AR182">
            <v>2009</v>
          </cell>
          <cell r="CJ182" t="str">
            <v>-</v>
          </cell>
          <cell r="CK182" t="str">
            <v>-</v>
          </cell>
          <cell r="CL182" t="str">
            <v>-</v>
          </cell>
          <cell r="CN182">
            <v>0</v>
          </cell>
          <cell r="CQ182" t="str">
            <v>non</v>
          </cell>
          <cell r="CX182">
            <v>0</v>
          </cell>
          <cell r="DE182">
            <v>0</v>
          </cell>
          <cell r="DJ182">
            <v>0</v>
          </cell>
          <cell r="DO182">
            <v>0</v>
          </cell>
          <cell r="DS182">
            <v>0</v>
          </cell>
          <cell r="DT182">
            <v>0</v>
          </cell>
          <cell r="DU182">
            <v>0</v>
          </cell>
          <cell r="ED182" t="str">
            <v>G:\Habitat\OPERATIONNEL HABITAT\02- Operations\Photothèque\images accession\Villas Olympe\Une.jpg</v>
          </cell>
          <cell r="EE182" t="str">
            <v>G:\Habitat\OPERATIONNEL HABITAT\02- Operations\Photothèque\images accession\Villas Olympe\P.2.jpg</v>
          </cell>
        </row>
        <row r="183">
          <cell r="A183" t="str">
            <v>OSIRIS</v>
          </cell>
          <cell r="B183">
            <v>9418</v>
          </cell>
          <cell r="C183" t="str">
            <v>EST</v>
          </cell>
          <cell r="D183" t="str">
            <v>Saint-Benoît</v>
          </cell>
          <cell r="E183" t="str">
            <v>ZAC</v>
          </cell>
          <cell r="F183">
            <v>60</v>
          </cell>
          <cell r="G183" t="str">
            <v>LLTS</v>
          </cell>
          <cell r="J183" t="str">
            <v>COL</v>
          </cell>
          <cell r="K183" t="str">
            <v>CF</v>
          </cell>
          <cell r="L183" t="str">
            <v>SEMAC</v>
          </cell>
          <cell r="N183" t="str">
            <v>CLa</v>
          </cell>
          <cell r="O183" t="str">
            <v>DL</v>
          </cell>
          <cell r="P183" t="str">
            <v>CC</v>
          </cell>
          <cell r="R183">
            <v>2002</v>
          </cell>
          <cell r="T183" t="str">
            <v>ras</v>
          </cell>
          <cell r="U183" t="str">
            <v>JAN</v>
          </cell>
          <cell r="V183" t="str">
            <v>M - LIVRE/GPA</v>
          </cell>
          <cell r="W183">
            <v>37515</v>
          </cell>
          <cell r="X183" t="str">
            <v>d</v>
          </cell>
          <cell r="Y183" t="str">
            <v>97410 02a0297</v>
          </cell>
          <cell r="Z183">
            <v>37644</v>
          </cell>
          <cell r="AA183" t="str">
            <v>o</v>
          </cell>
          <cell r="AB183" t="str">
            <v>validé</v>
          </cell>
          <cell r="AC183" t="str">
            <v/>
          </cell>
          <cell r="AE183">
            <v>37540</v>
          </cell>
          <cell r="AF183" t="str">
            <v>f</v>
          </cell>
          <cell r="AG183" t="str">
            <v>O</v>
          </cell>
          <cell r="AH183">
            <v>38092</v>
          </cell>
          <cell r="AI183" t="str">
            <v>ao</v>
          </cell>
          <cell r="AJ183">
            <v>38306</v>
          </cell>
          <cell r="AK183" t="str">
            <v/>
          </cell>
          <cell r="AL183">
            <v>7.0357706470278796</v>
          </cell>
          <cell r="AM183">
            <v>2004</v>
          </cell>
          <cell r="AN183">
            <v>17</v>
          </cell>
          <cell r="AO183">
            <v>38822</v>
          </cell>
          <cell r="AP183">
            <v>38898</v>
          </cell>
          <cell r="AQ183" t="str">
            <v>li</v>
          </cell>
          <cell r="AR183">
            <v>2006</v>
          </cell>
          <cell r="AS183">
            <v>1</v>
          </cell>
          <cell r="AT183">
            <v>36</v>
          </cell>
          <cell r="AU183">
            <v>17</v>
          </cell>
          <cell r="AV183">
            <v>58</v>
          </cell>
          <cell r="AW183">
            <v>30</v>
          </cell>
          <cell r="AX183">
            <v>72</v>
          </cell>
          <cell r="AY183">
            <v>9</v>
          </cell>
          <cell r="AZ183">
            <v>88</v>
          </cell>
          <cell r="BA183">
            <v>3</v>
          </cell>
          <cell r="BB183">
            <v>97</v>
          </cell>
          <cell r="BK183">
            <v>60</v>
          </cell>
          <cell r="BL183">
            <v>3.87</v>
          </cell>
          <cell r="BM183">
            <v>0.75</v>
          </cell>
          <cell r="BN183">
            <v>0.2</v>
          </cell>
          <cell r="BO183" t="str">
            <v>signée</v>
          </cell>
          <cell r="BP183">
            <v>0.8</v>
          </cell>
          <cell r="BQ183" t="str">
            <v>signée</v>
          </cell>
          <cell r="BR183" t="str">
            <v>CG</v>
          </cell>
          <cell r="BS183">
            <v>0.15</v>
          </cell>
          <cell r="BT183" t="str">
            <v>signée</v>
          </cell>
          <cell r="BU183" t="str">
            <v>CAF</v>
          </cell>
          <cell r="BV183">
            <v>0.15</v>
          </cell>
          <cell r="BW183" t="str">
            <v>oui</v>
          </cell>
          <cell r="BX183" t="str">
            <v>signé</v>
          </cell>
          <cell r="CA183">
            <v>4362</v>
          </cell>
          <cell r="CE183" t="str">
            <v>ECS ind</v>
          </cell>
          <cell r="CF183">
            <v>145697</v>
          </cell>
          <cell r="CG183">
            <v>43709</v>
          </cell>
          <cell r="CH183">
            <v>65563</v>
          </cell>
          <cell r="CI183">
            <v>36424</v>
          </cell>
          <cell r="CJ183" t="str">
            <v>-</v>
          </cell>
          <cell r="CK183" t="str">
            <v>-</v>
          </cell>
          <cell r="CL183" t="str">
            <v>-</v>
          </cell>
          <cell r="CM183" t="str">
            <v>-</v>
          </cell>
          <cell r="CN183">
            <v>0</v>
          </cell>
          <cell r="CQ183" t="str">
            <v>oui</v>
          </cell>
          <cell r="CR183">
            <v>410835</v>
          </cell>
          <cell r="CT183">
            <v>3483380</v>
          </cell>
          <cell r="CX183">
            <v>3894215</v>
          </cell>
          <cell r="DE183">
            <v>109272</v>
          </cell>
          <cell r="DJ183">
            <v>109272</v>
          </cell>
          <cell r="DO183">
            <v>0</v>
          </cell>
          <cell r="DQ183">
            <v>198925</v>
          </cell>
          <cell r="DR183">
            <v>32500</v>
          </cell>
          <cell r="DS183">
            <v>231425</v>
          </cell>
          <cell r="DT183">
            <v>462850</v>
          </cell>
          <cell r="DU183">
            <v>-3322093</v>
          </cell>
          <cell r="ED183" t="str">
            <v>G:\Habitat\OPERATIONNEL HABITAT\02- Operations\Photothèque\images locatifs\Osiris\osiris pers 1.jpg</v>
          </cell>
          <cell r="EE183" t="str">
            <v>G:\Habitat\OPERATIONNEL HABITAT\02- Operations\Photothèque\images locatifs\Osiris\osisiris pers 2.jpg</v>
          </cell>
        </row>
        <row r="184">
          <cell r="A184" t="str">
            <v>PAILLE EN QUEUE</v>
          </cell>
          <cell r="B184">
            <v>9604</v>
          </cell>
          <cell r="C184" t="str">
            <v>NORD</v>
          </cell>
          <cell r="D184" t="str">
            <v>Saint-Denis</v>
          </cell>
          <cell r="E184" t="str">
            <v>RHI PETITE ILE</v>
          </cell>
          <cell r="F184">
            <v>32</v>
          </cell>
          <cell r="G184" t="str">
            <v>LLTS</v>
          </cell>
          <cell r="H184" t="str">
            <v>signé</v>
          </cell>
          <cell r="I184" t="str">
            <v>SG 2005</v>
          </cell>
          <cell r="J184" t="str">
            <v>COL</v>
          </cell>
          <cell r="K184" t="str">
            <v>CF</v>
          </cell>
          <cell r="L184" t="str">
            <v>SIDR</v>
          </cell>
          <cell r="N184" t="str">
            <v>JPM</v>
          </cell>
          <cell r="O184" t="str">
            <v>JMO</v>
          </cell>
          <cell r="P184" t="str">
            <v>CC</v>
          </cell>
          <cell r="Q184" t="str">
            <v>SM</v>
          </cell>
          <cell r="R184">
            <v>2005</v>
          </cell>
          <cell r="T184" t="str">
            <v>reception DGI 15/12/2008</v>
          </cell>
          <cell r="U184" t="str">
            <v>ATELIER GAZUT</v>
          </cell>
          <cell r="V184" t="str">
            <v>L - CHANTIER EN COURS</v>
          </cell>
          <cell r="W184">
            <v>38553</v>
          </cell>
          <cell r="X184" t="str">
            <v>d</v>
          </cell>
          <cell r="Y184" t="str">
            <v>97441105A0410</v>
          </cell>
          <cell r="Z184">
            <v>38693</v>
          </cell>
          <cell r="AA184" t="str">
            <v>o</v>
          </cell>
          <cell r="AB184" t="str">
            <v>validé</v>
          </cell>
          <cell r="AC184" t="str">
            <v/>
          </cell>
          <cell r="AE184">
            <v>38553</v>
          </cell>
          <cell r="AF184" t="str">
            <v>f</v>
          </cell>
          <cell r="AG184">
            <v>38722</v>
          </cell>
          <cell r="AH184">
            <v>38842</v>
          </cell>
          <cell r="AI184" t="str">
            <v>ao</v>
          </cell>
          <cell r="AJ184">
            <v>39444</v>
          </cell>
          <cell r="AK184" t="str">
            <v/>
          </cell>
          <cell r="AL184">
            <v>19.792214623882167</v>
          </cell>
          <cell r="AM184">
            <v>2007</v>
          </cell>
          <cell r="AN184">
            <v>13</v>
          </cell>
          <cell r="AO184">
            <v>39797</v>
          </cell>
          <cell r="AP184">
            <v>39845</v>
          </cell>
          <cell r="AQ184" t="str">
            <v>li</v>
          </cell>
          <cell r="AR184">
            <v>2009</v>
          </cell>
          <cell r="AW184">
            <v>13</v>
          </cell>
          <cell r="AX184">
            <v>58.92</v>
          </cell>
          <cell r="BA184">
            <v>14</v>
          </cell>
          <cell r="BB184">
            <v>68</v>
          </cell>
          <cell r="BE184">
            <v>3</v>
          </cell>
          <cell r="BF184">
            <v>79.67</v>
          </cell>
          <cell r="BI184">
            <v>2</v>
          </cell>
          <cell r="BJ184">
            <v>89</v>
          </cell>
          <cell r="BK184">
            <v>32</v>
          </cell>
          <cell r="BL184">
            <v>4.3499999999999996</v>
          </cell>
          <cell r="BM184">
            <v>0.82</v>
          </cell>
          <cell r="BN184">
            <v>0.2</v>
          </cell>
          <cell r="BO184" t="str">
            <v>à faire</v>
          </cell>
          <cell r="BP184">
            <v>0.8</v>
          </cell>
          <cell r="BQ184" t="str">
            <v>signée</v>
          </cell>
          <cell r="BR184" t="str">
            <v>CGAL</v>
          </cell>
          <cell r="BT184" t="str">
            <v>signée</v>
          </cell>
          <cell r="BX184" t="str">
            <v>demande à faire</v>
          </cell>
          <cell r="BY184">
            <v>2148</v>
          </cell>
          <cell r="BZ184">
            <v>2940</v>
          </cell>
          <cell r="CA184">
            <v>2226</v>
          </cell>
          <cell r="CE184" t="str">
            <v>ECS ind</v>
          </cell>
          <cell r="CJ184" t="str">
            <v>-</v>
          </cell>
          <cell r="CK184" t="str">
            <v>-</v>
          </cell>
          <cell r="CL184" t="str">
            <v>-</v>
          </cell>
          <cell r="CM184" t="str">
            <v>-</v>
          </cell>
          <cell r="CN184">
            <v>0</v>
          </cell>
          <cell r="CQ184" t="str">
            <v>oui</v>
          </cell>
          <cell r="CR184">
            <v>398845</v>
          </cell>
          <cell r="CT184">
            <v>2170322</v>
          </cell>
          <cell r="CX184">
            <v>2569167</v>
          </cell>
          <cell r="DE184">
            <v>0</v>
          </cell>
          <cell r="DJ184">
            <v>0</v>
          </cell>
          <cell r="DO184">
            <v>0</v>
          </cell>
          <cell r="DQ184">
            <v>58504</v>
          </cell>
          <cell r="DR184">
            <v>25420</v>
          </cell>
          <cell r="DS184">
            <v>83924</v>
          </cell>
          <cell r="DT184">
            <v>167848</v>
          </cell>
          <cell r="DU184">
            <v>-2401319</v>
          </cell>
          <cell r="ED184" t="str">
            <v>G:\Habitat\OPERATIONNEL HABITAT\02- Operations\Photothèque\images locatifs\Paille en queue\PERS amont.jpg</v>
          </cell>
          <cell r="EE184" t="str">
            <v>G:\Habitat\OPERATIONNEL HABITAT\02- Operations\Photothèque\images locatifs\Paille en queue\PERS AVAL.jpg</v>
          </cell>
        </row>
        <row r="185">
          <cell r="A185" t="str">
            <v>PARC D'AMANDINE</v>
          </cell>
          <cell r="B185">
            <v>9628</v>
          </cell>
          <cell r="C185" t="str">
            <v>NORD</v>
          </cell>
          <cell r="D185" t="str">
            <v>Saint-Denis</v>
          </cell>
          <cell r="E185" t="str">
            <v>ST FRANCOIS</v>
          </cell>
          <cell r="F185">
            <v>25</v>
          </cell>
          <cell r="G185" t="str">
            <v>ACC</v>
          </cell>
          <cell r="J185" t="str">
            <v>IND</v>
          </cell>
          <cell r="K185" t="str">
            <v>RF</v>
          </cell>
          <cell r="M185" t="str">
            <v>maitrisé</v>
          </cell>
          <cell r="N185" t="str">
            <v>PC</v>
          </cell>
          <cell r="O185" t="str">
            <v>JH</v>
          </cell>
          <cell r="P185" t="str">
            <v>NA</v>
          </cell>
          <cell r="R185">
            <v>2006</v>
          </cell>
          <cell r="T185" t="str">
            <v>Livraison 8 logts fin 2008</v>
          </cell>
          <cell r="U185" t="str">
            <v>RAVAUX</v>
          </cell>
          <cell r="V185" t="str">
            <v>L - CHANTIER EN COURS</v>
          </cell>
          <cell r="W185">
            <v>38980</v>
          </cell>
          <cell r="X185" t="str">
            <v>d</v>
          </cell>
          <cell r="Y185" t="str">
            <v>97441106A0478</v>
          </cell>
          <cell r="Z185">
            <v>39244</v>
          </cell>
          <cell r="AA185" t="str">
            <v>o</v>
          </cell>
          <cell r="AB185" t="str">
            <v>ok</v>
          </cell>
          <cell r="AC185" t="str">
            <v/>
          </cell>
          <cell r="AD185">
            <v>39415</v>
          </cell>
          <cell r="AF185" t="str">
            <v/>
          </cell>
          <cell r="AH185">
            <v>39522</v>
          </cell>
          <cell r="AI185" t="str">
            <v>ao</v>
          </cell>
          <cell r="AJ185">
            <v>39583</v>
          </cell>
          <cell r="AK185" t="str">
            <v>ch</v>
          </cell>
          <cell r="AL185">
            <v>2.005523408732246</v>
          </cell>
          <cell r="AM185">
            <v>2008</v>
          </cell>
          <cell r="AN185">
            <v>16</v>
          </cell>
          <cell r="AO185">
            <v>40071</v>
          </cell>
          <cell r="AP185">
            <v>40086</v>
          </cell>
          <cell r="AQ185" t="str">
            <v/>
          </cell>
          <cell r="AR185">
            <v>2009</v>
          </cell>
          <cell r="CJ185" t="str">
            <v>-</v>
          </cell>
          <cell r="CK185" t="str">
            <v>-</v>
          </cell>
          <cell r="CL185" t="str">
            <v>-</v>
          </cell>
          <cell r="CM185" t="str">
            <v>-</v>
          </cell>
          <cell r="CN185">
            <v>0</v>
          </cell>
          <cell r="CQ185" t="str">
            <v>non</v>
          </cell>
          <cell r="CX185">
            <v>0</v>
          </cell>
          <cell r="DE185">
            <v>0</v>
          </cell>
          <cell r="DJ185">
            <v>0</v>
          </cell>
          <cell r="DO185">
            <v>0</v>
          </cell>
          <cell r="DS185">
            <v>0</v>
          </cell>
          <cell r="DT185">
            <v>0</v>
          </cell>
          <cell r="DU185">
            <v>0</v>
          </cell>
          <cell r="ED185" t="str">
            <v>G:\Habitat\OPERATIONNEL HABITAT\02- Operations\Photothèque\image non disponible.jpg</v>
          </cell>
          <cell r="EE185" t="str">
            <v>G:\Habitat\OPERATIONNEL HABITAT\02- Operations\Photothèque\image non disponible.jpg</v>
          </cell>
        </row>
        <row r="186">
          <cell r="A186" t="str">
            <v>PETIT SAINT PIERRE</v>
          </cell>
          <cell r="B186">
            <v>9431</v>
          </cell>
          <cell r="C186" t="str">
            <v>EST</v>
          </cell>
          <cell r="D186" t="str">
            <v>Saint-Benoît</v>
          </cell>
          <cell r="E186" t="str">
            <v>VRD COMMUN /FRAFU 2</v>
          </cell>
          <cell r="F186">
            <v>22</v>
          </cell>
          <cell r="G186" t="str">
            <v>LESG</v>
          </cell>
          <cell r="J186" t="str">
            <v>IND</v>
          </cell>
          <cell r="K186" t="str">
            <v>CF</v>
          </cell>
          <cell r="L186" t="str">
            <v>SIDR</v>
          </cell>
          <cell r="N186" t="str">
            <v>N.A.</v>
          </cell>
          <cell r="O186" t="str">
            <v>OS</v>
          </cell>
          <cell r="P186" t="str">
            <v>LV</v>
          </cell>
          <cell r="Q186" t="str">
            <v>EC</v>
          </cell>
          <cell r="R186">
            <v>2002</v>
          </cell>
          <cell r="U186" t="str">
            <v>ATELIER GAZUT</v>
          </cell>
          <cell r="V186" t="str">
            <v>M - LIVRE/GPA</v>
          </cell>
          <cell r="W186">
            <v>37455</v>
          </cell>
          <cell r="X186" t="str">
            <v>d</v>
          </cell>
          <cell r="Z186">
            <v>37575</v>
          </cell>
          <cell r="AA186" t="str">
            <v>o</v>
          </cell>
          <cell r="AB186" t="str">
            <v>validé</v>
          </cell>
          <cell r="AC186" t="str">
            <v/>
          </cell>
          <cell r="AD186">
            <v>39415</v>
          </cell>
          <cell r="AE186">
            <v>37554</v>
          </cell>
          <cell r="AF186" t="str">
            <v>f</v>
          </cell>
          <cell r="AG186">
            <v>37614</v>
          </cell>
          <cell r="AH186">
            <v>38092</v>
          </cell>
          <cell r="AI186" t="str">
            <v>ao</v>
          </cell>
          <cell r="AJ186">
            <v>38163</v>
          </cell>
          <cell r="AK186" t="str">
            <v/>
          </cell>
          <cell r="AL186">
            <v>2.3342977380326144</v>
          </cell>
          <cell r="AM186">
            <v>2004</v>
          </cell>
          <cell r="AN186">
            <v>14</v>
          </cell>
          <cell r="AO186">
            <v>38589</v>
          </cell>
          <cell r="AP186">
            <v>38898</v>
          </cell>
          <cell r="AQ186" t="str">
            <v>li</v>
          </cell>
          <cell r="AR186">
            <v>2006</v>
          </cell>
          <cell r="CJ186" t="str">
            <v>-</v>
          </cell>
          <cell r="CK186" t="str">
            <v>-</v>
          </cell>
          <cell r="CL186" t="str">
            <v>-</v>
          </cell>
          <cell r="CM186" t="str">
            <v>-</v>
          </cell>
          <cell r="CN186">
            <v>0</v>
          </cell>
          <cell r="CQ186" t="str">
            <v>oui</v>
          </cell>
          <cell r="CX186">
            <v>0</v>
          </cell>
          <cell r="DE186">
            <v>0</v>
          </cell>
          <cell r="DJ186">
            <v>0</v>
          </cell>
          <cell r="DO186">
            <v>0</v>
          </cell>
          <cell r="DS186">
            <v>0</v>
          </cell>
          <cell r="DT186">
            <v>0</v>
          </cell>
          <cell r="DU186">
            <v>0</v>
          </cell>
          <cell r="ED186" t="str">
            <v>G:\Habitat\OPERATIONNEL HABITAT\02- Operations\Photothèque\image non disponible.jpg</v>
          </cell>
          <cell r="EE186" t="str">
            <v>G:\Habitat\OPERATIONNEL HABITAT\02- Operations\Photothèque\image non disponible.jpg</v>
          </cell>
        </row>
        <row r="187">
          <cell r="A187" t="str">
            <v>PETITE ILE 1.2</v>
          </cell>
          <cell r="B187">
            <v>9621</v>
          </cell>
          <cell r="C187" t="str">
            <v>NORD</v>
          </cell>
          <cell r="D187" t="str">
            <v>Saint-Denis</v>
          </cell>
          <cell r="E187" t="str">
            <v>RHI PETITE ILE</v>
          </cell>
          <cell r="F187">
            <v>2</v>
          </cell>
          <cell r="G187" t="str">
            <v>LESG</v>
          </cell>
          <cell r="J187" t="str">
            <v>IND</v>
          </cell>
          <cell r="K187" t="str">
            <v>CF</v>
          </cell>
          <cell r="L187" t="str">
            <v>SIDR</v>
          </cell>
          <cell r="M187" t="str">
            <v>maitrisé</v>
          </cell>
          <cell r="N187" t="str">
            <v>BS</v>
          </cell>
          <cell r="O187" t="str">
            <v>OS</v>
          </cell>
          <cell r="P187" t="str">
            <v>LV</v>
          </cell>
          <cell r="Q187" t="str">
            <v>SM</v>
          </cell>
          <cell r="R187">
            <v>2005</v>
          </cell>
          <cell r="T187" t="str">
            <v>liquidation STRAD/</v>
          </cell>
          <cell r="U187" t="str">
            <v>ATELIER GAZUT</v>
          </cell>
          <cell r="V187" t="str">
            <v>M - LIVRE/GPA</v>
          </cell>
          <cell r="W187">
            <v>38610</v>
          </cell>
          <cell r="X187" t="str">
            <v>d</v>
          </cell>
          <cell r="Y187" t="str">
            <v>9741105a0508</v>
          </cell>
          <cell r="Z187">
            <v>38833</v>
          </cell>
          <cell r="AA187" t="str">
            <v>o</v>
          </cell>
          <cell r="AB187" t="str">
            <v>validé</v>
          </cell>
          <cell r="AC187" t="str">
            <v/>
          </cell>
          <cell r="AD187">
            <v>39415</v>
          </cell>
          <cell r="AE187">
            <v>37554</v>
          </cell>
          <cell r="AF187" t="str">
            <v>f</v>
          </cell>
          <cell r="AG187">
            <v>38695</v>
          </cell>
          <cell r="AH187">
            <v>38913</v>
          </cell>
          <cell r="AI187" t="str">
            <v>ao</v>
          </cell>
          <cell r="AJ187">
            <v>39049</v>
          </cell>
          <cell r="AK187" t="str">
            <v/>
          </cell>
          <cell r="AL187">
            <v>4.4713308784850074</v>
          </cell>
          <cell r="AM187">
            <v>2006</v>
          </cell>
          <cell r="AN187">
            <v>25</v>
          </cell>
          <cell r="AO187">
            <v>39810</v>
          </cell>
          <cell r="AP187">
            <v>39825</v>
          </cell>
          <cell r="AQ187" t="str">
            <v>li</v>
          </cell>
          <cell r="AR187">
            <v>2009</v>
          </cell>
          <cell r="CJ187" t="str">
            <v>-</v>
          </cell>
          <cell r="CK187" t="str">
            <v>-</v>
          </cell>
          <cell r="CL187" t="str">
            <v>-</v>
          </cell>
          <cell r="CM187" t="str">
            <v>-</v>
          </cell>
          <cell r="CN187">
            <v>0</v>
          </cell>
          <cell r="CQ187" t="str">
            <v>oui</v>
          </cell>
          <cell r="CX187">
            <v>0</v>
          </cell>
          <cell r="DE187">
            <v>0</v>
          </cell>
          <cell r="DJ187">
            <v>0</v>
          </cell>
          <cell r="DO187">
            <v>0</v>
          </cell>
          <cell r="DS187">
            <v>0</v>
          </cell>
          <cell r="DT187">
            <v>0</v>
          </cell>
          <cell r="DU187">
            <v>0</v>
          </cell>
          <cell r="ED187" t="str">
            <v>G:\Habitat\OPERATIONNEL HABITAT\02- Operations\Photothèque\image non disponible.jpg</v>
          </cell>
          <cell r="EE187" t="str">
            <v>G:\Habitat\OPERATIONNEL HABITAT\02- Operations\Photothèque\image non disponible.jpg</v>
          </cell>
        </row>
        <row r="188">
          <cell r="A188" t="str">
            <v>PETITE ILE 1.6</v>
          </cell>
          <cell r="B188">
            <v>9621</v>
          </cell>
          <cell r="C188" t="str">
            <v>NORD</v>
          </cell>
          <cell r="D188" t="str">
            <v>Saint-Denis</v>
          </cell>
          <cell r="E188" t="str">
            <v>RHI PETITE ILE</v>
          </cell>
          <cell r="F188">
            <v>6</v>
          </cell>
          <cell r="G188" t="str">
            <v>LESG</v>
          </cell>
          <cell r="J188" t="str">
            <v>IND</v>
          </cell>
          <cell r="K188" t="str">
            <v>CF</v>
          </cell>
          <cell r="L188" t="str">
            <v>SIDR</v>
          </cell>
          <cell r="M188" t="str">
            <v>maitrisé</v>
          </cell>
          <cell r="N188" t="str">
            <v>BS</v>
          </cell>
          <cell r="O188" t="str">
            <v>OS</v>
          </cell>
          <cell r="P188" t="str">
            <v>LV</v>
          </cell>
          <cell r="Q188" t="str">
            <v>SM</v>
          </cell>
          <cell r="R188">
            <v>2005</v>
          </cell>
          <cell r="T188" t="str">
            <v>déblocage libération foncier sep 2008 pour 4 lots</v>
          </cell>
          <cell r="U188" t="str">
            <v>ATELIER GAZUT</v>
          </cell>
          <cell r="V188" t="str">
            <v>K - OS TRAVAUX</v>
          </cell>
          <cell r="Y188" t="str">
            <v>9741005a0508</v>
          </cell>
          <cell r="Z188">
            <v>38833</v>
          </cell>
          <cell r="AA188" t="str">
            <v>o</v>
          </cell>
          <cell r="AB188" t="str">
            <v>validé</v>
          </cell>
          <cell r="AC188" t="str">
            <v/>
          </cell>
          <cell r="AD188" t="str">
            <v>v</v>
          </cell>
          <cell r="AE188">
            <v>37554</v>
          </cell>
          <cell r="AG188">
            <v>38695</v>
          </cell>
          <cell r="AH188">
            <v>38913</v>
          </cell>
          <cell r="AI188" t="str">
            <v>ao</v>
          </cell>
          <cell r="AJ188">
            <v>39721</v>
          </cell>
          <cell r="AK188" t="str">
            <v>ch</v>
          </cell>
          <cell r="AL188">
            <v>26.564965807469754</v>
          </cell>
          <cell r="AM188">
            <v>2008</v>
          </cell>
          <cell r="AN188">
            <v>27</v>
          </cell>
          <cell r="AO188">
            <v>40542</v>
          </cell>
          <cell r="AP188">
            <v>40557</v>
          </cell>
          <cell r="AQ188" t="str">
            <v/>
          </cell>
          <cell r="AR188">
            <v>2011</v>
          </cell>
          <cell r="CJ188" t="str">
            <v>-</v>
          </cell>
          <cell r="CK188" t="str">
            <v>-</v>
          </cell>
          <cell r="CL188" t="str">
            <v>-</v>
          </cell>
          <cell r="CM188" t="str">
            <v>-</v>
          </cell>
          <cell r="CN188">
            <v>0</v>
          </cell>
          <cell r="CQ188" t="str">
            <v>non</v>
          </cell>
          <cell r="CX188">
            <v>0</v>
          </cell>
          <cell r="DE188">
            <v>0</v>
          </cell>
          <cell r="DJ188">
            <v>0</v>
          </cell>
          <cell r="DO188">
            <v>0</v>
          </cell>
          <cell r="DS188">
            <v>0</v>
          </cell>
          <cell r="DT188">
            <v>0</v>
          </cell>
          <cell r="DU188">
            <v>0</v>
          </cell>
          <cell r="ED188" t="str">
            <v>G:\Habitat\OPERATIONNEL HABITAT\02- Operations\Photothèque\image non disponible.jpg</v>
          </cell>
          <cell r="EE188" t="str">
            <v>G:\Habitat\OPERATIONNEL HABITAT\02- Operations\Photothèque\image non disponible.jpg</v>
          </cell>
        </row>
        <row r="189">
          <cell r="A189" t="str">
            <v>PHENIX</v>
          </cell>
          <cell r="C189" t="str">
            <v>EST</v>
          </cell>
          <cell r="D189" t="str">
            <v>Saint-Benoît</v>
          </cell>
          <cell r="F189">
            <v>20</v>
          </cell>
          <cell r="G189" t="str">
            <v>LLTS</v>
          </cell>
          <cell r="J189" t="str">
            <v>COL</v>
          </cell>
          <cell r="K189" t="str">
            <v>RF</v>
          </cell>
          <cell r="M189" t="str">
            <v>maitrisé</v>
          </cell>
          <cell r="N189" t="str">
            <v>JPM</v>
          </cell>
          <cell r="O189" t="str">
            <v>JMO</v>
          </cell>
          <cell r="P189" t="str">
            <v>CC</v>
          </cell>
          <cell r="R189">
            <v>2009</v>
          </cell>
          <cell r="T189" t="str">
            <v>Logement et agence est SIDR - autorisation de la commune a obtenir</v>
          </cell>
          <cell r="U189" t="str">
            <v>D JAN</v>
          </cell>
          <cell r="V189" t="str">
            <v>D - ESQUISSES</v>
          </cell>
          <cell r="W189">
            <v>39994</v>
          </cell>
          <cell r="AA189" t="str">
            <v/>
          </cell>
          <cell r="AB189">
            <v>39979</v>
          </cell>
          <cell r="AC189" t="str">
            <v/>
          </cell>
          <cell r="AE189">
            <v>40086</v>
          </cell>
          <cell r="AH189">
            <v>40071</v>
          </cell>
          <cell r="AI189" t="str">
            <v/>
          </cell>
          <cell r="AK189" t="str">
            <v/>
          </cell>
          <cell r="AL189">
            <v>-1317.4316149395056</v>
          </cell>
          <cell r="AM189" t="str">
            <v/>
          </cell>
          <cell r="AN189">
            <v>14</v>
          </cell>
          <cell r="AQ189" t="str">
            <v/>
          </cell>
          <cell r="CJ189" t="str">
            <v>-</v>
          </cell>
          <cell r="CK189" t="str">
            <v>-</v>
          </cell>
          <cell r="CL189" t="str">
            <v>-</v>
          </cell>
          <cell r="CM189" t="str">
            <v>-</v>
          </cell>
          <cell r="CN189">
            <v>0</v>
          </cell>
          <cell r="CQ189" t="str">
            <v>non</v>
          </cell>
          <cell r="CX189">
            <v>0</v>
          </cell>
          <cell r="DE189">
            <v>0</v>
          </cell>
          <cell r="DJ189">
            <v>0</v>
          </cell>
          <cell r="DO189">
            <v>0</v>
          </cell>
          <cell r="DS189">
            <v>0</v>
          </cell>
          <cell r="DT189">
            <v>0</v>
          </cell>
          <cell r="DU189">
            <v>0</v>
          </cell>
          <cell r="ED189" t="str">
            <v>G:\Habitat\OPERATIONNEL HABITAT\02- Operations\Photothèque\image non disponible.jpg</v>
          </cell>
          <cell r="EE189" t="str">
            <v>G:\Habitat\OPERATIONNEL HABITAT\02- Operations\Photothèque\image non disponible.jpg</v>
          </cell>
        </row>
        <row r="190">
          <cell r="A190" t="str">
            <v>PIM PIM</v>
          </cell>
          <cell r="B190">
            <v>9556</v>
          </cell>
          <cell r="C190" t="str">
            <v>EST</v>
          </cell>
          <cell r="D190" t="str">
            <v>Saint-André</v>
          </cell>
          <cell r="E190" t="str">
            <v>ZAC CRESSONIERE</v>
          </cell>
          <cell r="F190">
            <v>12</v>
          </cell>
          <cell r="G190" t="str">
            <v>LESG</v>
          </cell>
          <cell r="J190" t="str">
            <v>IND</v>
          </cell>
          <cell r="K190" t="str">
            <v>CF</v>
          </cell>
          <cell r="L190" t="str">
            <v>SIDR</v>
          </cell>
          <cell r="N190" t="str">
            <v>BS</v>
          </cell>
          <cell r="O190" t="str">
            <v>OS</v>
          </cell>
          <cell r="P190" t="str">
            <v>LV</v>
          </cell>
          <cell r="Q190" t="str">
            <v>SPG</v>
          </cell>
          <cell r="R190">
            <v>2004</v>
          </cell>
          <cell r="U190" t="str">
            <v>ATELIER GAZUT</v>
          </cell>
          <cell r="V190" t="str">
            <v>M - LIVRE/GPA</v>
          </cell>
          <cell r="W190">
            <v>38201</v>
          </cell>
          <cell r="X190" t="str">
            <v>d</v>
          </cell>
          <cell r="Y190" t="str">
            <v>97440904a0370</v>
          </cell>
          <cell r="Z190">
            <v>38776</v>
          </cell>
          <cell r="AA190" t="str">
            <v>o</v>
          </cell>
          <cell r="AB190" t="str">
            <v>validé</v>
          </cell>
          <cell r="AC190" t="str">
            <v/>
          </cell>
          <cell r="AD190">
            <v>0</v>
          </cell>
          <cell r="AE190">
            <v>38229</v>
          </cell>
          <cell r="AF190" t="str">
            <v>f</v>
          </cell>
          <cell r="AG190">
            <v>38349</v>
          </cell>
          <cell r="AH190">
            <v>38913</v>
          </cell>
          <cell r="AI190" t="str">
            <v>ao</v>
          </cell>
          <cell r="AJ190">
            <v>39128</v>
          </cell>
          <cell r="AK190" t="str">
            <v/>
          </cell>
          <cell r="AL190">
            <v>7.0686480799579172</v>
          </cell>
          <cell r="AM190">
            <v>2007</v>
          </cell>
          <cell r="AN190">
            <v>14</v>
          </cell>
          <cell r="AO190">
            <v>39629</v>
          </cell>
          <cell r="AP190">
            <v>39644</v>
          </cell>
          <cell r="AQ190" t="str">
            <v>li</v>
          </cell>
          <cell r="AR190">
            <v>2008</v>
          </cell>
          <cell r="CJ190" t="str">
            <v>-</v>
          </cell>
          <cell r="CK190" t="str">
            <v>-</v>
          </cell>
          <cell r="CL190" t="str">
            <v>-</v>
          </cell>
          <cell r="CM190" t="str">
            <v>-</v>
          </cell>
          <cell r="CN190">
            <v>0</v>
          </cell>
          <cell r="CQ190" t="str">
            <v>oui</v>
          </cell>
          <cell r="CX190">
            <v>0</v>
          </cell>
          <cell r="DE190">
            <v>0</v>
          </cell>
          <cell r="DJ190">
            <v>0</v>
          </cell>
          <cell r="DO190">
            <v>0</v>
          </cell>
          <cell r="DS190">
            <v>0</v>
          </cell>
          <cell r="DT190">
            <v>0</v>
          </cell>
          <cell r="DU190">
            <v>0</v>
          </cell>
          <cell r="ED190" t="str">
            <v>G:\Habitat\OPERATIONNEL HABITAT\02- Operations\Photothèque\image non disponible.jpg</v>
          </cell>
          <cell r="EE190" t="str">
            <v>G:\Habitat\OPERATIONNEL HABITAT\02- Operations\Photothèque\image non disponible.jpg</v>
          </cell>
        </row>
        <row r="191">
          <cell r="A191" t="str">
            <v>PIROGUES</v>
          </cell>
          <cell r="B191">
            <v>9443</v>
          </cell>
          <cell r="C191" t="str">
            <v>SUD</v>
          </cell>
          <cell r="D191" t="str">
            <v>Saint-Joseph</v>
          </cell>
          <cell r="E191" t="str">
            <v>AME LA CAYENNE</v>
          </cell>
          <cell r="F191">
            <v>44</v>
          </cell>
          <cell r="G191" t="str">
            <v>LLTS</v>
          </cell>
          <cell r="J191" t="str">
            <v>COL</v>
          </cell>
          <cell r="K191" t="str">
            <v>RF</v>
          </cell>
          <cell r="N191" t="str">
            <v>JPM</v>
          </cell>
          <cell r="O191" t="str">
            <v>GG</v>
          </cell>
          <cell r="P191" t="str">
            <v>CC</v>
          </cell>
          <cell r="R191">
            <v>2002</v>
          </cell>
          <cell r="T191" t="str">
            <v>trx reprise CE sol en cours/ SODURE 1 logt/nouvelle expertise attente raport</v>
          </cell>
          <cell r="U191" t="str">
            <v>ARCHITECTES DE L'EPERON</v>
          </cell>
          <cell r="V191" t="str">
            <v>M - LIVRE/GPA</v>
          </cell>
          <cell r="W191">
            <v>37432</v>
          </cell>
          <cell r="X191" t="str">
            <v>d</v>
          </cell>
          <cell r="Y191" t="str">
            <v>97412 02A0239/M1</v>
          </cell>
          <cell r="Z191">
            <v>37574</v>
          </cell>
          <cell r="AA191" t="str">
            <v>o</v>
          </cell>
          <cell r="AB191" t="str">
            <v>validé</v>
          </cell>
          <cell r="AC191" t="str">
            <v/>
          </cell>
          <cell r="AE191">
            <v>37540</v>
          </cell>
          <cell r="AF191" t="str">
            <v>f</v>
          </cell>
          <cell r="AG191" t="str">
            <v>O</v>
          </cell>
          <cell r="AH191">
            <v>37669</v>
          </cell>
          <cell r="AI191" t="str">
            <v>ao</v>
          </cell>
          <cell r="AJ191">
            <v>37792</v>
          </cell>
          <cell r="AK191" t="str">
            <v/>
          </cell>
          <cell r="AL191">
            <v>4.0439242503945287</v>
          </cell>
          <cell r="AM191">
            <v>2003</v>
          </cell>
          <cell r="AN191">
            <v>16</v>
          </cell>
          <cell r="AO191">
            <v>38280</v>
          </cell>
          <cell r="AP191">
            <v>38323</v>
          </cell>
          <cell r="AQ191" t="str">
            <v>li</v>
          </cell>
          <cell r="AR191">
            <v>2004</v>
          </cell>
          <cell r="BO191" t="str">
            <v>signée</v>
          </cell>
          <cell r="BQ191" t="str">
            <v>signée</v>
          </cell>
          <cell r="BX191" t="str">
            <v>signé</v>
          </cell>
          <cell r="CA191">
            <v>3032</v>
          </cell>
          <cell r="CE191" t="str">
            <v>ECS ind</v>
          </cell>
          <cell r="CF191">
            <v>101801</v>
          </cell>
          <cell r="CG191">
            <v>30540</v>
          </cell>
          <cell r="CH191">
            <v>45810</v>
          </cell>
          <cell r="CI191">
            <v>25450</v>
          </cell>
          <cell r="CJ191" t="str">
            <v>-</v>
          </cell>
          <cell r="CK191" t="str">
            <v>-</v>
          </cell>
          <cell r="CL191" t="str">
            <v>-</v>
          </cell>
          <cell r="CM191" t="str">
            <v>-</v>
          </cell>
          <cell r="CN191">
            <v>0</v>
          </cell>
          <cell r="CQ191" t="str">
            <v>oui</v>
          </cell>
          <cell r="CT191">
            <v>2271205</v>
          </cell>
          <cell r="CX191">
            <v>2271205</v>
          </cell>
          <cell r="DE191">
            <v>76350</v>
          </cell>
          <cell r="DJ191">
            <v>76350</v>
          </cell>
          <cell r="DO191">
            <v>0</v>
          </cell>
          <cell r="DQ191">
            <v>82000</v>
          </cell>
          <cell r="DR191">
            <v>25450</v>
          </cell>
          <cell r="DS191">
            <v>107450</v>
          </cell>
          <cell r="DT191">
            <v>214900</v>
          </cell>
          <cell r="DU191">
            <v>-1979955</v>
          </cell>
          <cell r="ED191" t="str">
            <v>G:\Habitat\OPERATIONNEL HABITAT\02- Operations\Photothèque\image non disponible.jpg</v>
          </cell>
          <cell r="EE191" t="str">
            <v>G:\Habitat\OPERATIONNEL HABITAT\02- Operations\Photothèque\image non disponible.jpg</v>
          </cell>
        </row>
        <row r="192">
          <cell r="A192" t="str">
            <v>PITAYA ex GOTLAND</v>
          </cell>
          <cell r="B192">
            <v>9697</v>
          </cell>
          <cell r="C192" t="str">
            <v>EST</v>
          </cell>
          <cell r="D192" t="str">
            <v>Saint-André</v>
          </cell>
          <cell r="E192" t="str">
            <v>ZAC FAYARD</v>
          </cell>
          <cell r="F192">
            <v>66</v>
          </cell>
          <cell r="G192" t="str">
            <v>LLTS</v>
          </cell>
          <cell r="J192" t="str">
            <v>COL</v>
          </cell>
          <cell r="K192" t="str">
            <v>CF</v>
          </cell>
          <cell r="L192" t="str">
            <v>SEDRE</v>
          </cell>
          <cell r="M192" t="str">
            <v>non maitrisé</v>
          </cell>
          <cell r="N192" t="str">
            <v>CLa</v>
          </cell>
          <cell r="O192" t="str">
            <v>JMO</v>
          </cell>
          <cell r="P192" t="str">
            <v>CC</v>
          </cell>
          <cell r="R192">
            <v>2007</v>
          </cell>
          <cell r="S192">
            <v>1</v>
          </cell>
          <cell r="T192" t="str">
            <v>PPRI etude de sol</v>
          </cell>
          <cell r="U192" t="str">
            <v>SAULNIER</v>
          </cell>
          <cell r="V192" t="str">
            <v>H - APPEL D'OFFRES</v>
          </cell>
          <cell r="W192">
            <v>39352</v>
          </cell>
          <cell r="X192" t="str">
            <v>d</v>
          </cell>
          <cell r="Y192" t="str">
            <v>97440907a0531</v>
          </cell>
          <cell r="Z192">
            <v>39471</v>
          </cell>
          <cell r="AA192" t="str">
            <v>o</v>
          </cell>
          <cell r="AB192">
            <v>39337</v>
          </cell>
          <cell r="AC192" t="str">
            <v>v</v>
          </cell>
          <cell r="AD192">
            <v>39597</v>
          </cell>
          <cell r="AE192">
            <v>39353</v>
          </cell>
          <cell r="AF192" t="str">
            <v>f</v>
          </cell>
          <cell r="AG192">
            <v>39464</v>
          </cell>
          <cell r="AH192">
            <v>39722</v>
          </cell>
          <cell r="AI192" t="str">
            <v>ao</v>
          </cell>
          <cell r="AJ192">
            <v>39864</v>
          </cell>
          <cell r="AK192" t="str">
            <v>ch</v>
          </cell>
          <cell r="AL192">
            <v>4.6685954760652288</v>
          </cell>
          <cell r="AM192">
            <v>2009</v>
          </cell>
          <cell r="AN192">
            <v>18</v>
          </cell>
          <cell r="AO192">
            <v>40410</v>
          </cell>
          <cell r="AP192">
            <v>40425</v>
          </cell>
          <cell r="AQ192" t="str">
            <v/>
          </cell>
          <cell r="AR192">
            <v>2010</v>
          </cell>
          <cell r="BK192">
            <v>0</v>
          </cell>
          <cell r="BL192">
            <v>5.03</v>
          </cell>
          <cell r="CJ192" t="str">
            <v>SCI Saint Pierre</v>
          </cell>
          <cell r="CK192" t="str">
            <v>INFI</v>
          </cell>
          <cell r="CL192">
            <v>39773</v>
          </cell>
          <cell r="CM192" t="str">
            <v>-</v>
          </cell>
          <cell r="CN192">
            <v>0</v>
          </cell>
          <cell r="CO192" t="str">
            <v>199 undecies A</v>
          </cell>
          <cell r="CQ192" t="str">
            <v>non</v>
          </cell>
          <cell r="CX192">
            <v>0</v>
          </cell>
          <cell r="DE192">
            <v>0</v>
          </cell>
          <cell r="DJ192">
            <v>0</v>
          </cell>
          <cell r="DO192">
            <v>0</v>
          </cell>
          <cell r="DS192">
            <v>0</v>
          </cell>
          <cell r="DT192">
            <v>0</v>
          </cell>
          <cell r="DU192">
            <v>0</v>
          </cell>
          <cell r="ED192" t="str">
            <v>G:\Habitat\OPERATIONNEL HABITAT\02- Operations\Photothèque\image non disponible.jpg</v>
          </cell>
          <cell r="EE192" t="str">
            <v>G:\Habitat\OPERATIONNEL HABITAT\02- Operations\Photothèque\image non disponible.jpg</v>
          </cell>
        </row>
        <row r="193">
          <cell r="A193" t="str">
            <v>PITON HYACINTHE</v>
          </cell>
          <cell r="C193" t="str">
            <v>SUD</v>
          </cell>
          <cell r="D193" t="str">
            <v>Tampon</v>
          </cell>
          <cell r="F193">
            <v>30</v>
          </cell>
          <cell r="G193" t="str">
            <v>LESG</v>
          </cell>
          <cell r="J193" t="str">
            <v>IND</v>
          </cell>
          <cell r="N193" t="str">
            <v>N.A.</v>
          </cell>
          <cell r="R193">
            <v>2011</v>
          </cell>
          <cell r="T193" t="str">
            <v>Etude de faisabilité financée par DDE  - en attente de la décision de financement</v>
          </cell>
          <cell r="V193" t="str">
            <v>B - ETUDE PRE-OP</v>
          </cell>
          <cell r="AA193" t="str">
            <v/>
          </cell>
          <cell r="AC193" t="str">
            <v/>
          </cell>
          <cell r="AI193" t="str">
            <v/>
          </cell>
          <cell r="AK193" t="str">
            <v/>
          </cell>
          <cell r="AL193">
            <v>0</v>
          </cell>
          <cell r="AQ193" t="str">
            <v/>
          </cell>
          <cell r="CJ193" t="str">
            <v>-</v>
          </cell>
          <cell r="CK193" t="str">
            <v>-</v>
          </cell>
          <cell r="CL193" t="str">
            <v>-</v>
          </cell>
          <cell r="CM193" t="str">
            <v>-</v>
          </cell>
          <cell r="CN193">
            <v>0</v>
          </cell>
          <cell r="CQ193" t="str">
            <v>non</v>
          </cell>
          <cell r="CX193">
            <v>0</v>
          </cell>
          <cell r="DE193">
            <v>0</v>
          </cell>
          <cell r="DJ193">
            <v>0</v>
          </cell>
          <cell r="DO193">
            <v>0</v>
          </cell>
          <cell r="DS193">
            <v>0</v>
          </cell>
          <cell r="DT193">
            <v>0</v>
          </cell>
          <cell r="DU193">
            <v>0</v>
          </cell>
          <cell r="ED193" t="str">
            <v>G:\Habitat\OPERATIONNEL HABITAT\02- Operations\Photothèque\image non disponible.jpg</v>
          </cell>
          <cell r="EE193" t="str">
            <v>G:\Habitat\OPERATIONNEL HABITAT\02- Operations\Photothèque\image non disponible.jpg</v>
          </cell>
        </row>
        <row r="194">
          <cell r="A194" t="str">
            <v>PITON HYACINTHE b</v>
          </cell>
          <cell r="C194" t="str">
            <v>SUD</v>
          </cell>
          <cell r="D194" t="str">
            <v>Tampon</v>
          </cell>
          <cell r="F194">
            <v>30</v>
          </cell>
          <cell r="G194" t="str">
            <v>LLS</v>
          </cell>
          <cell r="J194" t="str">
            <v>MIXT</v>
          </cell>
          <cell r="N194" t="str">
            <v>N.A.</v>
          </cell>
          <cell r="R194">
            <v>2011</v>
          </cell>
          <cell r="T194" t="str">
            <v>Etude de faisabilité financée par DDE  - en attente de la décision de financement</v>
          </cell>
          <cell r="V194" t="str">
            <v>B - ETUDE PRE-OP</v>
          </cell>
          <cell r="AA194" t="str">
            <v/>
          </cell>
          <cell r="AC194" t="str">
            <v/>
          </cell>
          <cell r="AI194" t="str">
            <v/>
          </cell>
          <cell r="AK194" t="str">
            <v/>
          </cell>
          <cell r="AL194">
            <v>0</v>
          </cell>
          <cell r="AQ194" t="str">
            <v/>
          </cell>
          <cell r="CJ194" t="str">
            <v>-</v>
          </cell>
          <cell r="CK194" t="str">
            <v>-</v>
          </cell>
          <cell r="CL194" t="str">
            <v>-</v>
          </cell>
          <cell r="CM194" t="str">
            <v>-</v>
          </cell>
          <cell r="CN194">
            <v>0</v>
          </cell>
          <cell r="CQ194" t="str">
            <v>non</v>
          </cell>
          <cell r="CX194">
            <v>0</v>
          </cell>
          <cell r="DE194">
            <v>0</v>
          </cell>
          <cell r="DJ194">
            <v>0</v>
          </cell>
          <cell r="DO194">
            <v>0</v>
          </cell>
          <cell r="DS194">
            <v>0</v>
          </cell>
          <cell r="DT194">
            <v>0</v>
          </cell>
          <cell r="DU194">
            <v>0</v>
          </cell>
          <cell r="ED194" t="str">
            <v>G:\Habitat\OPERATIONNEL HABITAT\02- Operations\Photothèque\image non disponible.jpg</v>
          </cell>
          <cell r="EE194" t="str">
            <v>G:\Habitat\OPERATIONNEL HABITAT\02- Operations\Photothèque\image non disponible.jpg</v>
          </cell>
        </row>
        <row r="195">
          <cell r="A195" t="str">
            <v>PITON MADORE  bat A et B</v>
          </cell>
          <cell r="B195">
            <v>9417</v>
          </cell>
          <cell r="C195" t="str">
            <v>NORD</v>
          </cell>
          <cell r="D195" t="str">
            <v>Saint-Denis</v>
          </cell>
          <cell r="E195" t="str">
            <v>ZAC BELLEPIERRE</v>
          </cell>
          <cell r="F195">
            <v>28</v>
          </cell>
          <cell r="G195" t="str">
            <v>PLS</v>
          </cell>
          <cell r="J195" t="str">
            <v>COL</v>
          </cell>
          <cell r="K195" t="str">
            <v>CF</v>
          </cell>
          <cell r="L195" t="str">
            <v>SIDR</v>
          </cell>
          <cell r="N195" t="str">
            <v>BZ</v>
          </cell>
          <cell r="O195" t="str">
            <v>SV</v>
          </cell>
          <cell r="P195" t="str">
            <v>CS</v>
          </cell>
          <cell r="R195">
            <v>2005</v>
          </cell>
          <cell r="V195" t="str">
            <v>M - LIVRE/GPA</v>
          </cell>
          <cell r="AA195" t="str">
            <v/>
          </cell>
          <cell r="AC195" t="str">
            <v/>
          </cell>
          <cell r="AI195" t="str">
            <v/>
          </cell>
          <cell r="AK195" t="str">
            <v/>
          </cell>
          <cell r="AL195">
            <v>0</v>
          </cell>
          <cell r="AO195">
            <v>39568</v>
          </cell>
          <cell r="AP195">
            <v>39583</v>
          </cell>
          <cell r="AQ195" t="str">
            <v>li</v>
          </cell>
          <cell r="AR195">
            <v>2008</v>
          </cell>
          <cell r="CJ195" t="str">
            <v>-</v>
          </cell>
          <cell r="CK195" t="str">
            <v>-</v>
          </cell>
          <cell r="CL195" t="str">
            <v>-</v>
          </cell>
          <cell r="CM195" t="str">
            <v>-</v>
          </cell>
          <cell r="CN195">
            <v>0</v>
          </cell>
          <cell r="CQ195" t="str">
            <v>oui</v>
          </cell>
          <cell r="CX195">
            <v>0</v>
          </cell>
          <cell r="DE195">
            <v>0</v>
          </cell>
          <cell r="DJ195">
            <v>0</v>
          </cell>
          <cell r="DO195">
            <v>0</v>
          </cell>
          <cell r="DS195">
            <v>0</v>
          </cell>
          <cell r="DT195">
            <v>0</v>
          </cell>
          <cell r="DU195">
            <v>0</v>
          </cell>
          <cell r="ED195" t="str">
            <v>G:\Habitat\OPERATIONNEL HABITAT\02- Operations\Photothèque\images locatifs\Piton Madoré\Pers 1 P Madoré.jpg</v>
          </cell>
          <cell r="EE195" t="str">
            <v>G:\Habitat\OPERATIONNEL HABITAT\02- Operations\Photothèque\images locatifs\Piton Madoré\Pers 2 P Madoré.jpg</v>
          </cell>
        </row>
        <row r="196">
          <cell r="A196" t="str">
            <v>PITON MADORE  bat C</v>
          </cell>
          <cell r="B196">
            <v>9417</v>
          </cell>
          <cell r="C196" t="str">
            <v>NORD</v>
          </cell>
          <cell r="D196" t="str">
            <v>Saint-Denis</v>
          </cell>
          <cell r="E196" t="str">
            <v>ZAC BELLEPIERRE</v>
          </cell>
          <cell r="F196">
            <v>12</v>
          </cell>
          <cell r="G196" t="str">
            <v>PLS</v>
          </cell>
          <cell r="J196" t="str">
            <v>COL</v>
          </cell>
          <cell r="K196" t="str">
            <v>CF</v>
          </cell>
          <cell r="L196" t="str">
            <v>SIDR</v>
          </cell>
          <cell r="M196" t="str">
            <v>maitrisé</v>
          </cell>
          <cell r="N196" t="str">
            <v>BZ</v>
          </cell>
          <cell r="O196" t="str">
            <v>SV</v>
          </cell>
          <cell r="P196" t="str">
            <v>CS</v>
          </cell>
          <cell r="R196">
            <v>2005</v>
          </cell>
          <cell r="U196" t="str">
            <v>GOETZ</v>
          </cell>
          <cell r="V196" t="str">
            <v>M - LIVRE/GPA</v>
          </cell>
          <cell r="W196">
            <v>38176</v>
          </cell>
          <cell r="X196" t="str">
            <v>d</v>
          </cell>
          <cell r="Y196" t="str">
            <v>97441104A0332</v>
          </cell>
          <cell r="Z196">
            <v>38357</v>
          </cell>
          <cell r="AA196" t="str">
            <v>o</v>
          </cell>
          <cell r="AB196" t="str">
            <v>validé</v>
          </cell>
          <cell r="AC196" t="str">
            <v/>
          </cell>
          <cell r="AD196">
            <v>38687</v>
          </cell>
          <cell r="AE196">
            <v>38615</v>
          </cell>
          <cell r="AF196" t="str">
            <v>f</v>
          </cell>
          <cell r="AG196">
            <v>38805</v>
          </cell>
          <cell r="AH196">
            <v>38582</v>
          </cell>
          <cell r="AI196" t="str">
            <v>ao</v>
          </cell>
          <cell r="AJ196">
            <v>38819</v>
          </cell>
          <cell r="AK196" t="str">
            <v/>
          </cell>
          <cell r="AL196">
            <v>7.7919516044187267</v>
          </cell>
          <cell r="AM196">
            <v>2006</v>
          </cell>
          <cell r="AN196">
            <v>17</v>
          </cell>
          <cell r="AO196">
            <v>39337</v>
          </cell>
          <cell r="AP196">
            <v>39431</v>
          </cell>
          <cell r="AQ196" t="str">
            <v>li</v>
          </cell>
          <cell r="AR196">
            <v>2007</v>
          </cell>
          <cell r="AS196">
            <v>4</v>
          </cell>
          <cell r="AT196">
            <v>28.4</v>
          </cell>
          <cell r="AW196">
            <v>9</v>
          </cell>
          <cell r="AX196">
            <v>56.12</v>
          </cell>
          <cell r="BA196">
            <v>20</v>
          </cell>
          <cell r="BB196">
            <v>66.42</v>
          </cell>
          <cell r="BE196">
            <v>4</v>
          </cell>
          <cell r="BF196">
            <v>76</v>
          </cell>
          <cell r="BI196">
            <v>3</v>
          </cell>
          <cell r="BJ196">
            <v>105.18</v>
          </cell>
          <cell r="BK196">
            <v>40</v>
          </cell>
          <cell r="BL196">
            <v>8.5</v>
          </cell>
          <cell r="BM196">
            <v>0.8</v>
          </cell>
          <cell r="BN196">
            <v>0.2</v>
          </cell>
          <cell r="BO196" t="str">
            <v>signée</v>
          </cell>
          <cell r="BP196">
            <v>0.8</v>
          </cell>
          <cell r="BQ196" t="str">
            <v>signée</v>
          </cell>
          <cell r="BX196" t="str">
            <v>émis signature garants en cours</v>
          </cell>
          <cell r="BY196">
            <v>2815</v>
          </cell>
          <cell r="BZ196">
            <v>4080</v>
          </cell>
          <cell r="CA196">
            <v>2828.48</v>
          </cell>
          <cell r="CE196" t="str">
            <v>ECS ind</v>
          </cell>
          <cell r="CF196">
            <v>108178</v>
          </cell>
          <cell r="CI196" t="str">
            <v>C le21/01/2008</v>
          </cell>
          <cell r="CJ196" t="str">
            <v>-</v>
          </cell>
          <cell r="CK196" t="str">
            <v>-</v>
          </cell>
          <cell r="CL196" t="str">
            <v>-</v>
          </cell>
          <cell r="CM196" t="str">
            <v>-</v>
          </cell>
          <cell r="CN196">
            <v>0</v>
          </cell>
          <cell r="CQ196" t="str">
            <v>oui</v>
          </cell>
          <cell r="CR196">
            <v>408801</v>
          </cell>
          <cell r="CT196">
            <v>2991824</v>
          </cell>
          <cell r="CX196">
            <v>3400625</v>
          </cell>
          <cell r="DE196">
            <v>0</v>
          </cell>
          <cell r="DJ196">
            <v>0</v>
          </cell>
          <cell r="DO196">
            <v>0</v>
          </cell>
          <cell r="DQ196">
            <v>101100</v>
          </cell>
          <cell r="DR196">
            <v>40000</v>
          </cell>
          <cell r="DS196">
            <v>141100</v>
          </cell>
          <cell r="DT196">
            <v>282200</v>
          </cell>
          <cell r="DU196">
            <v>-3118425</v>
          </cell>
          <cell r="ED196" t="str">
            <v>G:\Habitat\OPERATIONNEL HABITAT\02- Operations\Photothèque\images locatifs\Piton Madoré\Pers 1 P Madoré.jpg</v>
          </cell>
          <cell r="EE196" t="str">
            <v>G:\Habitat\OPERATIONNEL HABITAT\02- Operations\Photothèque\images locatifs\Piton Madoré\Pers 2 P Madoré.jpg</v>
          </cell>
        </row>
        <row r="197">
          <cell r="A197" t="str">
            <v>PORQUEROLLES</v>
          </cell>
          <cell r="B197">
            <v>9600</v>
          </cell>
          <cell r="C197" t="str">
            <v>NORD</v>
          </cell>
          <cell r="D197" t="str">
            <v>Saint-Denis</v>
          </cell>
          <cell r="E197" t="str">
            <v>STE CLOTILDE</v>
          </cell>
          <cell r="F197">
            <v>35</v>
          </cell>
          <cell r="G197" t="str">
            <v>LLTS</v>
          </cell>
          <cell r="J197" t="str">
            <v>COL</v>
          </cell>
          <cell r="K197" t="str">
            <v>CF</v>
          </cell>
          <cell r="L197" t="str">
            <v>SIDR</v>
          </cell>
          <cell r="M197" t="str">
            <v>maitrisé</v>
          </cell>
          <cell r="N197" t="str">
            <v>JEM</v>
          </cell>
          <cell r="O197" t="str">
            <v>SV</v>
          </cell>
          <cell r="P197" t="str">
            <v>CS</v>
          </cell>
          <cell r="Q197" t="str">
            <v>AR</v>
          </cell>
          <cell r="R197">
            <v>2005</v>
          </cell>
          <cell r="T197" t="str">
            <v>pb de propriété foncière à régler avec la commune/temoin/ loyer</v>
          </cell>
          <cell r="U197" t="str">
            <v>D. MASSON</v>
          </cell>
          <cell r="V197" t="str">
            <v>L - CHANTIER EN COURS</v>
          </cell>
          <cell r="W197">
            <v>38530</v>
          </cell>
          <cell r="X197" t="str">
            <v>d</v>
          </cell>
          <cell r="Y197" t="str">
            <v>97441105A0345</v>
          </cell>
          <cell r="Z197">
            <v>38398</v>
          </cell>
          <cell r="AA197" t="str">
            <v>o</v>
          </cell>
          <cell r="AB197" t="str">
            <v>validé</v>
          </cell>
          <cell r="AC197" t="str">
            <v/>
          </cell>
          <cell r="AD197">
            <v>38624</v>
          </cell>
          <cell r="AE197">
            <v>38553</v>
          </cell>
          <cell r="AF197" t="str">
            <v>f</v>
          </cell>
          <cell r="AG197">
            <v>38722</v>
          </cell>
          <cell r="AH197">
            <v>38832</v>
          </cell>
          <cell r="AI197" t="str">
            <v>ao</v>
          </cell>
          <cell r="AJ197">
            <v>38996</v>
          </cell>
          <cell r="AK197" t="str">
            <v/>
          </cell>
          <cell r="AL197">
            <v>5.3918990005260392</v>
          </cell>
          <cell r="AM197">
            <v>2006</v>
          </cell>
          <cell r="AN197">
            <v>18</v>
          </cell>
          <cell r="AO197">
            <v>39544</v>
          </cell>
          <cell r="AP197">
            <v>39619</v>
          </cell>
          <cell r="AQ197" t="str">
            <v>li</v>
          </cell>
          <cell r="AR197">
            <v>2008</v>
          </cell>
          <cell r="AW197">
            <v>18</v>
          </cell>
          <cell r="AX197">
            <v>56.61</v>
          </cell>
          <cell r="BA197">
            <v>8</v>
          </cell>
          <cell r="BB197">
            <v>68.25</v>
          </cell>
          <cell r="BE197">
            <v>6</v>
          </cell>
          <cell r="BF197">
            <v>80.83</v>
          </cell>
          <cell r="BI197">
            <v>3</v>
          </cell>
          <cell r="BJ197">
            <v>95.66</v>
          </cell>
          <cell r="BK197">
            <v>35</v>
          </cell>
          <cell r="BL197">
            <v>4.87</v>
          </cell>
          <cell r="BM197">
            <v>0.87</v>
          </cell>
          <cell r="BN197">
            <v>0.2</v>
          </cell>
          <cell r="BO197" t="str">
            <v>signée</v>
          </cell>
          <cell r="BP197">
            <v>0.8</v>
          </cell>
          <cell r="BQ197" t="str">
            <v>signée</v>
          </cell>
          <cell r="BR197" t="str">
            <v>ADI</v>
          </cell>
          <cell r="BT197" t="str">
            <v>signée</v>
          </cell>
          <cell r="BX197" t="str">
            <v>signé</v>
          </cell>
          <cell r="BY197">
            <v>2128</v>
          </cell>
          <cell r="BZ197">
            <v>4490</v>
          </cell>
          <cell r="CA197">
            <v>2898</v>
          </cell>
          <cell r="CE197" t="str">
            <v>ECS ind</v>
          </cell>
          <cell r="CF197">
            <v>74000</v>
          </cell>
          <cell r="CG197">
            <v>22200</v>
          </cell>
          <cell r="CH197">
            <v>33300</v>
          </cell>
          <cell r="CI197">
            <v>18500</v>
          </cell>
          <cell r="CJ197" t="str">
            <v>-</v>
          </cell>
          <cell r="CK197" t="str">
            <v>-</v>
          </cell>
          <cell r="CL197" t="str">
            <v>-</v>
          </cell>
          <cell r="CM197" t="str">
            <v>-</v>
          </cell>
          <cell r="CN197">
            <v>0</v>
          </cell>
          <cell r="CQ197" t="str">
            <v>oui</v>
          </cell>
          <cell r="CR197">
            <v>206441</v>
          </cell>
          <cell r="CT197">
            <v>2357955</v>
          </cell>
          <cell r="CX197">
            <v>2564396</v>
          </cell>
          <cell r="DE197">
            <v>55500</v>
          </cell>
          <cell r="DJ197">
            <v>55500</v>
          </cell>
          <cell r="DO197">
            <v>0</v>
          </cell>
          <cell r="DQ197">
            <v>76473</v>
          </cell>
          <cell r="DR197">
            <v>40800</v>
          </cell>
          <cell r="DS197">
            <v>117273</v>
          </cell>
          <cell r="DT197">
            <v>234546</v>
          </cell>
          <cell r="DU197">
            <v>-2274350</v>
          </cell>
          <cell r="ED197" t="str">
            <v>G:\Habitat\OPERATIONNEL HABITAT\02- Operations\Photothèque\images locatifs\Porquerolles\Pers insertion 2 porquerolle.jpg</v>
          </cell>
          <cell r="EE197" t="str">
            <v>G:\Habitat\OPERATIONNEL HABITAT\02- Operations\Photothèque\images locatifs\Porquerolles\porquerolles.jpg</v>
          </cell>
        </row>
        <row r="198">
          <cell r="A198" t="str">
            <v>PREVOISY</v>
          </cell>
          <cell r="C198" t="str">
            <v>EST</v>
          </cell>
          <cell r="D198" t="str">
            <v>Saint-Benoît</v>
          </cell>
          <cell r="E198" t="str">
            <v>BRAS CANOT - PREVOISY</v>
          </cell>
          <cell r="F198">
            <v>30</v>
          </cell>
          <cell r="G198" t="str">
            <v>LESG</v>
          </cell>
          <cell r="J198" t="str">
            <v>IND</v>
          </cell>
          <cell r="K198" t="str">
            <v>CF</v>
          </cell>
          <cell r="L198" t="str">
            <v>SIDR</v>
          </cell>
          <cell r="N198" t="str">
            <v>BS</v>
          </cell>
          <cell r="Q198" t="str">
            <v>AR</v>
          </cell>
          <cell r="R198">
            <v>2010</v>
          </cell>
          <cell r="T198" t="str">
            <v>Opération d'aménagement (SIDR) à prévoir - attente livraison primaire SEMAC</v>
          </cell>
          <cell r="V198" t="str">
            <v>A - NON LANCE</v>
          </cell>
          <cell r="X198" t="str">
            <v/>
          </cell>
          <cell r="AA198" t="str">
            <v/>
          </cell>
          <cell r="AC198" t="str">
            <v/>
          </cell>
          <cell r="AF198" t="str">
            <v/>
          </cell>
          <cell r="AI198" t="str">
            <v/>
          </cell>
          <cell r="AK198" t="str">
            <v/>
          </cell>
          <cell r="AL198">
            <v>0</v>
          </cell>
          <cell r="AM198" t="str">
            <v/>
          </cell>
          <cell r="AO198" t="str">
            <v/>
          </cell>
          <cell r="AP198" t="str">
            <v/>
          </cell>
          <cell r="AQ198" t="str">
            <v/>
          </cell>
          <cell r="AR198" t="str">
            <v/>
          </cell>
          <cell r="CJ198" t="str">
            <v>-</v>
          </cell>
          <cell r="CK198" t="str">
            <v>-</v>
          </cell>
          <cell r="CL198" t="str">
            <v>-</v>
          </cell>
          <cell r="CM198" t="str">
            <v>-</v>
          </cell>
          <cell r="CN198">
            <v>0</v>
          </cell>
          <cell r="CQ198" t="str">
            <v>non</v>
          </cell>
          <cell r="CX198">
            <v>0</v>
          </cell>
          <cell r="DE198">
            <v>0</v>
          </cell>
          <cell r="DJ198">
            <v>0</v>
          </cell>
          <cell r="DO198">
            <v>0</v>
          </cell>
          <cell r="DS198">
            <v>0</v>
          </cell>
          <cell r="DT198">
            <v>0</v>
          </cell>
          <cell r="DU198">
            <v>0</v>
          </cell>
          <cell r="ED198" t="str">
            <v>G:\Habitat\OPERATIONNEL HABITAT\02- Operations\Photothèque\image non disponible.jpg</v>
          </cell>
          <cell r="EE198" t="str">
            <v>G:\Habitat\OPERATIONNEL HABITAT\02- Operations\Photothèque\image non disponible.jpg</v>
          </cell>
        </row>
        <row r="199">
          <cell r="A199" t="str">
            <v>PRU LE PORT</v>
          </cell>
          <cell r="C199" t="str">
            <v>OUEST</v>
          </cell>
          <cell r="D199" t="str">
            <v>Port</v>
          </cell>
          <cell r="E199" t="str">
            <v>PRU LE PORT</v>
          </cell>
          <cell r="F199">
            <v>5</v>
          </cell>
          <cell r="G199" t="str">
            <v>ACC</v>
          </cell>
          <cell r="J199" t="str">
            <v>IND</v>
          </cell>
          <cell r="K199" t="str">
            <v>CF</v>
          </cell>
          <cell r="L199" t="str">
            <v>SEMADER</v>
          </cell>
          <cell r="N199" t="str">
            <v>EC</v>
          </cell>
          <cell r="O199" t="str">
            <v>FG</v>
          </cell>
          <cell r="P199" t="str">
            <v>LV</v>
          </cell>
          <cell r="R199">
            <v>2003</v>
          </cell>
          <cell r="U199" t="str">
            <v>CHEYSIAL</v>
          </cell>
          <cell r="V199" t="str">
            <v>M - LIVRE/GPA</v>
          </cell>
          <cell r="X199" t="str">
            <v/>
          </cell>
          <cell r="AA199" t="str">
            <v/>
          </cell>
          <cell r="AC199" t="str">
            <v/>
          </cell>
          <cell r="AD199" t="str">
            <v>v</v>
          </cell>
          <cell r="AF199" t="str">
            <v/>
          </cell>
          <cell r="AI199" t="str">
            <v/>
          </cell>
          <cell r="AK199" t="str">
            <v/>
          </cell>
          <cell r="AL199">
            <v>0</v>
          </cell>
          <cell r="AM199" t="str">
            <v/>
          </cell>
          <cell r="AO199" t="str">
            <v/>
          </cell>
          <cell r="AP199">
            <v>38275</v>
          </cell>
          <cell r="AQ199" t="str">
            <v>li</v>
          </cell>
          <cell r="AR199">
            <v>2004</v>
          </cell>
          <cell r="CJ199" t="str">
            <v>-</v>
          </cell>
          <cell r="CK199" t="str">
            <v>-</v>
          </cell>
          <cell r="CL199" t="str">
            <v>-</v>
          </cell>
          <cell r="CM199" t="str">
            <v>-</v>
          </cell>
          <cell r="CN199">
            <v>0</v>
          </cell>
          <cell r="CQ199" t="str">
            <v>oui</v>
          </cell>
          <cell r="CX199">
            <v>0</v>
          </cell>
          <cell r="DE199">
            <v>0</v>
          </cell>
          <cell r="DJ199">
            <v>0</v>
          </cell>
          <cell r="DO199">
            <v>0</v>
          </cell>
          <cell r="DS199">
            <v>0</v>
          </cell>
          <cell r="DT199">
            <v>0</v>
          </cell>
          <cell r="DU199">
            <v>0</v>
          </cell>
          <cell r="ED199" t="str">
            <v>G:\Habitat\OPERATIONNEL HABITAT\02- Operations\Photothèque\image non disponible.jpg</v>
          </cell>
          <cell r="EE199" t="str">
            <v>G:\Habitat\OPERATIONNEL HABITAT\02- Operations\Photothèque\image non disponible.jpg</v>
          </cell>
        </row>
        <row r="200">
          <cell r="A200" t="str">
            <v>RHI 3 BASSINS 1</v>
          </cell>
          <cell r="C200" t="str">
            <v>OUEST</v>
          </cell>
          <cell r="D200" t="str">
            <v>Trois-Bassins</v>
          </cell>
          <cell r="E200" t="str">
            <v>RHI CROIX BIGAT</v>
          </cell>
          <cell r="F200">
            <v>12</v>
          </cell>
          <cell r="G200" t="str">
            <v>LESG</v>
          </cell>
          <cell r="J200" t="str">
            <v>IND</v>
          </cell>
          <cell r="K200" t="str">
            <v>CF</v>
          </cell>
          <cell r="L200" t="str">
            <v>SIDR</v>
          </cell>
          <cell r="N200" t="str">
            <v>BS</v>
          </cell>
          <cell r="Q200" t="str">
            <v>VM</v>
          </cell>
          <cell r="R200">
            <v>2010</v>
          </cell>
          <cell r="T200" t="str">
            <v>Voie non modifiée</v>
          </cell>
          <cell r="X200" t="str">
            <v/>
          </cell>
          <cell r="AA200" t="str">
            <v/>
          </cell>
          <cell r="AC200" t="str">
            <v/>
          </cell>
          <cell r="AI200" t="str">
            <v/>
          </cell>
          <cell r="AK200" t="str">
            <v/>
          </cell>
          <cell r="AL200">
            <v>0</v>
          </cell>
          <cell r="AQ200" t="str">
            <v/>
          </cell>
          <cell r="CJ200" t="str">
            <v>-</v>
          </cell>
          <cell r="CK200" t="str">
            <v>-</v>
          </cell>
          <cell r="CL200" t="str">
            <v>-</v>
          </cell>
          <cell r="CM200" t="str">
            <v>-</v>
          </cell>
          <cell r="CN200">
            <v>0</v>
          </cell>
          <cell r="CQ200" t="str">
            <v>non</v>
          </cell>
          <cell r="CX200">
            <v>0</v>
          </cell>
          <cell r="DE200">
            <v>0</v>
          </cell>
          <cell r="DJ200">
            <v>0</v>
          </cell>
          <cell r="DO200">
            <v>0</v>
          </cell>
          <cell r="DS200">
            <v>0</v>
          </cell>
          <cell r="DT200">
            <v>0</v>
          </cell>
          <cell r="DU200">
            <v>0</v>
          </cell>
          <cell r="ED200" t="str">
            <v>G:\Habitat\OPERATIONNEL HABITAT\02- Operations\Photothèque\image non disponible.jpg</v>
          </cell>
          <cell r="EE200" t="str">
            <v>G:\Habitat\OPERATIONNEL HABITAT\02- Operations\Photothèque\image non disponible.jpg</v>
          </cell>
        </row>
        <row r="201">
          <cell r="A201" t="str">
            <v>RHI 3 BASSINS 1</v>
          </cell>
          <cell r="C201" t="str">
            <v>OUEST</v>
          </cell>
          <cell r="D201" t="str">
            <v>Trois-Bassins</v>
          </cell>
          <cell r="E201" t="str">
            <v>RHI CROIX BIGAT</v>
          </cell>
          <cell r="F201">
            <v>25</v>
          </cell>
          <cell r="G201" t="str">
            <v>LLTS</v>
          </cell>
          <cell r="J201" t="str">
            <v>MV</v>
          </cell>
          <cell r="K201" t="str">
            <v>CF</v>
          </cell>
          <cell r="L201" t="str">
            <v>SIDR</v>
          </cell>
          <cell r="N201" t="str">
            <v>N.A.</v>
          </cell>
          <cell r="Q201" t="str">
            <v>VM</v>
          </cell>
          <cell r="R201">
            <v>2010</v>
          </cell>
          <cell r="T201" t="str">
            <v>pas de choix opérateur</v>
          </cell>
          <cell r="V201" t="str">
            <v>A - NON LANCE</v>
          </cell>
          <cell r="X201" t="str">
            <v/>
          </cell>
          <cell r="AA201" t="str">
            <v/>
          </cell>
          <cell r="AC201" t="str">
            <v/>
          </cell>
          <cell r="AF201" t="str">
            <v/>
          </cell>
          <cell r="AI201" t="str">
            <v/>
          </cell>
          <cell r="AK201" t="str">
            <v/>
          </cell>
          <cell r="AL201">
            <v>0</v>
          </cell>
          <cell r="AM201" t="str">
            <v/>
          </cell>
          <cell r="AQ201" t="str">
            <v/>
          </cell>
          <cell r="CJ201" t="str">
            <v>-</v>
          </cell>
          <cell r="CK201" t="str">
            <v>-</v>
          </cell>
          <cell r="CL201" t="str">
            <v>-</v>
          </cell>
          <cell r="CM201" t="str">
            <v>-</v>
          </cell>
          <cell r="CN201">
            <v>0</v>
          </cell>
          <cell r="CQ201" t="str">
            <v>non</v>
          </cell>
          <cell r="CX201">
            <v>0</v>
          </cell>
          <cell r="DE201">
            <v>0</v>
          </cell>
          <cell r="DJ201">
            <v>0</v>
          </cell>
          <cell r="DO201">
            <v>0</v>
          </cell>
          <cell r="DS201">
            <v>0</v>
          </cell>
          <cell r="DT201">
            <v>0</v>
          </cell>
          <cell r="DU201">
            <v>0</v>
          </cell>
          <cell r="ED201" t="str">
            <v>G:\Habitat\OPERATIONNEL HABITAT\02- Operations\Photothèque\image non disponible.jpg</v>
          </cell>
          <cell r="EE201" t="str">
            <v>G:\Habitat\OPERATIONNEL HABITAT\02- Operations\Photothèque\image non disponible.jpg</v>
          </cell>
        </row>
        <row r="202">
          <cell r="A202" t="str">
            <v>RHI 3BASSINS 2</v>
          </cell>
          <cell r="C202" t="str">
            <v>OUEST</v>
          </cell>
          <cell r="D202" t="str">
            <v>Trois-Bassins</v>
          </cell>
          <cell r="E202" t="str">
            <v>RHI MONVERT/CHÂTEAU D'EAU</v>
          </cell>
          <cell r="F202">
            <v>64</v>
          </cell>
          <cell r="G202" t="str">
            <v>LESG</v>
          </cell>
          <cell r="J202" t="str">
            <v>MV</v>
          </cell>
          <cell r="K202" t="str">
            <v>CF</v>
          </cell>
          <cell r="L202" t="str">
            <v>SIDR</v>
          </cell>
          <cell r="N202" t="str">
            <v>N.A.</v>
          </cell>
          <cell r="Q202" t="str">
            <v>VM</v>
          </cell>
          <cell r="R202">
            <v>2011</v>
          </cell>
          <cell r="T202" t="str">
            <v>pas de choix opérateur(RHI 2)</v>
          </cell>
          <cell r="V202" t="str">
            <v>A - NON LANCE</v>
          </cell>
          <cell r="X202" t="str">
            <v/>
          </cell>
          <cell r="AA202" t="str">
            <v/>
          </cell>
          <cell r="AC202" t="str">
            <v/>
          </cell>
          <cell r="AF202" t="str">
            <v/>
          </cell>
          <cell r="AI202" t="str">
            <v/>
          </cell>
          <cell r="AK202" t="str">
            <v/>
          </cell>
          <cell r="AL202">
            <v>0</v>
          </cell>
          <cell r="AM202" t="str">
            <v/>
          </cell>
          <cell r="AQ202" t="str">
            <v/>
          </cell>
          <cell r="CJ202" t="str">
            <v>-</v>
          </cell>
          <cell r="CK202" t="str">
            <v>-</v>
          </cell>
          <cell r="CL202" t="str">
            <v>-</v>
          </cell>
          <cell r="CM202" t="str">
            <v>-</v>
          </cell>
          <cell r="CN202">
            <v>0</v>
          </cell>
          <cell r="CQ202" t="str">
            <v>non</v>
          </cell>
          <cell r="CX202">
            <v>0</v>
          </cell>
          <cell r="DE202">
            <v>0</v>
          </cell>
          <cell r="DJ202">
            <v>0</v>
          </cell>
          <cell r="DO202">
            <v>0</v>
          </cell>
          <cell r="DS202">
            <v>0</v>
          </cell>
          <cell r="DT202">
            <v>0</v>
          </cell>
          <cell r="DU202">
            <v>0</v>
          </cell>
          <cell r="ED202" t="str">
            <v>G:\Habitat\OPERATIONNEL HABITAT\02- Operations\Photothèque\image non disponible.jpg</v>
          </cell>
          <cell r="EE202" t="str">
            <v>G:\Habitat\OPERATIONNEL HABITAT\02- Operations\Photothèque\image non disponible.jpg</v>
          </cell>
        </row>
        <row r="203">
          <cell r="A203" t="str">
            <v>RHI BEAUFONDS 2</v>
          </cell>
          <cell r="B203">
            <v>9677</v>
          </cell>
          <cell r="C203" t="str">
            <v>EST</v>
          </cell>
          <cell r="D203" t="str">
            <v>Saint-Benoît</v>
          </cell>
          <cell r="E203" t="str">
            <v>RHI BEAUFOND</v>
          </cell>
          <cell r="F203">
            <v>14</v>
          </cell>
          <cell r="G203" t="str">
            <v>LESG</v>
          </cell>
          <cell r="J203" t="str">
            <v>IND</v>
          </cell>
          <cell r="K203" t="str">
            <v>CF</v>
          </cell>
          <cell r="L203" t="str">
            <v>SEMAC</v>
          </cell>
          <cell r="N203" t="str">
            <v>BS</v>
          </cell>
          <cell r="O203" t="str">
            <v>OS</v>
          </cell>
          <cell r="P203" t="str">
            <v>LV</v>
          </cell>
          <cell r="R203">
            <v>2006</v>
          </cell>
          <cell r="T203" t="str">
            <v>acte en signature</v>
          </cell>
          <cell r="U203" t="str">
            <v>ATELIER GAZUT</v>
          </cell>
          <cell r="V203" t="str">
            <v>L - CHANTIER EN COURS</v>
          </cell>
          <cell r="W203">
            <v>38977</v>
          </cell>
          <cell r="X203" t="str">
            <v>d</v>
          </cell>
          <cell r="Y203" t="str">
            <v>9741006a0284</v>
          </cell>
          <cell r="Z203">
            <v>39098</v>
          </cell>
          <cell r="AA203" t="str">
            <v>o</v>
          </cell>
          <cell r="AB203">
            <v>0</v>
          </cell>
          <cell r="AC203" t="str">
            <v>v</v>
          </cell>
          <cell r="AD203">
            <v>0</v>
          </cell>
          <cell r="AE203">
            <v>38989</v>
          </cell>
          <cell r="AF203" t="str">
            <v>f</v>
          </cell>
          <cell r="AG203">
            <v>39080</v>
          </cell>
          <cell r="AH203">
            <v>39307</v>
          </cell>
          <cell r="AI203" t="str">
            <v>ao</v>
          </cell>
          <cell r="AJ203">
            <v>39721</v>
          </cell>
          <cell r="AK203" t="str">
            <v>ch</v>
          </cell>
          <cell r="AL203">
            <v>13.611257233035245</v>
          </cell>
          <cell r="AM203">
            <v>2008</v>
          </cell>
          <cell r="AN203">
            <v>17</v>
          </cell>
          <cell r="AO203">
            <v>40237</v>
          </cell>
          <cell r="AP203">
            <v>40252</v>
          </cell>
          <cell r="AQ203" t="str">
            <v/>
          </cell>
          <cell r="AR203">
            <v>2010</v>
          </cell>
          <cell r="CJ203" t="str">
            <v>-</v>
          </cell>
          <cell r="CK203" t="str">
            <v>-</v>
          </cell>
          <cell r="CL203" t="str">
            <v>-</v>
          </cell>
          <cell r="CM203" t="str">
            <v>-</v>
          </cell>
          <cell r="CN203">
            <v>0</v>
          </cell>
          <cell r="CQ203" t="str">
            <v>non</v>
          </cell>
          <cell r="CX203">
            <v>0</v>
          </cell>
          <cell r="DE203">
            <v>0</v>
          </cell>
          <cell r="DJ203">
            <v>0</v>
          </cell>
          <cell r="DO203">
            <v>0</v>
          </cell>
          <cell r="DS203">
            <v>0</v>
          </cell>
          <cell r="DT203">
            <v>0</v>
          </cell>
          <cell r="DU203">
            <v>0</v>
          </cell>
          <cell r="ED203" t="str">
            <v>G:\Habitat\OPERATIONNEL HABITAT\02- Operations\Photothèque\image non disponible.jpg</v>
          </cell>
          <cell r="EE203" t="str">
            <v>G:\Habitat\OPERATIONNEL HABITAT\02- Operations\Photothèque\image non disponible.jpg</v>
          </cell>
        </row>
        <row r="204">
          <cell r="A204" t="str">
            <v>RHI BOUILLON T1</v>
          </cell>
          <cell r="B204">
            <v>9680</v>
          </cell>
          <cell r="C204" t="str">
            <v>OUEST</v>
          </cell>
          <cell r="D204" t="str">
            <v>Saint-Paul</v>
          </cell>
          <cell r="E204" t="str">
            <v>RHI BOUILLON</v>
          </cell>
          <cell r="F204">
            <v>12</v>
          </cell>
          <cell r="G204" t="str">
            <v>LESG</v>
          </cell>
          <cell r="J204" t="str">
            <v>IND</v>
          </cell>
          <cell r="K204" t="str">
            <v>CF</v>
          </cell>
          <cell r="L204" t="str">
            <v>SIDR</v>
          </cell>
          <cell r="M204" t="str">
            <v>maitrisé</v>
          </cell>
          <cell r="N204" t="str">
            <v>BS</v>
          </cell>
          <cell r="O204" t="str">
            <v>FG</v>
          </cell>
          <cell r="P204" t="str">
            <v>LV</v>
          </cell>
          <cell r="Q204" t="str">
            <v>RR</v>
          </cell>
          <cell r="R204">
            <v>2007</v>
          </cell>
          <cell r="S204">
            <v>1</v>
          </cell>
          <cell r="T204" t="str">
            <v>reprogrammation de 2006 &gt; 2007 | finct TCO acquis attente convention</v>
          </cell>
          <cell r="U204" t="str">
            <v>SOAA MEUNIER</v>
          </cell>
          <cell r="V204" t="str">
            <v>G - PROJET</v>
          </cell>
          <cell r="W204">
            <v>39080</v>
          </cell>
          <cell r="X204" t="str">
            <v>d</v>
          </cell>
          <cell r="Y204" t="str">
            <v>9741506a0967</v>
          </cell>
          <cell r="Z204">
            <v>39344</v>
          </cell>
          <cell r="AA204" t="str">
            <v>o</v>
          </cell>
          <cell r="AB204">
            <v>39337</v>
          </cell>
          <cell r="AC204" t="str">
            <v>v</v>
          </cell>
          <cell r="AD204">
            <v>39387</v>
          </cell>
          <cell r="AE204">
            <v>39353</v>
          </cell>
          <cell r="AF204" t="str">
            <v>f</v>
          </cell>
          <cell r="AG204">
            <v>39464</v>
          </cell>
          <cell r="AH204">
            <v>39872</v>
          </cell>
          <cell r="AI204" t="str">
            <v>ao</v>
          </cell>
          <cell r="AJ204">
            <v>40024</v>
          </cell>
          <cell r="AK204" t="str">
            <v/>
          </cell>
          <cell r="AL204">
            <v>4.9973698053655973</v>
          </cell>
          <cell r="AM204">
            <v>2009</v>
          </cell>
          <cell r="AN204">
            <v>12</v>
          </cell>
          <cell r="AO204">
            <v>40389</v>
          </cell>
          <cell r="AP204">
            <v>40404</v>
          </cell>
          <cell r="AQ204" t="str">
            <v/>
          </cell>
          <cell r="AR204">
            <v>2010</v>
          </cell>
          <cell r="CJ204" t="str">
            <v>-</v>
          </cell>
          <cell r="CK204" t="str">
            <v>-</v>
          </cell>
          <cell r="CL204" t="str">
            <v>-</v>
          </cell>
          <cell r="CN204">
            <v>0</v>
          </cell>
          <cell r="CQ204" t="str">
            <v>non</v>
          </cell>
          <cell r="CX204">
            <v>0</v>
          </cell>
          <cell r="DE204">
            <v>0</v>
          </cell>
          <cell r="DJ204">
            <v>0</v>
          </cell>
          <cell r="DO204">
            <v>0</v>
          </cell>
          <cell r="DS204">
            <v>0</v>
          </cell>
          <cell r="DT204">
            <v>0</v>
          </cell>
          <cell r="DU204">
            <v>0</v>
          </cell>
          <cell r="ED204" t="str">
            <v>G:\Habitat\OPERATIONNEL HABITAT\02- Operations\Photothèque\image non disponible.jpg</v>
          </cell>
          <cell r="EE204" t="str">
            <v>G:\Habitat\OPERATIONNEL HABITAT\02- Operations\Photothèque\image non disponible.jpg</v>
          </cell>
        </row>
        <row r="205">
          <cell r="A205" t="str">
            <v>RHI BOUILLON T2</v>
          </cell>
          <cell r="B205">
            <v>9710</v>
          </cell>
          <cell r="C205" t="str">
            <v>OUEST</v>
          </cell>
          <cell r="D205" t="str">
            <v>Saint-Paul</v>
          </cell>
          <cell r="E205" t="str">
            <v>RHI BOUILLON</v>
          </cell>
          <cell r="F205">
            <v>10</v>
          </cell>
          <cell r="G205" t="str">
            <v>LESG</v>
          </cell>
          <cell r="J205" t="str">
            <v>IND</v>
          </cell>
          <cell r="K205" t="str">
            <v>CF</v>
          </cell>
          <cell r="L205" t="str">
            <v>SIDR</v>
          </cell>
          <cell r="M205" t="str">
            <v>maitrisé</v>
          </cell>
          <cell r="N205" t="str">
            <v>BS</v>
          </cell>
          <cell r="O205" t="str">
            <v>FG</v>
          </cell>
          <cell r="P205" t="str">
            <v>LV</v>
          </cell>
          <cell r="Q205" t="str">
            <v>RR</v>
          </cell>
          <cell r="R205">
            <v>2007</v>
          </cell>
          <cell r="S205">
            <v>0.5</v>
          </cell>
          <cell r="T205" t="str">
            <v>positionnement TCO Surcout base AO/ Finct complémentaire à trouver solaire</v>
          </cell>
          <cell r="U205" t="str">
            <v>SOAA MEUNIER</v>
          </cell>
          <cell r="V205" t="str">
            <v>G - PROJET</v>
          </cell>
          <cell r="W205">
            <v>39340</v>
          </cell>
          <cell r="X205" t="str">
            <v>d</v>
          </cell>
          <cell r="Y205" t="str">
            <v>9741507a0825</v>
          </cell>
          <cell r="AA205" t="str">
            <v/>
          </cell>
          <cell r="AB205">
            <v>39337</v>
          </cell>
          <cell r="AC205" t="str">
            <v>v</v>
          </cell>
          <cell r="AD205">
            <v>39387</v>
          </cell>
          <cell r="AE205">
            <v>39353</v>
          </cell>
          <cell r="AF205" t="str">
            <v>f</v>
          </cell>
          <cell r="AH205">
            <v>39872</v>
          </cell>
          <cell r="AI205" t="str">
            <v>ao</v>
          </cell>
          <cell r="AJ205">
            <v>40024</v>
          </cell>
          <cell r="AK205" t="str">
            <v/>
          </cell>
          <cell r="AL205">
            <v>4.9973698053655973</v>
          </cell>
          <cell r="AM205">
            <v>2009</v>
          </cell>
          <cell r="AN205">
            <v>16</v>
          </cell>
          <cell r="AO205">
            <v>40512</v>
          </cell>
          <cell r="AP205">
            <v>40527</v>
          </cell>
          <cell r="AQ205" t="str">
            <v/>
          </cell>
          <cell r="AR205">
            <v>2010</v>
          </cell>
          <cell r="CJ205" t="str">
            <v>-</v>
          </cell>
          <cell r="CK205" t="str">
            <v>-</v>
          </cell>
          <cell r="CL205" t="str">
            <v>-</v>
          </cell>
          <cell r="CN205">
            <v>0</v>
          </cell>
          <cell r="CQ205" t="str">
            <v>non</v>
          </cell>
          <cell r="CX205">
            <v>0</v>
          </cell>
          <cell r="DE205">
            <v>0</v>
          </cell>
          <cell r="DJ205">
            <v>0</v>
          </cell>
          <cell r="DO205">
            <v>0</v>
          </cell>
          <cell r="DS205">
            <v>0</v>
          </cell>
          <cell r="DT205">
            <v>0</v>
          </cell>
          <cell r="DU205">
            <v>0</v>
          </cell>
          <cell r="ED205" t="str">
            <v>G:\Habitat\OPERATIONNEL HABITAT\02- Operations\Photothèque\image non disponible.jpg</v>
          </cell>
          <cell r="EE205" t="str">
            <v>G:\Habitat\OPERATIONNEL HABITAT\02- Operations\Photothèque\image non disponible.jpg</v>
          </cell>
        </row>
        <row r="206">
          <cell r="A206" t="str">
            <v>RHI CENTRE VILLE</v>
          </cell>
          <cell r="B206">
            <v>9712</v>
          </cell>
          <cell r="C206" t="str">
            <v>SUD</v>
          </cell>
          <cell r="D206" t="str">
            <v>Saint-Joseph</v>
          </cell>
          <cell r="F206">
            <v>7</v>
          </cell>
          <cell r="G206" t="str">
            <v>LESG</v>
          </cell>
          <cell r="J206" t="str">
            <v>IND</v>
          </cell>
          <cell r="K206" t="str">
            <v>CF</v>
          </cell>
          <cell r="L206" t="str">
            <v>SIDR</v>
          </cell>
          <cell r="M206" t="str">
            <v>sous compromis</v>
          </cell>
          <cell r="N206" t="str">
            <v>BS</v>
          </cell>
          <cell r="O206" t="str">
            <v>OS</v>
          </cell>
          <cell r="P206" t="str">
            <v>LV</v>
          </cell>
          <cell r="Q206" t="str">
            <v>HBM</v>
          </cell>
          <cell r="R206">
            <v>2007</v>
          </cell>
          <cell r="S206">
            <v>1</v>
          </cell>
          <cell r="T206" t="str">
            <v>acte cession urgent/projet vrd RHI ?</v>
          </cell>
          <cell r="U206" t="str">
            <v>SOAA MEUNIER</v>
          </cell>
          <cell r="V206" t="str">
            <v>I - ACT</v>
          </cell>
          <cell r="W206">
            <v>39352</v>
          </cell>
          <cell r="X206" t="str">
            <v>d</v>
          </cell>
          <cell r="Y206" t="str">
            <v>9741207a0236</v>
          </cell>
          <cell r="Z206">
            <v>39513</v>
          </cell>
          <cell r="AA206" t="str">
            <v>o</v>
          </cell>
          <cell r="AB206">
            <v>39337</v>
          </cell>
          <cell r="AC206" t="str">
            <v>v</v>
          </cell>
          <cell r="AD206">
            <v>39387</v>
          </cell>
          <cell r="AE206">
            <v>39353</v>
          </cell>
          <cell r="AF206" t="str">
            <v>f</v>
          </cell>
          <cell r="AG206">
            <v>39464</v>
          </cell>
          <cell r="AH206">
            <v>39730</v>
          </cell>
          <cell r="AI206" t="str">
            <v>ao</v>
          </cell>
          <cell r="AJ206">
            <v>39845</v>
          </cell>
          <cell r="AK206" t="str">
            <v>ch</v>
          </cell>
          <cell r="AL206">
            <v>3.7809047869542347</v>
          </cell>
          <cell r="AM206">
            <v>2009</v>
          </cell>
          <cell r="AN206">
            <v>10</v>
          </cell>
          <cell r="AO206">
            <v>40148</v>
          </cell>
          <cell r="AP206">
            <v>40163</v>
          </cell>
          <cell r="AQ206" t="str">
            <v/>
          </cell>
          <cell r="AR206">
            <v>2009</v>
          </cell>
          <cell r="CJ206" t="str">
            <v>-</v>
          </cell>
          <cell r="CK206" t="str">
            <v>-</v>
          </cell>
          <cell r="CL206" t="str">
            <v>-</v>
          </cell>
          <cell r="CN206">
            <v>0</v>
          </cell>
          <cell r="CQ206" t="str">
            <v>non</v>
          </cell>
          <cell r="CX206">
            <v>0</v>
          </cell>
          <cell r="DE206">
            <v>0</v>
          </cell>
          <cell r="DJ206">
            <v>0</v>
          </cell>
          <cell r="DO206">
            <v>0</v>
          </cell>
          <cell r="DS206">
            <v>0</v>
          </cell>
          <cell r="DT206">
            <v>0</v>
          </cell>
          <cell r="DU206">
            <v>0</v>
          </cell>
          <cell r="ED206" t="str">
            <v>G:\Habitat\OPERATIONNEL HABITAT\02- Operations\Photothèque\image non disponible.jpg</v>
          </cell>
          <cell r="EE206" t="str">
            <v>G:\Habitat\OPERATIONNEL HABITAT\02- Operations\Photothèque\image non disponible.jpg</v>
          </cell>
        </row>
        <row r="207">
          <cell r="A207" t="str">
            <v>TERRAIN MOUNICHY</v>
          </cell>
          <cell r="C207" t="str">
            <v>OUEST</v>
          </cell>
          <cell r="D207" t="str">
            <v>Saint-Paul</v>
          </cell>
          <cell r="E207" t="str">
            <v>PROCHE RHI GD CONTOUR</v>
          </cell>
          <cell r="F207">
            <v>20</v>
          </cell>
          <cell r="G207" t="str">
            <v>LLTS</v>
          </cell>
          <cell r="J207" t="str">
            <v>COL</v>
          </cell>
          <cell r="K207" t="str">
            <v>CF</v>
          </cell>
          <cell r="L207" t="str">
            <v>SIDR</v>
          </cell>
          <cell r="N207" t="str">
            <v>N.A.</v>
          </cell>
          <cell r="Q207" t="str">
            <v>CP</v>
          </cell>
          <cell r="R207">
            <v>2011</v>
          </cell>
          <cell r="T207" t="str">
            <v>négo foncier/modif POS/PLU - attente dossier manégaeur mi juin 2010</v>
          </cell>
          <cell r="V207" t="str">
            <v>A - NON LANCE</v>
          </cell>
          <cell r="AA207" t="str">
            <v/>
          </cell>
          <cell r="AC207" t="str">
            <v/>
          </cell>
          <cell r="AI207" t="str">
            <v/>
          </cell>
          <cell r="AK207" t="str">
            <v/>
          </cell>
          <cell r="AL207">
            <v>0</v>
          </cell>
          <cell r="AO207">
            <v>0</v>
          </cell>
          <cell r="AQ207" t="str">
            <v/>
          </cell>
          <cell r="CJ207" t="str">
            <v>-</v>
          </cell>
          <cell r="CK207" t="str">
            <v>-</v>
          </cell>
          <cell r="CL207" t="str">
            <v>-</v>
          </cell>
          <cell r="CM207" t="str">
            <v>-</v>
          </cell>
          <cell r="CN207">
            <v>0</v>
          </cell>
          <cell r="CQ207" t="str">
            <v>non</v>
          </cell>
          <cell r="CX207">
            <v>0</v>
          </cell>
          <cell r="DE207">
            <v>0</v>
          </cell>
          <cell r="DJ207">
            <v>0</v>
          </cell>
          <cell r="DO207">
            <v>0</v>
          </cell>
          <cell r="DS207">
            <v>0</v>
          </cell>
          <cell r="DT207">
            <v>0</v>
          </cell>
          <cell r="DU207">
            <v>0</v>
          </cell>
          <cell r="ED207" t="str">
            <v>G:\Habitat\OPERATIONNEL HABITAT\02- Operations\Photothèque\image non disponible.jpg</v>
          </cell>
          <cell r="EE207" t="str">
            <v>G:\Habitat\OPERATIONNEL HABITAT\02- Operations\Photothèque\image non disponible.jpg</v>
          </cell>
        </row>
        <row r="208">
          <cell r="A208" t="str">
            <v>RHI GRAND CONTOUR 1</v>
          </cell>
          <cell r="B208">
            <v>9709</v>
          </cell>
          <cell r="C208" t="str">
            <v>OUEST</v>
          </cell>
          <cell r="D208" t="str">
            <v>Saint-Paul</v>
          </cell>
          <cell r="F208">
            <v>20</v>
          </cell>
          <cell r="G208" t="str">
            <v>LESG</v>
          </cell>
          <cell r="J208" t="str">
            <v>IND</v>
          </cell>
          <cell r="K208" t="str">
            <v>CF</v>
          </cell>
          <cell r="L208" t="str">
            <v>SIDR</v>
          </cell>
          <cell r="M208" t="str">
            <v>sous compromis</v>
          </cell>
          <cell r="N208" t="str">
            <v>BS</v>
          </cell>
          <cell r="O208" t="str">
            <v>FG</v>
          </cell>
          <cell r="P208" t="str">
            <v>LV</v>
          </cell>
          <cell r="Q208" t="str">
            <v>CP</v>
          </cell>
          <cell r="R208">
            <v>2007</v>
          </cell>
          <cell r="S208">
            <v>1</v>
          </cell>
          <cell r="T208" t="str">
            <v>pc refusé du fait du règlement d'urbanisme - mise en compatibilité en cours - PC à redéposer &amp; à transmettre à DDE</v>
          </cell>
          <cell r="U208" t="str">
            <v>ATELIER GAZUT</v>
          </cell>
          <cell r="V208" t="str">
            <v>E - APS / PC</v>
          </cell>
          <cell r="W208">
            <v>39353</v>
          </cell>
          <cell r="X208" t="str">
            <v>d</v>
          </cell>
          <cell r="Y208" t="str">
            <v>9741507a0824</v>
          </cell>
          <cell r="Z208" t="str">
            <v>refuse</v>
          </cell>
          <cell r="AA208" t="str">
            <v/>
          </cell>
          <cell r="AB208">
            <v>39337</v>
          </cell>
          <cell r="AC208" t="str">
            <v>v</v>
          </cell>
          <cell r="AD208">
            <v>39387</v>
          </cell>
          <cell r="AE208">
            <v>39353</v>
          </cell>
          <cell r="AI208" t="str">
            <v/>
          </cell>
          <cell r="AK208" t="str">
            <v/>
          </cell>
          <cell r="AL208">
            <v>0</v>
          </cell>
          <cell r="AM208" t="str">
            <v/>
          </cell>
          <cell r="AP208" t="str">
            <v/>
          </cell>
          <cell r="AQ208" t="str">
            <v/>
          </cell>
          <cell r="AR208" t="str">
            <v/>
          </cell>
          <cell r="CJ208" t="str">
            <v>-</v>
          </cell>
          <cell r="CK208" t="str">
            <v>-</v>
          </cell>
          <cell r="CL208" t="str">
            <v>-</v>
          </cell>
          <cell r="CN208">
            <v>0</v>
          </cell>
          <cell r="CQ208" t="str">
            <v>non</v>
          </cell>
          <cell r="CX208">
            <v>0</v>
          </cell>
          <cell r="DE208">
            <v>0</v>
          </cell>
          <cell r="DJ208">
            <v>0</v>
          </cell>
          <cell r="DO208">
            <v>0</v>
          </cell>
          <cell r="DS208">
            <v>0</v>
          </cell>
          <cell r="DT208">
            <v>0</v>
          </cell>
          <cell r="DU208">
            <v>0</v>
          </cell>
          <cell r="ED208" t="str">
            <v>G:\Habitat\OPERATIONNEL HABITAT\02- Operations\Photothèque\image non disponible.jpg</v>
          </cell>
          <cell r="EE208" t="str">
            <v>G:\Habitat\OPERATIONNEL HABITAT\02- Operations\Photothèque\image non disponible.jpg</v>
          </cell>
        </row>
        <row r="209">
          <cell r="A209" t="str">
            <v>RHI GRAND CONTOUR 2</v>
          </cell>
          <cell r="C209" t="str">
            <v>OUEST</v>
          </cell>
          <cell r="D209" t="str">
            <v>Saint-Paul</v>
          </cell>
          <cell r="E209" t="str">
            <v>RHI GRAND CONTOUR</v>
          </cell>
          <cell r="F209">
            <v>15</v>
          </cell>
          <cell r="G209" t="str">
            <v>LESG</v>
          </cell>
          <cell r="J209" t="str">
            <v>IND</v>
          </cell>
          <cell r="K209" t="str">
            <v>CF</v>
          </cell>
          <cell r="L209" t="str">
            <v>SIDR</v>
          </cell>
          <cell r="M209" t="str">
            <v>prob foncier</v>
          </cell>
          <cell r="N209" t="str">
            <v>BS</v>
          </cell>
          <cell r="O209" t="str">
            <v>FG</v>
          </cell>
          <cell r="P209" t="str">
            <v>LV</v>
          </cell>
          <cell r="Q209" t="str">
            <v>CP</v>
          </cell>
          <cell r="R209">
            <v>2010</v>
          </cell>
          <cell r="S209">
            <v>0.25</v>
          </cell>
          <cell r="T209" t="str">
            <v>Attente dossier aménageur pour mi juin 2009 - (attention absence de PLU validé sur la zone)</v>
          </cell>
          <cell r="U209" t="str">
            <v>ATELIER GAZUT</v>
          </cell>
          <cell r="V209" t="str">
            <v>B - ETUDE PRE-OP</v>
          </cell>
          <cell r="W209">
            <v>39782</v>
          </cell>
          <cell r="AA209" t="str">
            <v/>
          </cell>
          <cell r="AC209" t="str">
            <v/>
          </cell>
          <cell r="AI209" t="str">
            <v/>
          </cell>
          <cell r="AK209" t="str">
            <v/>
          </cell>
          <cell r="AL209">
            <v>0</v>
          </cell>
          <cell r="AM209" t="str">
            <v/>
          </cell>
          <cell r="AO209">
            <v>0</v>
          </cell>
          <cell r="AQ209" t="str">
            <v/>
          </cell>
          <cell r="CJ209" t="str">
            <v>-</v>
          </cell>
          <cell r="CK209" t="str">
            <v>-</v>
          </cell>
          <cell r="CL209" t="str">
            <v>-</v>
          </cell>
          <cell r="CM209" t="str">
            <v>-</v>
          </cell>
          <cell r="CN209">
            <v>0</v>
          </cell>
          <cell r="CQ209" t="str">
            <v>non</v>
          </cell>
          <cell r="CX209">
            <v>0</v>
          </cell>
          <cell r="DE209">
            <v>0</v>
          </cell>
          <cell r="DJ209">
            <v>0</v>
          </cell>
          <cell r="DO209">
            <v>0</v>
          </cell>
          <cell r="DS209">
            <v>0</v>
          </cell>
          <cell r="DT209">
            <v>0</v>
          </cell>
          <cell r="DU209">
            <v>0</v>
          </cell>
          <cell r="ED209" t="str">
            <v>G:\Habitat\OPERATIONNEL HABITAT\02- Operations\Photothèque\image non disponible.jpg</v>
          </cell>
          <cell r="EE209" t="str">
            <v>G:\Habitat\OPERATIONNEL HABITAT\02- Operations\Photothèque\image non disponible.jpg</v>
          </cell>
        </row>
        <row r="210">
          <cell r="A210" t="str">
            <v>RHI GRAND CONTOUR 3</v>
          </cell>
          <cell r="C210" t="str">
            <v>OUEST</v>
          </cell>
          <cell r="D210" t="str">
            <v>Saint-Paul</v>
          </cell>
          <cell r="E210" t="str">
            <v>RHI GRAND CONTOUR</v>
          </cell>
          <cell r="F210">
            <v>26</v>
          </cell>
          <cell r="G210" t="str">
            <v>LESG</v>
          </cell>
          <cell r="J210" t="str">
            <v>IND</v>
          </cell>
          <cell r="K210" t="str">
            <v>CF</v>
          </cell>
          <cell r="L210" t="str">
            <v>SIDR</v>
          </cell>
          <cell r="M210" t="str">
            <v>prob foncier</v>
          </cell>
          <cell r="N210" t="str">
            <v>BS</v>
          </cell>
          <cell r="O210" t="str">
            <v>FG</v>
          </cell>
          <cell r="P210" t="str">
            <v>LV</v>
          </cell>
          <cell r="Q210" t="str">
            <v>CP</v>
          </cell>
          <cell r="R210">
            <v>2011</v>
          </cell>
          <cell r="S210">
            <v>0.25</v>
          </cell>
          <cell r="T210" t="str">
            <v>Famille identifiées, simulations finacières à étbalir</v>
          </cell>
          <cell r="U210" t="str">
            <v>ATELIER GAZUT</v>
          </cell>
          <cell r="V210" t="str">
            <v>B - ETUDE PRE-OP</v>
          </cell>
          <cell r="W210">
            <v>39782</v>
          </cell>
          <cell r="AA210" t="str">
            <v/>
          </cell>
          <cell r="AC210" t="str">
            <v/>
          </cell>
          <cell r="AI210" t="str">
            <v/>
          </cell>
          <cell r="AK210" t="str">
            <v/>
          </cell>
          <cell r="AL210">
            <v>0</v>
          </cell>
          <cell r="AM210" t="str">
            <v/>
          </cell>
          <cell r="AO210">
            <v>0</v>
          </cell>
          <cell r="AQ210" t="str">
            <v/>
          </cell>
          <cell r="CJ210" t="str">
            <v>-</v>
          </cell>
          <cell r="CK210" t="str">
            <v>-</v>
          </cell>
          <cell r="CL210" t="str">
            <v>-</v>
          </cell>
          <cell r="CM210" t="str">
            <v>-</v>
          </cell>
          <cell r="CN210">
            <v>0</v>
          </cell>
          <cell r="CQ210" t="str">
            <v>non</v>
          </cell>
          <cell r="CX210">
            <v>0</v>
          </cell>
          <cell r="DE210">
            <v>0</v>
          </cell>
          <cell r="DJ210">
            <v>0</v>
          </cell>
          <cell r="DO210">
            <v>0</v>
          </cell>
          <cell r="DS210">
            <v>0</v>
          </cell>
          <cell r="DT210">
            <v>0</v>
          </cell>
          <cell r="DU210">
            <v>0</v>
          </cell>
          <cell r="ED210" t="str">
            <v>G:\Habitat\OPERATIONNEL HABITAT\02- Operations\Photothèque\image non disponible.jpg</v>
          </cell>
          <cell r="EE210" t="str">
            <v>G:\Habitat\OPERATIONNEL HABITAT\02- Operations\Photothèque\image non disponible.jpg</v>
          </cell>
        </row>
        <row r="211">
          <cell r="A211" t="str">
            <v>RHI MANGUIERS LES</v>
          </cell>
          <cell r="C211" t="str">
            <v>EST</v>
          </cell>
          <cell r="D211" t="str">
            <v>Saint-André</v>
          </cell>
          <cell r="E211" t="str">
            <v>RHI LES MANGUIERS</v>
          </cell>
          <cell r="F211">
            <v>49</v>
          </cell>
          <cell r="G211" t="str">
            <v>LLS</v>
          </cell>
          <cell r="J211" t="str">
            <v>IND</v>
          </cell>
          <cell r="K211" t="str">
            <v>CF</v>
          </cell>
          <cell r="L211" t="str">
            <v>SIDR</v>
          </cell>
          <cell r="N211" t="str">
            <v>BS</v>
          </cell>
          <cell r="Q211" t="str">
            <v>SPG</v>
          </cell>
          <cell r="R211">
            <v>2011</v>
          </cell>
          <cell r="X211" t="str">
            <v/>
          </cell>
          <cell r="AA211" t="str">
            <v/>
          </cell>
          <cell r="AC211" t="str">
            <v/>
          </cell>
          <cell r="AI211" t="str">
            <v/>
          </cell>
          <cell r="AK211" t="str">
            <v/>
          </cell>
          <cell r="AL211">
            <v>0</v>
          </cell>
          <cell r="AQ211" t="str">
            <v/>
          </cell>
          <cell r="CJ211" t="str">
            <v>-</v>
          </cell>
          <cell r="CK211" t="str">
            <v>-</v>
          </cell>
          <cell r="CL211" t="str">
            <v>-</v>
          </cell>
          <cell r="CM211" t="str">
            <v>-</v>
          </cell>
          <cell r="CN211">
            <v>0</v>
          </cell>
          <cell r="CQ211" t="str">
            <v>non</v>
          </cell>
          <cell r="CX211">
            <v>0</v>
          </cell>
          <cell r="DE211">
            <v>0</v>
          </cell>
          <cell r="DJ211">
            <v>0</v>
          </cell>
          <cell r="DO211">
            <v>0</v>
          </cell>
          <cell r="DS211">
            <v>0</v>
          </cell>
          <cell r="DT211">
            <v>0</v>
          </cell>
          <cell r="DU211">
            <v>0</v>
          </cell>
          <cell r="ED211" t="str">
            <v>G:\Habitat\OPERATIONNEL HABITAT\02- Operations\Photothèque\image non disponible.jpg</v>
          </cell>
          <cell r="EE211" t="str">
            <v>G:\Habitat\OPERATIONNEL HABITAT\02- Operations\Photothèque\image non disponible.jpg</v>
          </cell>
        </row>
        <row r="212">
          <cell r="A212" t="str">
            <v>RHI PETITE ILE 2T</v>
          </cell>
          <cell r="B212">
            <v>9675</v>
          </cell>
          <cell r="C212" t="str">
            <v>NORD</v>
          </cell>
          <cell r="D212" t="str">
            <v>Saint-Denis</v>
          </cell>
          <cell r="E212" t="str">
            <v>RHI PETITE ILE</v>
          </cell>
          <cell r="F212">
            <v>10</v>
          </cell>
          <cell r="G212" t="str">
            <v>LESG</v>
          </cell>
          <cell r="J212" t="str">
            <v>IND</v>
          </cell>
          <cell r="K212" t="str">
            <v>CF</v>
          </cell>
          <cell r="L212" t="str">
            <v>SIDR</v>
          </cell>
          <cell r="N212" t="str">
            <v>BS</v>
          </cell>
          <cell r="O212" t="str">
            <v>OS</v>
          </cell>
          <cell r="P212" t="str">
            <v>LV</v>
          </cell>
          <cell r="Q212" t="str">
            <v>SM</v>
          </cell>
          <cell r="R212">
            <v>2006</v>
          </cell>
          <cell r="T212" t="str">
            <v>problème transit RHI/blocage opérationnel/attention pc+df caduque fin 2008</v>
          </cell>
          <cell r="U212" t="str">
            <v>ATELIER GAZUT</v>
          </cell>
          <cell r="V212" t="str">
            <v>I - ACT</v>
          </cell>
          <cell r="W212">
            <v>38975</v>
          </cell>
          <cell r="X212" t="str">
            <v>d</v>
          </cell>
          <cell r="Y212" t="str">
            <v>97441106a0489</v>
          </cell>
          <cell r="Z212">
            <v>39056</v>
          </cell>
          <cell r="AA212" t="str">
            <v>o</v>
          </cell>
          <cell r="AB212">
            <v>39337</v>
          </cell>
          <cell r="AC212" t="str">
            <v>v</v>
          </cell>
          <cell r="AD212" t="str">
            <v>ok</v>
          </cell>
          <cell r="AE212">
            <v>38989</v>
          </cell>
          <cell r="AF212" t="str">
            <v>f</v>
          </cell>
          <cell r="AG212">
            <v>39080</v>
          </cell>
          <cell r="AH212">
            <v>39708</v>
          </cell>
          <cell r="AI212" t="str">
            <v>ao</v>
          </cell>
          <cell r="AJ212">
            <v>39902</v>
          </cell>
          <cell r="AK212" t="str">
            <v>ch</v>
          </cell>
          <cell r="AL212">
            <v>6.3782219884271436</v>
          </cell>
          <cell r="AM212">
            <v>2009</v>
          </cell>
          <cell r="AN212">
            <v>16</v>
          </cell>
          <cell r="AO212">
            <v>40389</v>
          </cell>
          <cell r="AP212">
            <v>40404</v>
          </cell>
          <cell r="AQ212" t="str">
            <v/>
          </cell>
          <cell r="AR212">
            <v>2010</v>
          </cell>
          <cell r="CJ212" t="str">
            <v>-</v>
          </cell>
          <cell r="CK212" t="str">
            <v>-</v>
          </cell>
          <cell r="CL212" t="str">
            <v>-</v>
          </cell>
          <cell r="CM212" t="str">
            <v>-</v>
          </cell>
          <cell r="CN212">
            <v>0</v>
          </cell>
          <cell r="CQ212" t="str">
            <v>non</v>
          </cell>
          <cell r="CX212">
            <v>0</v>
          </cell>
          <cell r="DE212">
            <v>0</v>
          </cell>
          <cell r="DJ212">
            <v>0</v>
          </cell>
          <cell r="DO212">
            <v>0</v>
          </cell>
          <cell r="DS212">
            <v>0</v>
          </cell>
          <cell r="DT212">
            <v>0</v>
          </cell>
          <cell r="DU212">
            <v>0</v>
          </cell>
          <cell r="ED212" t="str">
            <v>G:\Habitat\OPERATIONNEL HABITAT\02- Operations\Photothèque\image non disponible.jpg</v>
          </cell>
          <cell r="EE212" t="str">
            <v>G:\Habitat\OPERATIONNEL HABITAT\02- Operations\Photothèque\image non disponible.jpg</v>
          </cell>
        </row>
        <row r="213">
          <cell r="A213" t="str">
            <v>RHI PETITE ILE 3T</v>
          </cell>
          <cell r="C213" t="str">
            <v>NORD</v>
          </cell>
          <cell r="D213" t="str">
            <v>Saint-Denis</v>
          </cell>
          <cell r="E213" t="str">
            <v>RHI PETITE ILE</v>
          </cell>
          <cell r="F213">
            <v>10</v>
          </cell>
          <cell r="G213" t="str">
            <v>LESG</v>
          </cell>
          <cell r="J213" t="str">
            <v>IND</v>
          </cell>
          <cell r="K213" t="str">
            <v>CF</v>
          </cell>
          <cell r="L213" t="str">
            <v>SIDR</v>
          </cell>
          <cell r="N213" t="str">
            <v>BS</v>
          </cell>
          <cell r="Q213" t="str">
            <v>SM</v>
          </cell>
          <cell r="R213">
            <v>2011</v>
          </cell>
          <cell r="T213" t="str">
            <v>Retard sur tranche 1 &amp; 2</v>
          </cell>
          <cell r="U213">
            <v>-210000</v>
          </cell>
          <cell r="V213" t="str">
            <v>A - NON LANCE</v>
          </cell>
          <cell r="X213" t="str">
            <v/>
          </cell>
          <cell r="AA213" t="str">
            <v/>
          </cell>
          <cell r="AC213" t="str">
            <v/>
          </cell>
          <cell r="AF213" t="str">
            <v/>
          </cell>
          <cell r="AI213" t="str">
            <v/>
          </cell>
          <cell r="AK213" t="str">
            <v/>
          </cell>
          <cell r="AL213">
            <v>0</v>
          </cell>
          <cell r="AM213" t="str">
            <v/>
          </cell>
          <cell r="AO213" t="str">
            <v/>
          </cell>
          <cell r="AP213" t="str">
            <v/>
          </cell>
          <cell r="AQ213" t="str">
            <v/>
          </cell>
          <cell r="AR213" t="str">
            <v/>
          </cell>
          <cell r="CJ213" t="str">
            <v>-</v>
          </cell>
          <cell r="CK213" t="str">
            <v>-</v>
          </cell>
          <cell r="CL213" t="str">
            <v>-</v>
          </cell>
          <cell r="CM213" t="str">
            <v>-</v>
          </cell>
          <cell r="CN213">
            <v>0</v>
          </cell>
          <cell r="CQ213" t="str">
            <v>non</v>
          </cell>
          <cell r="CX213">
            <v>0</v>
          </cell>
          <cell r="DE213">
            <v>0</v>
          </cell>
          <cell r="DJ213">
            <v>0</v>
          </cell>
          <cell r="DO213">
            <v>0</v>
          </cell>
          <cell r="DS213">
            <v>0</v>
          </cell>
          <cell r="DT213">
            <v>0</v>
          </cell>
          <cell r="DU213">
            <v>0</v>
          </cell>
          <cell r="ED213" t="str">
            <v>G:\Habitat\OPERATIONNEL HABITAT\02- Operations\Photothèque\image non disponible.jpg</v>
          </cell>
          <cell r="EE213" t="str">
            <v>G:\Habitat\OPERATIONNEL HABITAT\02- Operations\Photothèque\image non disponible.jpg</v>
          </cell>
        </row>
        <row r="214">
          <cell r="A214" t="str">
            <v>RHI SAY PISCINE 5</v>
          </cell>
          <cell r="C214" t="str">
            <v>OUEST</v>
          </cell>
          <cell r="D214" t="str">
            <v>Port</v>
          </cell>
          <cell r="E214" t="str">
            <v>RHI SAY PISCINE</v>
          </cell>
          <cell r="F214">
            <v>20</v>
          </cell>
          <cell r="G214" t="str">
            <v>LESG</v>
          </cell>
          <cell r="J214" t="str">
            <v>IND</v>
          </cell>
          <cell r="K214" t="str">
            <v>CF</v>
          </cell>
          <cell r="L214" t="str">
            <v>SIDR</v>
          </cell>
          <cell r="N214" t="str">
            <v>BS</v>
          </cell>
          <cell r="Q214" t="str">
            <v>OP</v>
          </cell>
          <cell r="R214">
            <v>2010</v>
          </cell>
          <cell r="V214" t="str">
            <v>A - NON LANCE</v>
          </cell>
          <cell r="X214" t="str">
            <v/>
          </cell>
          <cell r="AA214" t="str">
            <v/>
          </cell>
          <cell r="AC214" t="str">
            <v/>
          </cell>
          <cell r="AF214" t="str">
            <v/>
          </cell>
          <cell r="AI214" t="str">
            <v/>
          </cell>
          <cell r="AK214" t="str">
            <v/>
          </cell>
          <cell r="AL214">
            <v>0</v>
          </cell>
          <cell r="AM214" t="str">
            <v/>
          </cell>
          <cell r="AO214" t="str">
            <v/>
          </cell>
          <cell r="AP214" t="str">
            <v/>
          </cell>
          <cell r="AQ214" t="str">
            <v/>
          </cell>
          <cell r="AR214" t="str">
            <v/>
          </cell>
          <cell r="CJ214" t="str">
            <v>-</v>
          </cell>
          <cell r="CK214" t="str">
            <v>-</v>
          </cell>
          <cell r="CL214" t="str">
            <v>-</v>
          </cell>
          <cell r="CM214" t="str">
            <v>-</v>
          </cell>
          <cell r="CN214">
            <v>0</v>
          </cell>
          <cell r="CQ214" t="str">
            <v>non</v>
          </cell>
          <cell r="CX214">
            <v>0</v>
          </cell>
          <cell r="DE214">
            <v>0</v>
          </cell>
          <cell r="DJ214">
            <v>0</v>
          </cell>
          <cell r="DO214">
            <v>0</v>
          </cell>
          <cell r="DS214">
            <v>0</v>
          </cell>
          <cell r="DT214">
            <v>0</v>
          </cell>
          <cell r="DU214">
            <v>0</v>
          </cell>
          <cell r="ED214" t="str">
            <v>G:\Habitat\OPERATIONNEL HABITAT\02- Operations\Photothèque\image non disponible.jpg</v>
          </cell>
          <cell r="EE214" t="str">
            <v>G:\Habitat\OPERATIONNEL HABITAT\02- Operations\Photothèque\image non disponible.jpg</v>
          </cell>
        </row>
        <row r="215">
          <cell r="A215" t="str">
            <v>RHI SAY PISCINE 6</v>
          </cell>
          <cell r="C215" t="str">
            <v>OUEST</v>
          </cell>
          <cell r="D215" t="str">
            <v>Port</v>
          </cell>
          <cell r="E215" t="str">
            <v>RHI SAY PISCINE</v>
          </cell>
          <cell r="F215">
            <v>50</v>
          </cell>
          <cell r="G215" t="str">
            <v>LESG</v>
          </cell>
          <cell r="J215" t="str">
            <v>IND</v>
          </cell>
          <cell r="K215" t="str">
            <v>CF</v>
          </cell>
          <cell r="L215" t="str">
            <v>SIDR</v>
          </cell>
          <cell r="N215" t="str">
            <v>BS</v>
          </cell>
          <cell r="Q215" t="str">
            <v>OP</v>
          </cell>
          <cell r="R215">
            <v>2011</v>
          </cell>
          <cell r="V215" t="str">
            <v>A - NON LANCE</v>
          </cell>
          <cell r="X215" t="str">
            <v/>
          </cell>
          <cell r="AA215" t="str">
            <v/>
          </cell>
          <cell r="AC215" t="str">
            <v/>
          </cell>
          <cell r="AF215" t="str">
            <v/>
          </cell>
          <cell r="AI215" t="str">
            <v/>
          </cell>
          <cell r="AK215" t="str">
            <v/>
          </cell>
          <cell r="AL215">
            <v>0</v>
          </cell>
          <cell r="AM215" t="str">
            <v/>
          </cell>
          <cell r="AO215" t="str">
            <v/>
          </cell>
          <cell r="AP215" t="str">
            <v/>
          </cell>
          <cell r="AQ215" t="str">
            <v/>
          </cell>
          <cell r="AR215" t="str">
            <v/>
          </cell>
          <cell r="CJ215" t="str">
            <v>-</v>
          </cell>
          <cell r="CK215" t="str">
            <v>-</v>
          </cell>
          <cell r="CL215" t="str">
            <v>-</v>
          </cell>
          <cell r="CM215" t="str">
            <v>-</v>
          </cell>
          <cell r="CN215">
            <v>0</v>
          </cell>
          <cell r="CQ215" t="str">
            <v>non</v>
          </cell>
          <cell r="CX215">
            <v>0</v>
          </cell>
          <cell r="DE215">
            <v>0</v>
          </cell>
          <cell r="DJ215">
            <v>0</v>
          </cell>
          <cell r="DO215">
            <v>0</v>
          </cell>
          <cell r="DS215">
            <v>0</v>
          </cell>
          <cell r="DT215">
            <v>0</v>
          </cell>
          <cell r="DU215">
            <v>0</v>
          </cell>
          <cell r="ED215" t="str">
            <v>G:\Habitat\OPERATIONNEL HABITAT\02- Operations\Photothèque\image non disponible.jpg</v>
          </cell>
          <cell r="EE215" t="str">
            <v>G:\Habitat\OPERATIONNEL HABITAT\02- Operations\Photothèque\image non disponible.jpg</v>
          </cell>
        </row>
        <row r="216">
          <cell r="A216" t="str">
            <v>RHI SAY PISCINE 7</v>
          </cell>
          <cell r="C216" t="str">
            <v>OUEST</v>
          </cell>
          <cell r="D216" t="str">
            <v>Port</v>
          </cell>
          <cell r="E216" t="str">
            <v>RHI SAY PISCINE</v>
          </cell>
          <cell r="F216">
            <v>20</v>
          </cell>
          <cell r="G216" t="str">
            <v>LESG</v>
          </cell>
          <cell r="J216" t="str">
            <v>IND</v>
          </cell>
          <cell r="K216" t="str">
            <v>CF</v>
          </cell>
          <cell r="L216" t="str">
            <v>SIDR</v>
          </cell>
          <cell r="N216" t="str">
            <v>BS</v>
          </cell>
          <cell r="Q216" t="str">
            <v>OP</v>
          </cell>
          <cell r="R216">
            <v>2012</v>
          </cell>
          <cell r="V216" t="str">
            <v>A - NON LANCE</v>
          </cell>
          <cell r="X216" t="str">
            <v/>
          </cell>
          <cell r="AA216" t="str">
            <v/>
          </cell>
          <cell r="AC216" t="str">
            <v/>
          </cell>
          <cell r="AF216" t="str">
            <v/>
          </cell>
          <cell r="AI216" t="str">
            <v/>
          </cell>
          <cell r="AK216" t="str">
            <v/>
          </cell>
          <cell r="AL216">
            <v>0</v>
          </cell>
          <cell r="AM216" t="str">
            <v/>
          </cell>
          <cell r="AO216" t="str">
            <v/>
          </cell>
          <cell r="AP216" t="str">
            <v/>
          </cell>
          <cell r="AQ216" t="str">
            <v/>
          </cell>
          <cell r="AR216" t="str">
            <v/>
          </cell>
          <cell r="CJ216" t="str">
            <v>-</v>
          </cell>
          <cell r="CK216" t="str">
            <v>-</v>
          </cell>
          <cell r="CL216" t="str">
            <v>-</v>
          </cell>
          <cell r="CM216" t="str">
            <v>-</v>
          </cell>
          <cell r="CN216">
            <v>0</v>
          </cell>
          <cell r="CQ216" t="str">
            <v>non</v>
          </cell>
          <cell r="CX216">
            <v>0</v>
          </cell>
          <cell r="DE216">
            <v>0</v>
          </cell>
          <cell r="DJ216">
            <v>0</v>
          </cell>
          <cell r="DO216">
            <v>0</v>
          </cell>
          <cell r="DS216">
            <v>0</v>
          </cell>
          <cell r="DT216">
            <v>0</v>
          </cell>
          <cell r="DU216">
            <v>0</v>
          </cell>
          <cell r="ED216" t="str">
            <v>G:\Habitat\OPERATIONNEL HABITAT\02- Operations\Photothèque\image non disponible.jpg</v>
          </cell>
          <cell r="EE216" t="str">
            <v>G:\Habitat\OPERATIONNEL HABITAT\02- Operations\Photothèque\image non disponible.jpg</v>
          </cell>
        </row>
        <row r="217">
          <cell r="A217" t="str">
            <v>RODRIGUES</v>
          </cell>
          <cell r="B217">
            <v>9688</v>
          </cell>
          <cell r="C217" t="str">
            <v>SUD</v>
          </cell>
          <cell r="D217" t="str">
            <v>Saint-Louis</v>
          </cell>
          <cell r="E217" t="str">
            <v>ZAC AVENIR</v>
          </cell>
          <cell r="F217">
            <v>20</v>
          </cell>
          <cell r="G217" t="str">
            <v>LLTS</v>
          </cell>
          <cell r="J217" t="str">
            <v>MIXT</v>
          </cell>
          <cell r="K217" t="str">
            <v>CF</v>
          </cell>
          <cell r="L217" t="str">
            <v>SIDR</v>
          </cell>
          <cell r="M217" t="str">
            <v>maitrisé</v>
          </cell>
          <cell r="N217" t="str">
            <v>JEM</v>
          </cell>
          <cell r="O217" t="str">
            <v>DL</v>
          </cell>
          <cell r="P217" t="str">
            <v>CS</v>
          </cell>
          <cell r="Q217" t="str">
            <v>HBM</v>
          </cell>
          <cell r="R217">
            <v>2007</v>
          </cell>
          <cell r="S217">
            <v>1</v>
          </cell>
          <cell r="T217" t="str">
            <v>pc blocage ?</v>
          </cell>
          <cell r="U217" t="str">
            <v>SAULNIER</v>
          </cell>
          <cell r="V217" t="str">
            <v>H - APPEL D'OFFRES</v>
          </cell>
          <cell r="W217">
            <v>39217</v>
          </cell>
          <cell r="X217" t="str">
            <v>d</v>
          </cell>
          <cell r="Y217" t="str">
            <v>97441407A0209</v>
          </cell>
          <cell r="Z217">
            <v>39286</v>
          </cell>
          <cell r="AA217" t="str">
            <v>o</v>
          </cell>
          <cell r="AB217">
            <v>39170</v>
          </cell>
          <cell r="AC217" t="str">
            <v>v</v>
          </cell>
          <cell r="AD217">
            <v>39231</v>
          </cell>
          <cell r="AE217">
            <v>39245</v>
          </cell>
          <cell r="AF217" t="str">
            <v>f</v>
          </cell>
          <cell r="AG217">
            <v>39464</v>
          </cell>
          <cell r="AH217">
            <v>0</v>
          </cell>
          <cell r="AI217" t="str">
            <v>ao</v>
          </cell>
          <cell r="AJ217">
            <v>39799</v>
          </cell>
          <cell r="AK217" t="str">
            <v>ch</v>
          </cell>
          <cell r="AL217">
            <v>1308.4889531825354</v>
          </cell>
          <cell r="AM217">
            <v>2008</v>
          </cell>
          <cell r="AN217">
            <v>15</v>
          </cell>
          <cell r="AO217">
            <v>40254</v>
          </cell>
          <cell r="AP217">
            <v>40269</v>
          </cell>
          <cell r="AQ217" t="str">
            <v/>
          </cell>
          <cell r="AR217">
            <v>2010</v>
          </cell>
          <cell r="BK217">
            <v>0</v>
          </cell>
          <cell r="BL217">
            <v>4.83</v>
          </cell>
          <cell r="BO217" t="str">
            <v>à faire</v>
          </cell>
          <cell r="BQ217" t="str">
            <v>à faire</v>
          </cell>
          <cell r="BX217" t="str">
            <v>En attente accord de principe</v>
          </cell>
          <cell r="CJ217" t="str">
            <v>SCI Saint André</v>
          </cell>
          <cell r="CK217" t="str">
            <v>INFI</v>
          </cell>
          <cell r="CL217">
            <v>39773</v>
          </cell>
          <cell r="CM217" t="str">
            <v>-</v>
          </cell>
          <cell r="CN217">
            <v>0</v>
          </cell>
          <cell r="CO217" t="str">
            <v>199 undecies A</v>
          </cell>
          <cell r="CQ217" t="str">
            <v>non</v>
          </cell>
          <cell r="CX217">
            <v>0</v>
          </cell>
          <cell r="DE217">
            <v>0</v>
          </cell>
          <cell r="DJ217">
            <v>0</v>
          </cell>
          <cell r="DO217">
            <v>0</v>
          </cell>
          <cell r="DS217">
            <v>0</v>
          </cell>
          <cell r="DT217">
            <v>0</v>
          </cell>
          <cell r="DU217">
            <v>0</v>
          </cell>
          <cell r="ED217" t="str">
            <v>G:\Habitat\OPERATIONNEL HABITAT\02- Operations\Photothèque\image non disponible.jpg</v>
          </cell>
          <cell r="EE217" t="str">
            <v>G:\Habitat\OPERATIONNEL HABITAT\02- Operations\Photothèque\image non disponible.jpg</v>
          </cell>
        </row>
        <row r="218">
          <cell r="A218" t="str">
            <v>ROSAIRE CONGO</v>
          </cell>
          <cell r="B218">
            <v>9719</v>
          </cell>
          <cell r="C218" t="str">
            <v>SUD</v>
          </cell>
          <cell r="D218" t="str">
            <v>Saint-Joseph</v>
          </cell>
          <cell r="E218" t="str">
            <v>RHI CENTRE VILLE</v>
          </cell>
          <cell r="F218">
            <v>66</v>
          </cell>
          <cell r="G218" t="str">
            <v>LLTS</v>
          </cell>
          <cell r="J218" t="str">
            <v>COL</v>
          </cell>
          <cell r="K218" t="str">
            <v>CF</v>
          </cell>
          <cell r="L218" t="str">
            <v>SIDR</v>
          </cell>
          <cell r="M218" t="str">
            <v>maitrisé</v>
          </cell>
          <cell r="N218" t="str">
            <v>LC</v>
          </cell>
          <cell r="O218" t="str">
            <v>CA</v>
          </cell>
          <cell r="P218" t="str">
            <v>LV</v>
          </cell>
          <cell r="Q218" t="str">
            <v>HBM</v>
          </cell>
          <cell r="R218">
            <v>2009</v>
          </cell>
          <cell r="S218">
            <v>0.25</v>
          </cell>
          <cell r="U218" t="str">
            <v>JAVELAUD</v>
          </cell>
          <cell r="V218" t="str">
            <v>D - ESQUISSES</v>
          </cell>
          <cell r="W218">
            <v>39736</v>
          </cell>
          <cell r="X218" t="str">
            <v>d</v>
          </cell>
          <cell r="Z218">
            <v>39803</v>
          </cell>
          <cell r="AA218" t="str">
            <v>o</v>
          </cell>
          <cell r="AB218">
            <v>39706</v>
          </cell>
          <cell r="AC218" t="str">
            <v>v</v>
          </cell>
          <cell r="AE218">
            <v>40082</v>
          </cell>
          <cell r="AF218" t="str">
            <v/>
          </cell>
          <cell r="AH218">
            <v>40084</v>
          </cell>
          <cell r="AI218" t="str">
            <v/>
          </cell>
          <cell r="AJ218">
            <v>40265</v>
          </cell>
          <cell r="AK218" t="str">
            <v/>
          </cell>
          <cell r="AL218">
            <v>5.9508153603366649</v>
          </cell>
          <cell r="AM218">
            <v>2010</v>
          </cell>
          <cell r="AN218">
            <v>15</v>
          </cell>
          <cell r="AO218">
            <v>40722</v>
          </cell>
          <cell r="AP218">
            <v>40737</v>
          </cell>
          <cell r="AQ218" t="str">
            <v/>
          </cell>
          <cell r="AR218">
            <v>2011</v>
          </cell>
          <cell r="CJ218" t="str">
            <v>-</v>
          </cell>
          <cell r="CK218" t="str">
            <v>-</v>
          </cell>
          <cell r="CL218" t="str">
            <v>-</v>
          </cell>
          <cell r="CM218" t="str">
            <v>-</v>
          </cell>
          <cell r="CN218">
            <v>0</v>
          </cell>
          <cell r="CQ218" t="str">
            <v>non</v>
          </cell>
          <cell r="CX218">
            <v>0</v>
          </cell>
          <cell r="DE218">
            <v>0</v>
          </cell>
          <cell r="DJ218">
            <v>0</v>
          </cell>
          <cell r="DO218">
            <v>0</v>
          </cell>
          <cell r="DS218">
            <v>0</v>
          </cell>
          <cell r="DT218">
            <v>0</v>
          </cell>
          <cell r="DU218">
            <v>0</v>
          </cell>
          <cell r="ED218" t="str">
            <v>G:\Habitat\OPERATIONNEL HABITAT\02- Operations\Photothèque\image non disponible.jpg</v>
          </cell>
          <cell r="EE218" t="str">
            <v>G:\Habitat\OPERATIONNEL HABITAT\02- Operations\Photothèque\image non disponible.jpg</v>
          </cell>
        </row>
        <row r="219">
          <cell r="A219" t="str">
            <v>RPA BARQUISSEAU</v>
          </cell>
          <cell r="C219" t="str">
            <v>SUD</v>
          </cell>
          <cell r="D219" t="str">
            <v>Saint-Pierre</v>
          </cell>
          <cell r="F219">
            <v>50</v>
          </cell>
          <cell r="G219" t="str">
            <v>LLTS</v>
          </cell>
          <cell r="J219" t="str">
            <v>IND</v>
          </cell>
          <cell r="N219" t="str">
            <v>N.A.</v>
          </cell>
          <cell r="R219">
            <v>2011</v>
          </cell>
          <cell r="V219" t="str">
            <v>A - NON LANCE</v>
          </cell>
          <cell r="X219" t="str">
            <v/>
          </cell>
          <cell r="AA219" t="str">
            <v/>
          </cell>
          <cell r="AC219" t="str">
            <v/>
          </cell>
          <cell r="AF219" t="str">
            <v/>
          </cell>
          <cell r="AI219" t="str">
            <v/>
          </cell>
          <cell r="AK219" t="str">
            <v/>
          </cell>
          <cell r="AL219">
            <v>0</v>
          </cell>
          <cell r="AM219" t="str">
            <v/>
          </cell>
          <cell r="AO219" t="str">
            <v/>
          </cell>
          <cell r="AP219" t="str">
            <v/>
          </cell>
          <cell r="AQ219" t="str">
            <v/>
          </cell>
          <cell r="CJ219" t="str">
            <v>-</v>
          </cell>
          <cell r="CK219" t="str">
            <v>-</v>
          </cell>
          <cell r="CL219" t="str">
            <v>-</v>
          </cell>
          <cell r="CM219" t="str">
            <v>-</v>
          </cell>
          <cell r="CN219">
            <v>0</v>
          </cell>
          <cell r="CQ219" t="str">
            <v>non</v>
          </cell>
          <cell r="CX219">
            <v>0</v>
          </cell>
          <cell r="DE219">
            <v>0</v>
          </cell>
          <cell r="DJ219">
            <v>0</v>
          </cell>
          <cell r="DO219">
            <v>0</v>
          </cell>
          <cell r="DS219">
            <v>0</v>
          </cell>
          <cell r="DT219">
            <v>0</v>
          </cell>
          <cell r="DU219">
            <v>0</v>
          </cell>
          <cell r="ED219" t="str">
            <v>G:\Habitat\OPERATIONNEL HABITAT\02- Operations\Photothèque\image non disponible.jpg</v>
          </cell>
          <cell r="EE219" t="str">
            <v>G:\Habitat\OPERATIONNEL HABITAT\02- Operations\Photothèque\image non disponible.jpg</v>
          </cell>
        </row>
        <row r="220">
          <cell r="A220" t="str">
            <v>RPA LA CAYENNE</v>
          </cell>
          <cell r="B220">
            <v>9545</v>
          </cell>
          <cell r="C220" t="str">
            <v>SUD</v>
          </cell>
          <cell r="D220" t="str">
            <v>Saint-Joseph</v>
          </cell>
          <cell r="E220" t="str">
            <v>AME LA CAYENNE</v>
          </cell>
          <cell r="F220">
            <v>31</v>
          </cell>
          <cell r="G220" t="str">
            <v>LLTS</v>
          </cell>
          <cell r="H220" t="str">
            <v>signé</v>
          </cell>
          <cell r="I220" t="str">
            <v>sub SG 2004</v>
          </cell>
          <cell r="J220" t="str">
            <v>IND</v>
          </cell>
          <cell r="K220" t="str">
            <v>CF</v>
          </cell>
          <cell r="L220" t="str">
            <v>SIDR</v>
          </cell>
          <cell r="N220" t="str">
            <v>JPM</v>
          </cell>
          <cell r="O220" t="str">
            <v>CA</v>
          </cell>
          <cell r="P220" t="str">
            <v>CC</v>
          </cell>
          <cell r="Q220" t="str">
            <v>HBM</v>
          </cell>
          <cell r="R220">
            <v>2004</v>
          </cell>
          <cell r="T220" t="str">
            <v>problème foncier mitoyen | bornage judiciaire OK TX parking végétal</v>
          </cell>
          <cell r="U220" t="str">
            <v>ARCHITECTES DE L'EPERON</v>
          </cell>
          <cell r="V220" t="str">
            <v>M - LIVRE/GPA</v>
          </cell>
          <cell r="W220">
            <v>38161</v>
          </cell>
          <cell r="X220" t="str">
            <v>d</v>
          </cell>
          <cell r="Y220" t="str">
            <v>97440104A0265</v>
          </cell>
          <cell r="Z220">
            <v>38422</v>
          </cell>
          <cell r="AA220" t="str">
            <v>o</v>
          </cell>
          <cell r="AB220" t="str">
            <v>validé</v>
          </cell>
          <cell r="AC220" t="str">
            <v/>
          </cell>
          <cell r="AE220">
            <v>38238</v>
          </cell>
          <cell r="AF220" t="str">
            <v>f</v>
          </cell>
          <cell r="AG220">
            <v>38544</v>
          </cell>
          <cell r="AH220">
            <v>38545</v>
          </cell>
          <cell r="AI220" t="str">
            <v>ao</v>
          </cell>
          <cell r="AJ220">
            <v>38803</v>
          </cell>
          <cell r="AK220" t="str">
            <v/>
          </cell>
          <cell r="AL220">
            <v>8.4823776959495003</v>
          </cell>
          <cell r="AM220">
            <v>2006</v>
          </cell>
          <cell r="AN220">
            <v>18</v>
          </cell>
          <cell r="AO220">
            <v>39337</v>
          </cell>
          <cell r="AP220">
            <v>39356</v>
          </cell>
          <cell r="AQ220" t="str">
            <v>li</v>
          </cell>
          <cell r="AR220">
            <v>2007</v>
          </cell>
          <cell r="AW220">
            <v>30</v>
          </cell>
          <cell r="AX220">
            <v>60.61</v>
          </cell>
          <cell r="BA220">
            <v>1</v>
          </cell>
          <cell r="BB220">
            <v>68.709999999999994</v>
          </cell>
          <cell r="BK220">
            <v>31</v>
          </cell>
          <cell r="BL220">
            <v>3.49</v>
          </cell>
          <cell r="BM220">
            <v>0.42</v>
          </cell>
          <cell r="BN220">
            <v>0.2</v>
          </cell>
          <cell r="BO220" t="str">
            <v>signée</v>
          </cell>
          <cell r="BP220">
            <v>0.8</v>
          </cell>
          <cell r="BQ220" t="str">
            <v>signée</v>
          </cell>
          <cell r="BR220" t="str">
            <v>CG</v>
          </cell>
          <cell r="BS220">
            <v>0.5</v>
          </cell>
          <cell r="BT220" t="str">
            <v>signée</v>
          </cell>
          <cell r="BX220" t="str">
            <v>signé</v>
          </cell>
          <cell r="BY220">
            <v>1757</v>
          </cell>
          <cell r="BZ220">
            <v>2188</v>
          </cell>
          <cell r="CA220">
            <v>1920</v>
          </cell>
          <cell r="CE220" t="str">
            <v>ECS ind</v>
          </cell>
          <cell r="CF220">
            <v>99743</v>
          </cell>
          <cell r="CG220">
            <v>29922.9</v>
          </cell>
          <cell r="CH220">
            <v>44884.35</v>
          </cell>
          <cell r="CI220">
            <v>24935.75</v>
          </cell>
          <cell r="CJ220" t="str">
            <v>-</v>
          </cell>
          <cell r="CK220" t="str">
            <v>-</v>
          </cell>
          <cell r="CL220" t="str">
            <v>-</v>
          </cell>
          <cell r="CM220" t="str">
            <v>-</v>
          </cell>
          <cell r="CN220">
            <v>0</v>
          </cell>
          <cell r="CQ220" t="str">
            <v>oui</v>
          </cell>
          <cell r="CR220">
            <v>400538</v>
          </cell>
          <cell r="CT220">
            <v>1633196</v>
          </cell>
          <cell r="CX220">
            <v>2033734</v>
          </cell>
          <cell r="DE220">
            <v>74807.25</v>
          </cell>
          <cell r="DJ220">
            <v>74807.25</v>
          </cell>
          <cell r="DO220">
            <v>0</v>
          </cell>
          <cell r="DQ220">
            <v>58600</v>
          </cell>
          <cell r="DR220">
            <v>27125</v>
          </cell>
          <cell r="DS220">
            <v>85725</v>
          </cell>
          <cell r="DT220">
            <v>171450</v>
          </cell>
          <cell r="DU220">
            <v>-1787476.75</v>
          </cell>
          <cell r="ED220" t="str">
            <v>G:\Habitat\OPERATIONNEL HABITAT\02- Operations\Photothèque\image non disponible.jpg</v>
          </cell>
          <cell r="EE220" t="str">
            <v>G:\Habitat\OPERATIONNEL HABITAT\02- Operations\Photothèque\image non disponible.jpg</v>
          </cell>
        </row>
        <row r="221">
          <cell r="A221" t="str">
            <v>RPI EIFFEL/BLAKE</v>
          </cell>
          <cell r="B221">
            <v>9609</v>
          </cell>
          <cell r="C221" t="str">
            <v>OUEST</v>
          </cell>
          <cell r="D221" t="str">
            <v>Port</v>
          </cell>
          <cell r="E221" t="str">
            <v>RHI SAY PISCINE</v>
          </cell>
          <cell r="F221">
            <v>4</v>
          </cell>
          <cell r="G221" t="str">
            <v>LLS</v>
          </cell>
          <cell r="J221" t="str">
            <v>IND</v>
          </cell>
          <cell r="K221" t="str">
            <v>CF</v>
          </cell>
          <cell r="L221" t="str">
            <v>SIDR</v>
          </cell>
          <cell r="N221" t="str">
            <v>EC</v>
          </cell>
          <cell r="O221" t="str">
            <v>EC</v>
          </cell>
          <cell r="P221" t="str">
            <v>LV</v>
          </cell>
          <cell r="Q221" t="str">
            <v>OP</v>
          </cell>
          <cell r="R221">
            <v>2005</v>
          </cell>
          <cell r="U221" t="str">
            <v>RPI</v>
          </cell>
          <cell r="V221" t="str">
            <v>M - LIVRE/GPA</v>
          </cell>
          <cell r="W221">
            <v>38324</v>
          </cell>
          <cell r="X221" t="str">
            <v>d</v>
          </cell>
          <cell r="Z221">
            <v>38399</v>
          </cell>
          <cell r="AA221" t="str">
            <v>o</v>
          </cell>
          <cell r="AB221" t="str">
            <v>validé</v>
          </cell>
          <cell r="AC221" t="str">
            <v/>
          </cell>
          <cell r="AF221" t="str">
            <v/>
          </cell>
          <cell r="AI221" t="str">
            <v/>
          </cell>
          <cell r="AJ221">
            <v>38504</v>
          </cell>
          <cell r="AK221" t="str">
            <v/>
          </cell>
          <cell r="AL221">
            <v>1265.9126775381378</v>
          </cell>
          <cell r="AM221">
            <v>2005</v>
          </cell>
          <cell r="AN221">
            <v>6</v>
          </cell>
          <cell r="AO221">
            <v>38687</v>
          </cell>
          <cell r="AP221">
            <v>38677</v>
          </cell>
          <cell r="AQ221" t="str">
            <v>li</v>
          </cell>
          <cell r="AR221">
            <v>2005</v>
          </cell>
          <cell r="CJ221" t="str">
            <v>-</v>
          </cell>
          <cell r="CK221" t="str">
            <v>-</v>
          </cell>
          <cell r="CL221" t="str">
            <v>-</v>
          </cell>
          <cell r="CM221" t="str">
            <v>-</v>
          </cell>
          <cell r="CN221">
            <v>0</v>
          </cell>
          <cell r="CQ221" t="str">
            <v>oui</v>
          </cell>
          <cell r="CX221">
            <v>0</v>
          </cell>
          <cell r="DE221">
            <v>0</v>
          </cell>
          <cell r="DJ221">
            <v>0</v>
          </cell>
          <cell r="DO221">
            <v>0</v>
          </cell>
          <cell r="DS221">
            <v>0</v>
          </cell>
          <cell r="DT221">
            <v>0</v>
          </cell>
          <cell r="DU221">
            <v>0</v>
          </cell>
          <cell r="ED221" t="str">
            <v>G:\Habitat\OPERATIONNEL HABITAT\02- Operations\Photothèque\images casevo\villiam blake\villiam blake RPI.jpg</v>
          </cell>
          <cell r="EE221" t="str">
            <v>G:\Habitat\OPERATIONNEL HABITAT\02- Operations\Photothèque\images casevo\villiam blake\villiam blake RPI (2).jpg</v>
          </cell>
        </row>
        <row r="222">
          <cell r="A222" t="str">
            <v>SAINT BERNARD 1</v>
          </cell>
          <cell r="B222">
            <v>9461</v>
          </cell>
          <cell r="C222" t="str">
            <v>NORD</v>
          </cell>
          <cell r="D222" t="str">
            <v>Saint-Denis</v>
          </cell>
          <cell r="E222" t="str">
            <v>ZAC ST BERNARD</v>
          </cell>
          <cell r="F222">
            <v>36</v>
          </cell>
          <cell r="G222" t="str">
            <v>LESG</v>
          </cell>
          <cell r="J222" t="str">
            <v>IND</v>
          </cell>
          <cell r="K222" t="str">
            <v>CF</v>
          </cell>
          <cell r="L222" t="str">
            <v>SODIAC</v>
          </cell>
          <cell r="N222" t="str">
            <v>EC</v>
          </cell>
          <cell r="O222" t="str">
            <v>FG</v>
          </cell>
          <cell r="P222" t="str">
            <v>LV</v>
          </cell>
          <cell r="R222">
            <v>2003</v>
          </cell>
          <cell r="U222" t="str">
            <v>ATELIER GAZUT</v>
          </cell>
          <cell r="V222" t="str">
            <v>M - LIVRE/GPA</v>
          </cell>
          <cell r="W222">
            <v>37747</v>
          </cell>
          <cell r="X222" t="str">
            <v>d</v>
          </cell>
          <cell r="Z222">
            <v>37882</v>
          </cell>
          <cell r="AA222" t="str">
            <v>o</v>
          </cell>
          <cell r="AB222" t="str">
            <v>validé</v>
          </cell>
          <cell r="AC222" t="str">
            <v/>
          </cell>
          <cell r="AD222">
            <v>0</v>
          </cell>
          <cell r="AE222" t="str">
            <v>23/06/203</v>
          </cell>
          <cell r="AF222" t="str">
            <v/>
          </cell>
          <cell r="AG222">
            <v>37924</v>
          </cell>
          <cell r="AH222">
            <v>38061</v>
          </cell>
          <cell r="AI222" t="str">
            <v>ao</v>
          </cell>
          <cell r="AJ222">
            <v>38141</v>
          </cell>
          <cell r="AK222" t="str">
            <v/>
          </cell>
          <cell r="AL222">
            <v>2.6301946344029457</v>
          </cell>
          <cell r="AM222">
            <v>2004</v>
          </cell>
          <cell r="AN222">
            <v>16</v>
          </cell>
          <cell r="AO222">
            <v>38628</v>
          </cell>
          <cell r="AP222">
            <v>38716</v>
          </cell>
          <cell r="AQ222" t="str">
            <v>li</v>
          </cell>
          <cell r="AR222">
            <v>2005</v>
          </cell>
          <cell r="CJ222" t="str">
            <v>-</v>
          </cell>
          <cell r="CK222" t="str">
            <v>-</v>
          </cell>
          <cell r="CL222" t="str">
            <v>-</v>
          </cell>
          <cell r="CM222" t="str">
            <v>-</v>
          </cell>
          <cell r="CN222">
            <v>0</v>
          </cell>
          <cell r="CQ222" t="str">
            <v>oui</v>
          </cell>
          <cell r="CX222">
            <v>0</v>
          </cell>
          <cell r="DE222">
            <v>0</v>
          </cell>
          <cell r="DJ222">
            <v>0</v>
          </cell>
          <cell r="DO222">
            <v>0</v>
          </cell>
          <cell r="DS222">
            <v>0</v>
          </cell>
          <cell r="DT222">
            <v>0</v>
          </cell>
          <cell r="DU222">
            <v>0</v>
          </cell>
          <cell r="ED222" t="str">
            <v>G:\Habitat\OPERATIONNEL HABITAT\02- Operations\Photothèque\images casevo\Saint Bernard\st bernard.jpg</v>
          </cell>
          <cell r="EE222" t="str">
            <v>G:\Habitat\OPERATIONNEL HABITAT\02- Operations\Photothèque\images casevo\Saint Bernard\st bernard (1).jpg</v>
          </cell>
        </row>
        <row r="223">
          <cell r="A223" t="str">
            <v>SAINT BERNARD 2</v>
          </cell>
          <cell r="B223">
            <v>9558</v>
          </cell>
          <cell r="C223" t="str">
            <v>NORD</v>
          </cell>
          <cell r="D223" t="str">
            <v>Saint-Denis</v>
          </cell>
          <cell r="E223" t="str">
            <v>ZAC ST BERNARD</v>
          </cell>
          <cell r="F223">
            <v>22</v>
          </cell>
          <cell r="G223" t="str">
            <v>LESG</v>
          </cell>
          <cell r="J223" t="str">
            <v>IND</v>
          </cell>
          <cell r="K223" t="str">
            <v>CF</v>
          </cell>
          <cell r="L223" t="str">
            <v>SODIAC</v>
          </cell>
          <cell r="N223" t="str">
            <v>EC</v>
          </cell>
          <cell r="O223" t="str">
            <v>FG</v>
          </cell>
          <cell r="P223" t="str">
            <v>LV</v>
          </cell>
          <cell r="R223">
            <v>2004</v>
          </cell>
          <cell r="U223" t="str">
            <v>ATELIER GAZUT</v>
          </cell>
          <cell r="V223" t="str">
            <v>M - LIVRE/GPA</v>
          </cell>
          <cell r="W223">
            <v>38141</v>
          </cell>
          <cell r="X223" t="str">
            <v>d</v>
          </cell>
          <cell r="Z223">
            <v>38309</v>
          </cell>
          <cell r="AA223" t="str">
            <v>o</v>
          </cell>
          <cell r="AB223" t="str">
            <v>validé</v>
          </cell>
          <cell r="AC223" t="str">
            <v/>
          </cell>
          <cell r="AD223">
            <v>0</v>
          </cell>
          <cell r="AE223">
            <v>38223</v>
          </cell>
          <cell r="AF223" t="str">
            <v>f</v>
          </cell>
          <cell r="AG223">
            <v>38335</v>
          </cell>
          <cell r="AH223">
            <v>38518</v>
          </cell>
          <cell r="AI223" t="str">
            <v>ao</v>
          </cell>
          <cell r="AJ223">
            <v>38596</v>
          </cell>
          <cell r="AK223" t="str">
            <v/>
          </cell>
          <cell r="AL223">
            <v>2.5644397685428721</v>
          </cell>
          <cell r="AM223">
            <v>2005</v>
          </cell>
          <cell r="AN223">
            <v>14</v>
          </cell>
          <cell r="AO223">
            <v>39022</v>
          </cell>
          <cell r="AP223">
            <v>39387</v>
          </cell>
          <cell r="AQ223" t="str">
            <v>li</v>
          </cell>
          <cell r="AR223">
            <v>2007</v>
          </cell>
          <cell r="CJ223" t="str">
            <v>-</v>
          </cell>
          <cell r="CK223" t="str">
            <v>-</v>
          </cell>
          <cell r="CL223" t="str">
            <v>-</v>
          </cell>
          <cell r="CM223" t="str">
            <v>-</v>
          </cell>
          <cell r="CN223">
            <v>0</v>
          </cell>
          <cell r="CQ223" t="str">
            <v>oui</v>
          </cell>
          <cell r="CX223">
            <v>0</v>
          </cell>
          <cell r="DE223">
            <v>0</v>
          </cell>
          <cell r="DJ223">
            <v>0</v>
          </cell>
          <cell r="DO223">
            <v>0</v>
          </cell>
          <cell r="DS223">
            <v>0</v>
          </cell>
          <cell r="DT223">
            <v>0</v>
          </cell>
          <cell r="DU223">
            <v>0</v>
          </cell>
          <cell r="ED223" t="str">
            <v>G:\Habitat\OPERATIONNEL HABITAT\02- Operations\Photothèque\images casevo\Saint Bernard\st bernard.jpg</v>
          </cell>
          <cell r="EE223" t="str">
            <v>G:\Habitat\OPERATIONNEL HABITAT\02- Operations\Photothèque\images casevo\Saint Bernard\st bernard (1).jpg</v>
          </cell>
        </row>
        <row r="224">
          <cell r="A224" t="str">
            <v>SAINTE ANNE</v>
          </cell>
          <cell r="B224">
            <v>9620</v>
          </cell>
          <cell r="C224" t="str">
            <v>EST</v>
          </cell>
          <cell r="D224" t="str">
            <v>Saint-Benoît</v>
          </cell>
          <cell r="E224" t="str">
            <v>ZAC ST ANNE</v>
          </cell>
          <cell r="F224">
            <v>12</v>
          </cell>
          <cell r="G224" t="str">
            <v>LESG</v>
          </cell>
          <cell r="J224" t="str">
            <v>IND</v>
          </cell>
          <cell r="K224" t="str">
            <v>CF</v>
          </cell>
          <cell r="L224" t="str">
            <v>SIDR</v>
          </cell>
          <cell r="M224" t="str">
            <v>maitrisé</v>
          </cell>
          <cell r="N224" t="str">
            <v>BS</v>
          </cell>
          <cell r="O224" t="str">
            <v>OS</v>
          </cell>
          <cell r="P224" t="str">
            <v>LV</v>
          </cell>
          <cell r="Q224" t="str">
            <v>AR</v>
          </cell>
          <cell r="R224">
            <v>2007</v>
          </cell>
          <cell r="S224">
            <v>1</v>
          </cell>
          <cell r="U224" t="str">
            <v>ATELIER GAZUT</v>
          </cell>
          <cell r="V224" t="str">
            <v>K - OS TRAVAUX</v>
          </cell>
          <cell r="W224" t="str">
            <v>28/098/2005</v>
          </cell>
          <cell r="X224" t="str">
            <v/>
          </cell>
          <cell r="Y224" t="str">
            <v>9741005a0271</v>
          </cell>
          <cell r="Z224">
            <v>39370</v>
          </cell>
          <cell r="AA224" t="str">
            <v>o</v>
          </cell>
          <cell r="AB224" t="str">
            <v>validé</v>
          </cell>
          <cell r="AC224" t="str">
            <v/>
          </cell>
          <cell r="AD224">
            <v>39387</v>
          </cell>
          <cell r="AE224">
            <v>39350</v>
          </cell>
          <cell r="AF224" t="str">
            <v>f</v>
          </cell>
          <cell r="AG224">
            <v>39464</v>
          </cell>
          <cell r="AH224">
            <v>39596</v>
          </cell>
          <cell r="AI224" t="str">
            <v>ao</v>
          </cell>
          <cell r="AJ224">
            <v>39797</v>
          </cell>
          <cell r="AK224" t="str">
            <v>ch</v>
          </cell>
          <cell r="AL224">
            <v>6.6083640189374009</v>
          </cell>
          <cell r="AM224">
            <v>2008</v>
          </cell>
          <cell r="AN224">
            <v>14</v>
          </cell>
          <cell r="AO224">
            <v>40224</v>
          </cell>
          <cell r="AP224">
            <v>40239</v>
          </cell>
          <cell r="AQ224" t="str">
            <v/>
          </cell>
          <cell r="AR224">
            <v>2010</v>
          </cell>
          <cell r="CJ224" t="str">
            <v>-</v>
          </cell>
          <cell r="CK224" t="str">
            <v>-</v>
          </cell>
          <cell r="CL224" t="str">
            <v>-</v>
          </cell>
          <cell r="CN224">
            <v>0</v>
          </cell>
          <cell r="CQ224" t="str">
            <v>non</v>
          </cell>
          <cell r="CX224">
            <v>0</v>
          </cell>
          <cell r="DE224">
            <v>0</v>
          </cell>
          <cell r="DJ224">
            <v>0</v>
          </cell>
          <cell r="DO224">
            <v>0</v>
          </cell>
          <cell r="DS224">
            <v>0</v>
          </cell>
          <cell r="DT224">
            <v>0</v>
          </cell>
          <cell r="DU224">
            <v>0</v>
          </cell>
          <cell r="ED224" t="str">
            <v>G:\Habitat\OPERATIONNEL HABITAT\02- Operations\Photothèque\image non disponible.jpg</v>
          </cell>
          <cell r="EE224" t="str">
            <v>G:\Habitat\OPERATIONNEL HABITAT\02- Operations\Photothèque\image non disponible.jpg</v>
          </cell>
        </row>
        <row r="225">
          <cell r="A225" t="str">
            <v>SAMAT</v>
          </cell>
          <cell r="C225" t="str">
            <v>NORD</v>
          </cell>
          <cell r="D225" t="str">
            <v>Saint-Denis</v>
          </cell>
          <cell r="E225" t="str">
            <v>Ruelle SAMAT</v>
          </cell>
          <cell r="F225">
            <v>60</v>
          </cell>
          <cell r="G225" t="str">
            <v>LLTS</v>
          </cell>
          <cell r="J225" t="str">
            <v>COL</v>
          </cell>
          <cell r="K225" t="str">
            <v>ACQ</v>
          </cell>
          <cell r="M225" t="str">
            <v>autres</v>
          </cell>
          <cell r="N225" t="str">
            <v>JPM</v>
          </cell>
          <cell r="O225" t="str">
            <v>PE</v>
          </cell>
          <cell r="P225" t="str">
            <v>CC</v>
          </cell>
          <cell r="R225">
            <v>2010</v>
          </cell>
          <cell r="T225" t="str">
            <v>Acquisition à finaliser - accès à étudier - problematique bruit &amp; parking - attention aux nuisances sonores</v>
          </cell>
          <cell r="U225" t="str">
            <v>procedure formalisée</v>
          </cell>
          <cell r="V225" t="str">
            <v>B - ETUDE PRE-OP</v>
          </cell>
          <cell r="AA225" t="str">
            <v/>
          </cell>
          <cell r="AC225" t="str">
            <v/>
          </cell>
          <cell r="AI225" t="str">
            <v/>
          </cell>
          <cell r="AK225" t="str">
            <v/>
          </cell>
          <cell r="AL225">
            <v>0</v>
          </cell>
          <cell r="AQ225" t="str">
            <v/>
          </cell>
          <cell r="CJ225" t="str">
            <v>-</v>
          </cell>
          <cell r="CK225" t="str">
            <v>-</v>
          </cell>
          <cell r="CL225" t="str">
            <v>-</v>
          </cell>
          <cell r="CM225" t="str">
            <v>-</v>
          </cell>
          <cell r="CN225">
            <v>0</v>
          </cell>
          <cell r="CQ225" t="str">
            <v>non</v>
          </cell>
          <cell r="CX225">
            <v>0</v>
          </cell>
          <cell r="DE225">
            <v>0</v>
          </cell>
          <cell r="DJ225">
            <v>0</v>
          </cell>
          <cell r="DO225">
            <v>0</v>
          </cell>
          <cell r="DS225">
            <v>0</v>
          </cell>
          <cell r="DT225">
            <v>0</v>
          </cell>
          <cell r="DU225">
            <v>0</v>
          </cell>
          <cell r="ED225" t="str">
            <v>G:\Habitat\OPERATIONNEL HABITAT\02- Operations\Photothèque\image non disponible.jpg</v>
          </cell>
          <cell r="EE225" t="str">
            <v>G:\Habitat\OPERATIONNEL HABITAT\02- Operations\Photothèque\image non disponible.jpg</v>
          </cell>
        </row>
        <row r="226">
          <cell r="A226" t="str">
            <v>SAN SEVERIA 1</v>
          </cell>
          <cell r="B226">
            <v>9594</v>
          </cell>
          <cell r="C226" t="str">
            <v>NORD</v>
          </cell>
          <cell r="D226" t="str">
            <v>Saint-Denis</v>
          </cell>
          <cell r="E226" t="str">
            <v>STE CLOTILDE</v>
          </cell>
          <cell r="F226">
            <v>43</v>
          </cell>
          <cell r="G226" t="str">
            <v>LLS</v>
          </cell>
          <cell r="J226" t="str">
            <v>COL</v>
          </cell>
          <cell r="K226" t="str">
            <v>RF</v>
          </cell>
          <cell r="M226" t="str">
            <v>maitrisé</v>
          </cell>
          <cell r="N226" t="str">
            <v>BZ</v>
          </cell>
          <cell r="O226" t="str">
            <v>SV</v>
          </cell>
          <cell r="P226" t="str">
            <v>CS</v>
          </cell>
          <cell r="R226">
            <v>2005</v>
          </cell>
          <cell r="T226" t="str">
            <v>problème numérotation PTT</v>
          </cell>
          <cell r="U226" t="str">
            <v>ARCHITECTES DE L'EPERON</v>
          </cell>
          <cell r="V226" t="str">
            <v>M - LIVRE/GPA</v>
          </cell>
          <cell r="W226">
            <v>38349</v>
          </cell>
          <cell r="X226" t="str">
            <v>d</v>
          </cell>
          <cell r="Y226" t="str">
            <v>97441104A0618</v>
          </cell>
          <cell r="Z226">
            <v>38546</v>
          </cell>
          <cell r="AA226" t="str">
            <v>o</v>
          </cell>
          <cell r="AB226" t="str">
            <v>validé</v>
          </cell>
          <cell r="AC226" t="str">
            <v/>
          </cell>
          <cell r="AD226">
            <v>38624</v>
          </cell>
          <cell r="AE226">
            <v>38505</v>
          </cell>
          <cell r="AF226" t="str">
            <v>f</v>
          </cell>
          <cell r="AG226">
            <v>38722</v>
          </cell>
          <cell r="AH226">
            <v>38614</v>
          </cell>
          <cell r="AI226" t="str">
            <v>ao</v>
          </cell>
          <cell r="AJ226">
            <v>38803</v>
          </cell>
          <cell r="AK226" t="str">
            <v/>
          </cell>
          <cell r="AL226">
            <v>6.2138348237769598</v>
          </cell>
          <cell r="AM226">
            <v>2006</v>
          </cell>
          <cell r="AN226">
            <v>18</v>
          </cell>
          <cell r="AO226">
            <v>39352</v>
          </cell>
          <cell r="AP226">
            <v>39416</v>
          </cell>
          <cell r="AQ226" t="str">
            <v>li</v>
          </cell>
          <cell r="AR226">
            <v>2007</v>
          </cell>
          <cell r="AS226">
            <v>6</v>
          </cell>
          <cell r="AT226">
            <v>30</v>
          </cell>
          <cell r="AW226">
            <v>8</v>
          </cell>
          <cell r="AX226">
            <v>59</v>
          </cell>
          <cell r="BA226">
            <v>14</v>
          </cell>
          <cell r="BB226">
            <v>71</v>
          </cell>
          <cell r="BC226">
            <v>2</v>
          </cell>
          <cell r="BD226">
            <v>76</v>
          </cell>
          <cell r="BE226">
            <v>7</v>
          </cell>
          <cell r="BF226">
            <v>80</v>
          </cell>
          <cell r="BI226">
            <v>6</v>
          </cell>
          <cell r="BJ226">
            <v>94</v>
          </cell>
          <cell r="BK226">
            <v>43</v>
          </cell>
          <cell r="BL226">
            <v>6.24</v>
          </cell>
          <cell r="BM226">
            <v>0.82</v>
          </cell>
          <cell r="BN226">
            <v>0.2</v>
          </cell>
          <cell r="BO226" t="str">
            <v>signée</v>
          </cell>
          <cell r="BP226">
            <v>0.8</v>
          </cell>
          <cell r="BQ226" t="str">
            <v>signée</v>
          </cell>
          <cell r="BX226" t="str">
            <v>signé</v>
          </cell>
          <cell r="BY226">
            <v>3191</v>
          </cell>
          <cell r="BZ226">
            <v>5180</v>
          </cell>
          <cell r="CA226">
            <v>3461.27</v>
          </cell>
          <cell r="CE226" t="str">
            <v>ECS ind</v>
          </cell>
          <cell r="CF226">
            <v>159100</v>
          </cell>
          <cell r="CG226">
            <v>47730</v>
          </cell>
          <cell r="CH226">
            <v>71595</v>
          </cell>
          <cell r="CI226" t="str">
            <v>C 21/014/2008</v>
          </cell>
          <cell r="CJ226" t="str">
            <v>-</v>
          </cell>
          <cell r="CK226" t="str">
            <v>-</v>
          </cell>
          <cell r="CL226" t="str">
            <v>-</v>
          </cell>
          <cell r="CM226" t="str">
            <v>-</v>
          </cell>
          <cell r="CN226">
            <v>0</v>
          </cell>
          <cell r="CQ226" t="str">
            <v>oui</v>
          </cell>
          <cell r="CR226">
            <v>272991</v>
          </cell>
          <cell r="CT226">
            <v>2693969</v>
          </cell>
          <cell r="CX226">
            <v>2966960</v>
          </cell>
          <cell r="DE226">
            <v>119325</v>
          </cell>
          <cell r="DJ226">
            <v>119325</v>
          </cell>
          <cell r="DO226">
            <v>0</v>
          </cell>
          <cell r="DQ226">
            <v>91300</v>
          </cell>
          <cell r="DR226">
            <v>35000</v>
          </cell>
          <cell r="DS226">
            <v>126300</v>
          </cell>
          <cell r="DT226">
            <v>252600</v>
          </cell>
          <cell r="DU226">
            <v>-2595035</v>
          </cell>
          <cell r="ED226" t="str">
            <v>G:\Habitat\OPERATIONNEL HABITAT\02- Operations\Photothèque\images locatifs\San Severia\san severia 2.jpg</v>
          </cell>
          <cell r="EE226" t="str">
            <v>G:\Habitat\OPERATIONNEL HABITAT\02- Operations\Photothèque\images locatifs\San Severia\Sanseverias a.jpg</v>
          </cell>
        </row>
        <row r="227">
          <cell r="A227" t="str">
            <v>SAN SEVERIA 2</v>
          </cell>
          <cell r="B227">
            <v>9606</v>
          </cell>
          <cell r="C227" t="str">
            <v>NORD</v>
          </cell>
          <cell r="D227" t="str">
            <v>Saint-Denis</v>
          </cell>
          <cell r="E227" t="str">
            <v>STE CLOTILDE</v>
          </cell>
          <cell r="F227">
            <v>18</v>
          </cell>
          <cell r="G227" t="str">
            <v>LLS</v>
          </cell>
          <cell r="J227" t="str">
            <v>COL</v>
          </cell>
          <cell r="K227" t="str">
            <v>RF</v>
          </cell>
          <cell r="M227" t="str">
            <v>maitrisé</v>
          </cell>
          <cell r="N227" t="str">
            <v>BZ</v>
          </cell>
          <cell r="O227" t="str">
            <v>SV</v>
          </cell>
          <cell r="P227" t="str">
            <v>CS</v>
          </cell>
          <cell r="R227">
            <v>2005</v>
          </cell>
          <cell r="T227" t="str">
            <v>blocage FT sur VRD</v>
          </cell>
          <cell r="U227" t="str">
            <v>ARCHITECTES DE L'EPERON</v>
          </cell>
          <cell r="V227" t="str">
            <v>M - LIVRE/GPA</v>
          </cell>
          <cell r="W227">
            <v>38407</v>
          </cell>
          <cell r="X227" t="str">
            <v>d</v>
          </cell>
          <cell r="Y227" t="str">
            <v>97441105A0062</v>
          </cell>
          <cell r="Z227">
            <v>38512</v>
          </cell>
          <cell r="AA227" t="str">
            <v>o</v>
          </cell>
          <cell r="AB227" t="str">
            <v>validé</v>
          </cell>
          <cell r="AC227" t="str">
            <v/>
          </cell>
          <cell r="AD227">
            <v>38624</v>
          </cell>
          <cell r="AE227">
            <v>38505</v>
          </cell>
          <cell r="AF227" t="str">
            <v>f</v>
          </cell>
          <cell r="AG227">
            <v>38722</v>
          </cell>
          <cell r="AH227">
            <v>38614</v>
          </cell>
          <cell r="AI227" t="str">
            <v>ao</v>
          </cell>
          <cell r="AJ227">
            <v>38803</v>
          </cell>
          <cell r="AK227" t="str">
            <v/>
          </cell>
          <cell r="AL227">
            <v>6.2138348237769598</v>
          </cell>
          <cell r="AM227">
            <v>2006</v>
          </cell>
          <cell r="AN227">
            <v>18</v>
          </cell>
          <cell r="AO227">
            <v>39352</v>
          </cell>
          <cell r="AP227">
            <v>39367</v>
          </cell>
          <cell r="AQ227" t="str">
            <v>li</v>
          </cell>
          <cell r="AR227">
            <v>2007</v>
          </cell>
          <cell r="AS227">
            <v>1</v>
          </cell>
          <cell r="AT227">
            <v>32</v>
          </cell>
          <cell r="AW227">
            <v>4</v>
          </cell>
          <cell r="AX227">
            <v>58</v>
          </cell>
          <cell r="AY227">
            <v>1</v>
          </cell>
          <cell r="AZ227">
            <v>68</v>
          </cell>
          <cell r="BA227">
            <v>6</v>
          </cell>
          <cell r="BB227">
            <v>72</v>
          </cell>
          <cell r="BE227">
            <v>4</v>
          </cell>
          <cell r="BF227">
            <v>81</v>
          </cell>
          <cell r="BG227">
            <v>1</v>
          </cell>
          <cell r="BH227">
            <v>79</v>
          </cell>
          <cell r="BI227">
            <v>1</v>
          </cell>
          <cell r="BJ227">
            <v>90</v>
          </cell>
          <cell r="BK227">
            <v>18</v>
          </cell>
          <cell r="BL227">
            <v>5.53</v>
          </cell>
          <cell r="BM227">
            <v>0.82</v>
          </cell>
          <cell r="BN227">
            <v>0.2</v>
          </cell>
          <cell r="BO227" t="str">
            <v>signée</v>
          </cell>
          <cell r="BP227">
            <v>0.8</v>
          </cell>
          <cell r="BQ227" t="str">
            <v>signée</v>
          </cell>
          <cell r="BX227" t="str">
            <v>signé</v>
          </cell>
          <cell r="BY227">
            <v>1218</v>
          </cell>
          <cell r="BZ227">
            <v>1840</v>
          </cell>
          <cell r="CA227">
            <v>1274.95</v>
          </cell>
          <cell r="CE227" t="str">
            <v>ECS ind</v>
          </cell>
          <cell r="CF227">
            <v>66600</v>
          </cell>
          <cell r="CG227">
            <v>19980</v>
          </cell>
          <cell r="CH227">
            <v>29970</v>
          </cell>
          <cell r="CI227" t="str">
            <v>C 21/01/2008</v>
          </cell>
          <cell r="CJ227" t="str">
            <v>-</v>
          </cell>
          <cell r="CK227" t="str">
            <v>-</v>
          </cell>
          <cell r="CL227" t="str">
            <v>-</v>
          </cell>
          <cell r="CM227" t="str">
            <v>-</v>
          </cell>
          <cell r="CN227">
            <v>0</v>
          </cell>
          <cell r="CQ227" t="str">
            <v>oui</v>
          </cell>
          <cell r="CR227">
            <v>136724</v>
          </cell>
          <cell r="CT227">
            <v>990224</v>
          </cell>
          <cell r="CX227">
            <v>1126948</v>
          </cell>
          <cell r="DE227">
            <v>49950</v>
          </cell>
          <cell r="DJ227">
            <v>49950</v>
          </cell>
          <cell r="DO227">
            <v>0</v>
          </cell>
          <cell r="DQ227">
            <v>34900</v>
          </cell>
          <cell r="DR227">
            <v>15184</v>
          </cell>
          <cell r="DS227">
            <v>50084</v>
          </cell>
          <cell r="DT227">
            <v>100168</v>
          </cell>
          <cell r="DU227">
            <v>-976830</v>
          </cell>
          <cell r="ED227" t="str">
            <v>G:\Habitat\OPERATIONNEL HABITAT\02- Operations\Photothèque\images locatifs\San Severia\san severia 2.jpg</v>
          </cell>
          <cell r="EE227" t="str">
            <v>G:\Habitat\OPERATIONNEL HABITAT\02- Operations\Photothèque\images locatifs\San Severia\Sanseverias a.jpg</v>
          </cell>
        </row>
        <row r="228">
          <cell r="A228" t="str">
            <v>SANTA APPOLONIA</v>
          </cell>
          <cell r="B228">
            <v>9692</v>
          </cell>
          <cell r="C228" t="str">
            <v>SUD</v>
          </cell>
          <cell r="D228" t="str">
            <v>Saint-Pierre</v>
          </cell>
          <cell r="E228" t="str">
            <v>ZAC OCEAN INDIEN</v>
          </cell>
          <cell r="F228">
            <v>62</v>
          </cell>
          <cell r="G228" t="str">
            <v>LLTS</v>
          </cell>
          <cell r="J228" t="str">
            <v>COL</v>
          </cell>
          <cell r="K228" t="str">
            <v>CF</v>
          </cell>
          <cell r="L228" t="str">
            <v>SEMADER</v>
          </cell>
          <cell r="M228" t="str">
            <v>non maitrisé</v>
          </cell>
          <cell r="N228" t="str">
            <v>LC</v>
          </cell>
          <cell r="O228" t="str">
            <v>CA</v>
          </cell>
          <cell r="P228" t="str">
            <v>AM</v>
          </cell>
          <cell r="R228">
            <v>2007</v>
          </cell>
          <cell r="S228">
            <v>1</v>
          </cell>
          <cell r="T228" t="str">
            <v>suvbvention CIVIS demandée (non validé pour 208, à voir pour 2009) / parking supplémentaire non financé</v>
          </cell>
          <cell r="U228" t="str">
            <v>MIGNOT/LAFOND</v>
          </cell>
          <cell r="V228" t="str">
            <v>G - PROJET</v>
          </cell>
          <cell r="W228">
            <v>39415</v>
          </cell>
          <cell r="X228" t="str">
            <v>d</v>
          </cell>
          <cell r="Z228">
            <v>39446</v>
          </cell>
          <cell r="AA228" t="str">
            <v>o</v>
          </cell>
          <cell r="AB228">
            <v>39566</v>
          </cell>
          <cell r="AC228" t="str">
            <v>v</v>
          </cell>
          <cell r="AD228">
            <v>39597</v>
          </cell>
          <cell r="AE228">
            <v>39385</v>
          </cell>
          <cell r="AF228" t="str">
            <v>f</v>
          </cell>
          <cell r="AG228">
            <v>39464</v>
          </cell>
          <cell r="AH228">
            <v>39918</v>
          </cell>
          <cell r="AI228" t="str">
            <v>ao</v>
          </cell>
          <cell r="AJ228">
            <v>40101</v>
          </cell>
          <cell r="AK228" t="str">
            <v/>
          </cell>
          <cell r="AL228">
            <v>6.0165702261967384</v>
          </cell>
          <cell r="AM228">
            <v>2009</v>
          </cell>
          <cell r="AN228">
            <v>17</v>
          </cell>
          <cell r="AO228">
            <v>40617</v>
          </cell>
          <cell r="AP228">
            <v>40632</v>
          </cell>
          <cell r="AQ228" t="str">
            <v/>
          </cell>
          <cell r="AR228">
            <v>2011</v>
          </cell>
          <cell r="BK228">
            <v>0</v>
          </cell>
          <cell r="BL228">
            <v>5.45</v>
          </cell>
          <cell r="CJ228" t="str">
            <v>SCI Saint André</v>
          </cell>
          <cell r="CK228" t="str">
            <v>INFI</v>
          </cell>
          <cell r="CL228">
            <v>39773</v>
          </cell>
          <cell r="CM228" t="str">
            <v>-</v>
          </cell>
          <cell r="CN228">
            <v>0</v>
          </cell>
          <cell r="CO228" t="str">
            <v>199 undecies A</v>
          </cell>
          <cell r="CQ228" t="str">
            <v>non</v>
          </cell>
          <cell r="CX228">
            <v>0</v>
          </cell>
          <cell r="DE228">
            <v>0</v>
          </cell>
          <cell r="DJ228">
            <v>0</v>
          </cell>
          <cell r="DO228">
            <v>0</v>
          </cell>
          <cell r="DS228">
            <v>0</v>
          </cell>
          <cell r="DT228">
            <v>0</v>
          </cell>
          <cell r="DU228">
            <v>0</v>
          </cell>
          <cell r="ED228" t="str">
            <v>G:\Habitat\OPERATIONNEL HABITAT\02- Operations\Photothèque\image non disponible.jpg</v>
          </cell>
          <cell r="EE228" t="str">
            <v>G:\Habitat\OPERATIONNEL HABITAT\02- Operations\Photothèque\image non disponible.jpg</v>
          </cell>
        </row>
        <row r="229">
          <cell r="A229" t="str">
            <v>SANTORIN/CAFE MOKA</v>
          </cell>
          <cell r="B229">
            <v>9638</v>
          </cell>
          <cell r="C229" t="str">
            <v>OUEST</v>
          </cell>
          <cell r="D229" t="str">
            <v>Possession</v>
          </cell>
          <cell r="E229" t="str">
            <v>ZAC MOULIN JOLI SEDRE</v>
          </cell>
          <cell r="F229">
            <v>44</v>
          </cell>
          <cell r="G229" t="str">
            <v>LLTS</v>
          </cell>
          <cell r="J229" t="str">
            <v>COL</v>
          </cell>
          <cell r="K229" t="str">
            <v>CF</v>
          </cell>
          <cell r="L229" t="str">
            <v>SEDRE</v>
          </cell>
          <cell r="M229" t="str">
            <v>maitrisé</v>
          </cell>
          <cell r="N229" t="str">
            <v>LC</v>
          </cell>
          <cell r="O229" t="str">
            <v>FG</v>
          </cell>
          <cell r="P229" t="str">
            <v>AM</v>
          </cell>
          <cell r="R229">
            <v>2006</v>
          </cell>
          <cell r="S229">
            <v>1</v>
          </cell>
          <cell r="T229" t="str">
            <v>sub TCO OK</v>
          </cell>
          <cell r="U229" t="str">
            <v>ESPACE CREATION</v>
          </cell>
          <cell r="V229" t="str">
            <v>L - CHANTIER EN COURS</v>
          </cell>
          <cell r="W229">
            <v>38894</v>
          </cell>
          <cell r="X229" t="str">
            <v>d</v>
          </cell>
          <cell r="Y229" t="str">
            <v>97440806A0167</v>
          </cell>
          <cell r="Z229">
            <v>38989</v>
          </cell>
          <cell r="AA229" t="str">
            <v>o</v>
          </cell>
          <cell r="AB229">
            <v>39170</v>
          </cell>
          <cell r="AC229" t="str">
            <v>v</v>
          </cell>
          <cell r="AD229">
            <v>39224</v>
          </cell>
          <cell r="AE229">
            <v>38992</v>
          </cell>
          <cell r="AF229" t="str">
            <v>f</v>
          </cell>
          <cell r="AG229">
            <v>39093</v>
          </cell>
          <cell r="AH229">
            <v>39156</v>
          </cell>
          <cell r="AI229" t="str">
            <v>ao</v>
          </cell>
          <cell r="AJ229">
            <v>39384</v>
          </cell>
          <cell r="AK229" t="str">
            <v>ch</v>
          </cell>
          <cell r="AL229">
            <v>7.4960547080483959</v>
          </cell>
          <cell r="AM229">
            <v>2007</v>
          </cell>
          <cell r="AN229">
            <v>17</v>
          </cell>
          <cell r="AO229">
            <v>39918</v>
          </cell>
          <cell r="AP229">
            <v>39933</v>
          </cell>
          <cell r="AQ229" t="str">
            <v/>
          </cell>
          <cell r="AR229">
            <v>2009</v>
          </cell>
          <cell r="AS229">
            <v>5</v>
          </cell>
          <cell r="AT229">
            <v>32</v>
          </cell>
          <cell r="AW229">
            <v>11</v>
          </cell>
          <cell r="AX229">
            <v>57</v>
          </cell>
          <cell r="BA229">
            <v>18</v>
          </cell>
          <cell r="BB229">
            <v>70</v>
          </cell>
          <cell r="BE229">
            <v>8</v>
          </cell>
          <cell r="BF229">
            <v>77</v>
          </cell>
          <cell r="BI229">
            <v>2</v>
          </cell>
          <cell r="BJ229">
            <v>101</v>
          </cell>
          <cell r="BK229">
            <v>44</v>
          </cell>
          <cell r="BL229">
            <v>4.49</v>
          </cell>
          <cell r="BM229">
            <v>0.82</v>
          </cell>
          <cell r="BO229" t="str">
            <v>signée</v>
          </cell>
          <cell r="BQ229" t="str">
            <v>signée</v>
          </cell>
          <cell r="BR229">
            <v>0</v>
          </cell>
          <cell r="BS229">
            <v>0</v>
          </cell>
          <cell r="BX229" t="str">
            <v>signé</v>
          </cell>
          <cell r="BY229">
            <v>2946</v>
          </cell>
          <cell r="BZ229">
            <v>5136</v>
          </cell>
          <cell r="CA229">
            <v>3008.45</v>
          </cell>
          <cell r="CE229" t="str">
            <v>ECS ind</v>
          </cell>
          <cell r="CI229" t="str">
            <v>D 11/2007</v>
          </cell>
          <cell r="CJ229" t="str">
            <v>-</v>
          </cell>
          <cell r="CK229" t="str">
            <v>-</v>
          </cell>
          <cell r="CL229" t="str">
            <v>-</v>
          </cell>
          <cell r="CM229" t="str">
            <v>-</v>
          </cell>
          <cell r="CN229">
            <v>0</v>
          </cell>
          <cell r="CQ229" t="str">
            <v>non</v>
          </cell>
          <cell r="CX229">
            <v>0</v>
          </cell>
          <cell r="CY229">
            <v>1050888</v>
          </cell>
          <cell r="DA229">
            <v>268312</v>
          </cell>
          <cell r="DB229">
            <v>268312</v>
          </cell>
          <cell r="DE229">
            <v>11500</v>
          </cell>
          <cell r="DF229" t="str">
            <v>TCO</v>
          </cell>
          <cell r="DG229">
            <v>440000</v>
          </cell>
          <cell r="DJ229">
            <v>2039012</v>
          </cell>
          <cell r="DO229">
            <v>0</v>
          </cell>
          <cell r="DS229">
            <v>0</v>
          </cell>
          <cell r="DT229">
            <v>342429</v>
          </cell>
          <cell r="DU229">
            <v>2381441</v>
          </cell>
          <cell r="ED229" t="str">
            <v>G:\Habitat\OPERATIONNEL HABITAT\02- Operations\Photothèque\images locatifs\SANTORI\santorin.jpg</v>
          </cell>
          <cell r="EE229" t="str">
            <v>G:\Habitat\OPERATIONNEL HABITAT\02- Operations\Photothèque\image non disponible.jpg</v>
          </cell>
          <cell r="EJ229">
            <v>36000</v>
          </cell>
        </row>
        <row r="230">
          <cell r="A230" t="str">
            <v>SAY PISCINE 1</v>
          </cell>
          <cell r="B230">
            <v>9493</v>
          </cell>
          <cell r="C230" t="str">
            <v>OUEST</v>
          </cell>
          <cell r="D230" t="str">
            <v>Port</v>
          </cell>
          <cell r="E230" t="str">
            <v>RHI SAY PISCINE</v>
          </cell>
          <cell r="F230">
            <v>18</v>
          </cell>
          <cell r="G230" t="str">
            <v>LESG</v>
          </cell>
          <cell r="J230" t="str">
            <v>IND</v>
          </cell>
          <cell r="K230" t="str">
            <v>CF</v>
          </cell>
          <cell r="L230" t="str">
            <v>SIDR</v>
          </cell>
          <cell r="N230" t="str">
            <v>EC</v>
          </cell>
          <cell r="O230" t="str">
            <v>FG</v>
          </cell>
          <cell r="P230" t="str">
            <v>LV</v>
          </cell>
          <cell r="Q230" t="str">
            <v>OP</v>
          </cell>
          <cell r="R230">
            <v>2003</v>
          </cell>
          <cell r="U230" t="str">
            <v>ATELIER GAZUT</v>
          </cell>
          <cell r="V230" t="str">
            <v>M - LIVRE/GPA</v>
          </cell>
          <cell r="W230">
            <v>37820</v>
          </cell>
          <cell r="X230" t="str">
            <v>d</v>
          </cell>
          <cell r="Z230">
            <v>37904</v>
          </cell>
          <cell r="AA230" t="str">
            <v>o</v>
          </cell>
          <cell r="AB230" t="str">
            <v>validé</v>
          </cell>
          <cell r="AC230" t="str">
            <v/>
          </cell>
          <cell r="AD230">
            <v>39224</v>
          </cell>
          <cell r="AE230">
            <v>37915</v>
          </cell>
          <cell r="AF230" t="str">
            <v>f</v>
          </cell>
          <cell r="AG230">
            <v>37977</v>
          </cell>
          <cell r="AH230">
            <v>38153</v>
          </cell>
          <cell r="AI230" t="str">
            <v>ao</v>
          </cell>
          <cell r="AJ230">
            <v>38292</v>
          </cell>
          <cell r="AK230" t="str">
            <v/>
          </cell>
          <cell r="AL230">
            <v>4.5699631772751186</v>
          </cell>
          <cell r="AM230">
            <v>2004</v>
          </cell>
          <cell r="AN230">
            <v>16</v>
          </cell>
          <cell r="AO230">
            <v>38777</v>
          </cell>
          <cell r="AP230">
            <v>39187</v>
          </cell>
          <cell r="AQ230" t="str">
            <v>li</v>
          </cell>
          <cell r="AR230">
            <v>2007</v>
          </cell>
          <cell r="CJ230" t="str">
            <v>-</v>
          </cell>
          <cell r="CK230" t="str">
            <v>-</v>
          </cell>
          <cell r="CL230" t="str">
            <v>-</v>
          </cell>
          <cell r="CM230" t="str">
            <v>-</v>
          </cell>
          <cell r="CN230">
            <v>0</v>
          </cell>
          <cell r="CQ230" t="str">
            <v>oui</v>
          </cell>
          <cell r="CX230">
            <v>0</v>
          </cell>
          <cell r="DE230">
            <v>0</v>
          </cell>
          <cell r="DJ230">
            <v>0</v>
          </cell>
          <cell r="DO230">
            <v>0</v>
          </cell>
          <cell r="DS230">
            <v>0</v>
          </cell>
          <cell r="DT230">
            <v>0</v>
          </cell>
          <cell r="DU230">
            <v>0</v>
          </cell>
          <cell r="ED230" t="str">
            <v>G:\Habitat\OPERATIONNEL HABITAT\02- Operations\Photothèque\image non disponible.jpg</v>
          </cell>
          <cell r="EE230" t="str">
            <v>G:\Habitat\OPERATIONNEL HABITAT\02- Operations\Photothèque\image non disponible.jpg</v>
          </cell>
        </row>
        <row r="231">
          <cell r="A231" t="str">
            <v>SAY PISCINE 2</v>
          </cell>
          <cell r="B231">
            <v>9557</v>
          </cell>
          <cell r="C231" t="str">
            <v>OUEST</v>
          </cell>
          <cell r="D231" t="str">
            <v>Port</v>
          </cell>
          <cell r="E231" t="str">
            <v>RHI SAY PISCINE</v>
          </cell>
          <cell r="F231">
            <v>12</v>
          </cell>
          <cell r="G231" t="str">
            <v>LESG</v>
          </cell>
          <cell r="J231" t="str">
            <v>IND</v>
          </cell>
          <cell r="K231" t="str">
            <v>CF</v>
          </cell>
          <cell r="L231" t="str">
            <v>SIDR</v>
          </cell>
          <cell r="N231" t="str">
            <v>BS</v>
          </cell>
          <cell r="O231" t="str">
            <v>FG</v>
          </cell>
          <cell r="P231" t="str">
            <v>LV</v>
          </cell>
          <cell r="Q231" t="str">
            <v>OP</v>
          </cell>
          <cell r="R231">
            <v>2004</v>
          </cell>
          <cell r="T231" t="str">
            <v>demande solaire refusé/libération 2 lots très difficile/DA pour vente 6 les g ???</v>
          </cell>
          <cell r="U231" t="str">
            <v>ATELIER GAZUT</v>
          </cell>
          <cell r="V231" t="str">
            <v>L - CHANTIER EN COURS</v>
          </cell>
          <cell r="W231">
            <v>38201</v>
          </cell>
          <cell r="X231" t="str">
            <v>d</v>
          </cell>
          <cell r="Y231" t="str">
            <v>94440704a0064</v>
          </cell>
          <cell r="Z231">
            <v>38446</v>
          </cell>
          <cell r="AA231" t="str">
            <v>o</v>
          </cell>
          <cell r="AB231" t="str">
            <v>validé</v>
          </cell>
          <cell r="AC231" t="str">
            <v/>
          </cell>
          <cell r="AD231">
            <v>39224</v>
          </cell>
          <cell r="AE231">
            <v>38224</v>
          </cell>
          <cell r="AF231" t="str">
            <v>f</v>
          </cell>
          <cell r="AG231">
            <v>38285</v>
          </cell>
          <cell r="AH231">
            <v>39001</v>
          </cell>
          <cell r="AI231" t="str">
            <v>ao</v>
          </cell>
          <cell r="AJ231">
            <v>39377</v>
          </cell>
          <cell r="AK231" t="str">
            <v/>
          </cell>
          <cell r="AL231">
            <v>12.361914781693844</v>
          </cell>
          <cell r="AM231">
            <v>2007</v>
          </cell>
          <cell r="AN231">
            <v>16</v>
          </cell>
          <cell r="AO231">
            <v>39866</v>
          </cell>
          <cell r="AP231">
            <v>39881</v>
          </cell>
          <cell r="AQ231" t="str">
            <v>li</v>
          </cell>
          <cell r="AR231">
            <v>2009</v>
          </cell>
          <cell r="CJ231" t="str">
            <v>-</v>
          </cell>
          <cell r="CK231" t="str">
            <v>-</v>
          </cell>
          <cell r="CL231" t="str">
            <v>-</v>
          </cell>
          <cell r="CM231" t="str">
            <v>-</v>
          </cell>
          <cell r="CN231">
            <v>0</v>
          </cell>
          <cell r="CQ231" t="str">
            <v>non</v>
          </cell>
          <cell r="CX231">
            <v>0</v>
          </cell>
          <cell r="DE231">
            <v>0</v>
          </cell>
          <cell r="DJ231">
            <v>0</v>
          </cell>
          <cell r="DO231">
            <v>0</v>
          </cell>
          <cell r="DS231">
            <v>0</v>
          </cell>
          <cell r="DT231">
            <v>0</v>
          </cell>
          <cell r="DU231">
            <v>0</v>
          </cell>
          <cell r="ED231" t="str">
            <v>G:\Habitat\OPERATIONNEL HABITAT\02- Operations\Photothèque\image non disponible.jpg</v>
          </cell>
          <cell r="EE231" t="str">
            <v>G:\Habitat\OPERATIONNEL HABITAT\02- Operations\Photothèque\image non disponible.jpg</v>
          </cell>
        </row>
        <row r="232">
          <cell r="A232" t="str">
            <v>SAY PISCINE 3</v>
          </cell>
          <cell r="B232">
            <v>9623</v>
          </cell>
          <cell r="C232" t="str">
            <v>OUEST</v>
          </cell>
          <cell r="D232" t="str">
            <v>Port</v>
          </cell>
          <cell r="E232" t="str">
            <v>RHI SAY PISCINE</v>
          </cell>
          <cell r="F232">
            <v>11</v>
          </cell>
          <cell r="G232" t="str">
            <v>LESG</v>
          </cell>
          <cell r="J232" t="str">
            <v>IND</v>
          </cell>
          <cell r="K232" t="str">
            <v>CF</v>
          </cell>
          <cell r="L232" t="str">
            <v>SIDR</v>
          </cell>
          <cell r="M232" t="str">
            <v>maitrisé</v>
          </cell>
          <cell r="N232" t="str">
            <v>BS</v>
          </cell>
          <cell r="O232" t="str">
            <v>FG</v>
          </cell>
          <cell r="P232" t="str">
            <v>LV</v>
          </cell>
          <cell r="Q232" t="str">
            <v>OP</v>
          </cell>
          <cell r="R232">
            <v>2005</v>
          </cell>
          <cell r="T232" t="str">
            <v>DA ? Libération ?</v>
          </cell>
          <cell r="U232" t="str">
            <v>SOAA MEUNIER</v>
          </cell>
          <cell r="V232" t="str">
            <v>L - CHANTIER EN COURS</v>
          </cell>
          <cell r="W232">
            <v>38616</v>
          </cell>
          <cell r="X232" t="str">
            <v>d</v>
          </cell>
          <cell r="Y232" t="str">
            <v>97440705a0087</v>
          </cell>
          <cell r="Z232">
            <v>38810</v>
          </cell>
          <cell r="AA232" t="str">
            <v>o</v>
          </cell>
          <cell r="AB232" t="str">
            <v>validé</v>
          </cell>
          <cell r="AC232" t="str">
            <v/>
          </cell>
          <cell r="AD232">
            <v>39224</v>
          </cell>
          <cell r="AE232">
            <v>38624</v>
          </cell>
          <cell r="AF232" t="str">
            <v>f</v>
          </cell>
          <cell r="AG232">
            <v>38695</v>
          </cell>
          <cell r="AH232">
            <v>39001</v>
          </cell>
          <cell r="AI232" t="str">
            <v>ao</v>
          </cell>
          <cell r="AJ232">
            <v>39377</v>
          </cell>
          <cell r="AK232" t="str">
            <v/>
          </cell>
          <cell r="AL232">
            <v>12.361914781693844</v>
          </cell>
          <cell r="AM232">
            <v>2007</v>
          </cell>
          <cell r="AN232">
            <v>17</v>
          </cell>
          <cell r="AO232">
            <v>39894</v>
          </cell>
          <cell r="AP232">
            <v>39909</v>
          </cell>
          <cell r="AQ232" t="str">
            <v>li</v>
          </cell>
          <cell r="AR232">
            <v>2009</v>
          </cell>
          <cell r="CJ232" t="str">
            <v>-</v>
          </cell>
          <cell r="CK232" t="str">
            <v>-</v>
          </cell>
          <cell r="CL232" t="str">
            <v>-</v>
          </cell>
          <cell r="CM232" t="str">
            <v>-</v>
          </cell>
          <cell r="CN232">
            <v>0</v>
          </cell>
          <cell r="CQ232" t="str">
            <v>non</v>
          </cell>
          <cell r="CX232">
            <v>0</v>
          </cell>
          <cell r="DE232">
            <v>0</v>
          </cell>
          <cell r="DJ232">
            <v>0</v>
          </cell>
          <cell r="DO232">
            <v>0</v>
          </cell>
          <cell r="DS232">
            <v>0</v>
          </cell>
          <cell r="DT232">
            <v>0</v>
          </cell>
          <cell r="DU232">
            <v>0</v>
          </cell>
          <cell r="ED232" t="str">
            <v>G:\Habitat\OPERATIONNEL HABITAT\02- Operations\Photothèque\image non disponible.jpg</v>
          </cell>
          <cell r="EE232" t="str">
            <v>G:\Habitat\OPERATIONNEL HABITAT\02- Operations\Photothèque\image non disponible.jpg</v>
          </cell>
        </row>
        <row r="233">
          <cell r="A233" t="str">
            <v>SAY PISCINE 4</v>
          </cell>
          <cell r="B233">
            <v>9711</v>
          </cell>
          <cell r="C233" t="str">
            <v>OUEST</v>
          </cell>
          <cell r="D233" t="str">
            <v>Port</v>
          </cell>
          <cell r="E233" t="str">
            <v>RHI SAY PISCINE</v>
          </cell>
          <cell r="F233">
            <v>10</v>
          </cell>
          <cell r="G233" t="str">
            <v>LESG</v>
          </cell>
          <cell r="J233" t="str">
            <v>IND</v>
          </cell>
          <cell r="K233" t="str">
            <v>CF</v>
          </cell>
          <cell r="L233" t="str">
            <v>SIDR</v>
          </cell>
          <cell r="M233" t="str">
            <v>maitrisé</v>
          </cell>
          <cell r="N233" t="str">
            <v>BS</v>
          </cell>
          <cell r="O233" t="str">
            <v>FG</v>
          </cell>
          <cell r="P233" t="str">
            <v>LV</v>
          </cell>
          <cell r="Q233" t="str">
            <v>OP</v>
          </cell>
          <cell r="R233">
            <v>2007</v>
          </cell>
          <cell r="S233">
            <v>1</v>
          </cell>
          <cell r="T233" t="str">
            <v>aléas fort | libération du foncier</v>
          </cell>
          <cell r="U233" t="str">
            <v>ATELIER GAZUT</v>
          </cell>
          <cell r="V233" t="str">
            <v>I - ACT</v>
          </cell>
          <cell r="W233">
            <v>39385</v>
          </cell>
          <cell r="X233" t="str">
            <v>d</v>
          </cell>
          <cell r="Y233" t="str">
            <v>97440707a0077</v>
          </cell>
          <cell r="Z233">
            <v>39485</v>
          </cell>
          <cell r="AA233" t="str">
            <v>o</v>
          </cell>
          <cell r="AC233" t="str">
            <v/>
          </cell>
          <cell r="AD233">
            <v>39387</v>
          </cell>
          <cell r="AE233">
            <v>39386</v>
          </cell>
          <cell r="AF233" t="str">
            <v>f</v>
          </cell>
          <cell r="AG233">
            <v>39435</v>
          </cell>
          <cell r="AH233">
            <v>39694</v>
          </cell>
          <cell r="AI233" t="str">
            <v>ao</v>
          </cell>
          <cell r="AJ233">
            <v>39918</v>
          </cell>
          <cell r="AK233" t="str">
            <v>ch</v>
          </cell>
          <cell r="AL233">
            <v>7.364544976328248</v>
          </cell>
          <cell r="AM233">
            <v>2009</v>
          </cell>
          <cell r="AN233">
            <v>16</v>
          </cell>
          <cell r="AO233">
            <v>40405</v>
          </cell>
          <cell r="AP233">
            <v>40420</v>
          </cell>
          <cell r="AQ233" t="str">
            <v/>
          </cell>
          <cell r="AR233">
            <v>2010</v>
          </cell>
          <cell r="CJ233" t="str">
            <v>-</v>
          </cell>
          <cell r="CK233" t="str">
            <v>-</v>
          </cell>
          <cell r="CL233" t="str">
            <v>-</v>
          </cell>
          <cell r="CN233">
            <v>0</v>
          </cell>
          <cell r="CQ233" t="str">
            <v>non</v>
          </cell>
          <cell r="CX233">
            <v>0</v>
          </cell>
          <cell r="DE233">
            <v>0</v>
          </cell>
          <cell r="DJ233">
            <v>0</v>
          </cell>
          <cell r="DO233">
            <v>0</v>
          </cell>
          <cell r="DS233">
            <v>0</v>
          </cell>
          <cell r="DT233">
            <v>0</v>
          </cell>
          <cell r="DU233">
            <v>0</v>
          </cell>
          <cell r="ED233" t="str">
            <v>G:\Habitat\OPERATIONNEL HABITAT\02- Operations\Photothèque\image non disponible.jpg</v>
          </cell>
          <cell r="EE233" t="str">
            <v>G:\Habitat\OPERATIONNEL HABITAT\02- Operations\Photothèque\image non disponible.jpg</v>
          </cell>
        </row>
        <row r="234">
          <cell r="A234" t="str">
            <v>SEYCHELLES</v>
          </cell>
          <cell r="B234">
            <v>9607</v>
          </cell>
          <cell r="C234" t="str">
            <v>SUD</v>
          </cell>
          <cell r="D234" t="str">
            <v>Saint-Louis</v>
          </cell>
          <cell r="E234" t="str">
            <v>ZAC AVENIR</v>
          </cell>
          <cell r="F234">
            <v>62</v>
          </cell>
          <cell r="G234" t="str">
            <v>LLTS</v>
          </cell>
          <cell r="J234" t="str">
            <v>COL</v>
          </cell>
          <cell r="K234" t="str">
            <v>CF</v>
          </cell>
          <cell r="L234" t="str">
            <v>SIDR</v>
          </cell>
          <cell r="N234" t="str">
            <v>PC</v>
          </cell>
          <cell r="O234" t="str">
            <v>DL</v>
          </cell>
          <cell r="P234" t="str">
            <v>CS</v>
          </cell>
          <cell r="Q234" t="str">
            <v>HBM</v>
          </cell>
          <cell r="R234">
            <v>2005</v>
          </cell>
          <cell r="T234" t="str">
            <v>ras</v>
          </cell>
          <cell r="U234" t="str">
            <v>MARAIS TESSIER</v>
          </cell>
          <cell r="V234" t="str">
            <v>M - LIVRE/GPA</v>
          </cell>
          <cell r="W234">
            <v>38538</v>
          </cell>
          <cell r="X234" t="str">
            <v>d</v>
          </cell>
          <cell r="Y234" t="str">
            <v>97441405A0346</v>
          </cell>
          <cell r="Z234">
            <v>38645</v>
          </cell>
          <cell r="AA234" t="str">
            <v>o</v>
          </cell>
          <cell r="AB234" t="str">
            <v>validé</v>
          </cell>
          <cell r="AC234" t="str">
            <v/>
          </cell>
          <cell r="AD234">
            <v>38624</v>
          </cell>
          <cell r="AE234">
            <v>38540</v>
          </cell>
          <cell r="AF234" t="str">
            <v>f</v>
          </cell>
          <cell r="AG234">
            <v>38722</v>
          </cell>
          <cell r="AH234">
            <v>38657</v>
          </cell>
          <cell r="AI234" t="str">
            <v>ao</v>
          </cell>
          <cell r="AJ234">
            <v>38831</v>
          </cell>
          <cell r="AK234" t="str">
            <v/>
          </cell>
          <cell r="AL234">
            <v>5.7206733298264067</v>
          </cell>
          <cell r="AM234">
            <v>2006</v>
          </cell>
          <cell r="AN234">
            <v>17</v>
          </cell>
          <cell r="AO234">
            <v>39314</v>
          </cell>
          <cell r="AP234">
            <v>39337</v>
          </cell>
          <cell r="AQ234" t="str">
            <v>li</v>
          </cell>
          <cell r="AR234">
            <v>2007</v>
          </cell>
          <cell r="AW234">
            <v>11</v>
          </cell>
          <cell r="AX234">
            <v>59</v>
          </cell>
          <cell r="BA234">
            <v>27</v>
          </cell>
          <cell r="BB234">
            <v>69</v>
          </cell>
          <cell r="BE234">
            <v>19</v>
          </cell>
          <cell r="BF234">
            <v>78</v>
          </cell>
          <cell r="BI234">
            <v>5</v>
          </cell>
          <cell r="BJ234">
            <v>96</v>
          </cell>
          <cell r="BK234">
            <v>62</v>
          </cell>
          <cell r="BL234">
            <v>4.2</v>
          </cell>
          <cell r="BM234">
            <v>0.82</v>
          </cell>
          <cell r="BN234">
            <v>0.2</v>
          </cell>
          <cell r="BO234" t="str">
            <v>signée</v>
          </cell>
          <cell r="BP234">
            <v>0.8</v>
          </cell>
          <cell r="BQ234" t="str">
            <v>signée</v>
          </cell>
          <cell r="BX234" t="str">
            <v>signé</v>
          </cell>
          <cell r="BY234">
            <v>4495</v>
          </cell>
          <cell r="BZ234">
            <v>5957</v>
          </cell>
          <cell r="CA234">
            <v>4684.18</v>
          </cell>
          <cell r="CE234" t="str">
            <v>ECS ind</v>
          </cell>
          <cell r="CF234">
            <v>229400</v>
          </cell>
          <cell r="CG234">
            <v>68820</v>
          </cell>
          <cell r="CH234">
            <v>103230</v>
          </cell>
          <cell r="CI234">
            <v>57350</v>
          </cell>
          <cell r="CJ234" t="str">
            <v>-</v>
          </cell>
          <cell r="CK234" t="str">
            <v>-</v>
          </cell>
          <cell r="CL234" t="str">
            <v>-</v>
          </cell>
          <cell r="CM234" t="str">
            <v>-</v>
          </cell>
          <cell r="CN234">
            <v>0</v>
          </cell>
          <cell r="CQ234" t="str">
            <v>oui</v>
          </cell>
          <cell r="CR234">
            <v>332259</v>
          </cell>
          <cell r="CT234">
            <v>3492687</v>
          </cell>
          <cell r="CX234">
            <v>3824946</v>
          </cell>
          <cell r="DE234">
            <v>172050</v>
          </cell>
          <cell r="DJ234">
            <v>172050</v>
          </cell>
          <cell r="DO234">
            <v>0</v>
          </cell>
          <cell r="DQ234">
            <v>91924</v>
          </cell>
          <cell r="DS234">
            <v>91924</v>
          </cell>
          <cell r="DT234">
            <v>183848</v>
          </cell>
          <cell r="DU234">
            <v>-3469048</v>
          </cell>
          <cell r="ED234" t="str">
            <v>G:\Habitat\OPERATIONNEL HABITAT\02- Operations\Photothèque\images locatifs\Seychelles\pers seychelles.jpg</v>
          </cell>
          <cell r="EE234" t="str">
            <v>G:\Habitat\OPERATIONNEL HABITAT\02- Operations\Photothèque\image non disponible.jpg</v>
          </cell>
        </row>
        <row r="235">
          <cell r="A235" t="str">
            <v>Solde LESg</v>
          </cell>
          <cell r="C235" t="str">
            <v>EST</v>
          </cell>
          <cell r="D235" t="str">
            <v>Saint-Benoît</v>
          </cell>
          <cell r="E235" t="str">
            <v>ZAC ENTREE DE VILLE ST ANNE</v>
          </cell>
          <cell r="F235">
            <v>7</v>
          </cell>
          <cell r="G235" t="str">
            <v>LESG</v>
          </cell>
          <cell r="J235" t="str">
            <v>MV</v>
          </cell>
          <cell r="K235" t="str">
            <v>CF</v>
          </cell>
          <cell r="L235" t="str">
            <v>SIDR</v>
          </cell>
          <cell r="N235" t="str">
            <v>BS</v>
          </cell>
          <cell r="R235">
            <v>2011</v>
          </cell>
          <cell r="AA235" t="str">
            <v/>
          </cell>
          <cell r="AC235" t="str">
            <v/>
          </cell>
          <cell r="AI235" t="str">
            <v/>
          </cell>
          <cell r="AK235" t="str">
            <v/>
          </cell>
          <cell r="AL235">
            <v>0</v>
          </cell>
          <cell r="AQ235" t="str">
            <v/>
          </cell>
          <cell r="CJ235" t="str">
            <v>-</v>
          </cell>
          <cell r="CK235" t="str">
            <v>-</v>
          </cell>
          <cell r="CL235" t="str">
            <v>-</v>
          </cell>
          <cell r="CM235" t="str">
            <v>-</v>
          </cell>
          <cell r="CN235">
            <v>0</v>
          </cell>
          <cell r="CQ235" t="str">
            <v>non</v>
          </cell>
          <cell r="CX235">
            <v>0</v>
          </cell>
          <cell r="DE235">
            <v>0</v>
          </cell>
          <cell r="DJ235">
            <v>0</v>
          </cell>
          <cell r="DO235">
            <v>0</v>
          </cell>
          <cell r="DS235">
            <v>0</v>
          </cell>
          <cell r="DT235">
            <v>0</v>
          </cell>
          <cell r="DU235">
            <v>0</v>
          </cell>
          <cell r="ED235" t="str">
            <v>G:\Habitat\OPERATIONNEL HABITAT\02- Operations\Photothèque\image non disponible.jpg</v>
          </cell>
          <cell r="EE235" t="str">
            <v>G:\Habitat\OPERATIONNEL HABITAT\02- Operations\Photothèque\image non disponible.jpg</v>
          </cell>
        </row>
        <row r="236">
          <cell r="A236" t="str">
            <v>STADE 1</v>
          </cell>
          <cell r="B236">
            <v>9618</v>
          </cell>
          <cell r="C236" t="str">
            <v>SUD</v>
          </cell>
          <cell r="D236" t="str">
            <v>Saint-Louis</v>
          </cell>
          <cell r="E236" t="str">
            <v>RHI DU STADE</v>
          </cell>
          <cell r="F236">
            <v>13</v>
          </cell>
          <cell r="G236" t="str">
            <v>LESG</v>
          </cell>
          <cell r="J236" t="str">
            <v>IND</v>
          </cell>
          <cell r="K236" t="str">
            <v>CF</v>
          </cell>
          <cell r="L236" t="str">
            <v>SIDR</v>
          </cell>
          <cell r="N236" t="str">
            <v>BS</v>
          </cell>
          <cell r="O236" t="str">
            <v>FG</v>
          </cell>
          <cell r="P236" t="str">
            <v>LV</v>
          </cell>
          <cell r="Q236" t="str">
            <v>HBM</v>
          </cell>
          <cell r="R236">
            <v>2005</v>
          </cell>
          <cell r="T236" t="str">
            <v>verif propriéte avec amenageur/da/notaire etc</v>
          </cell>
          <cell r="U236" t="str">
            <v>SOAA MEUNIER</v>
          </cell>
          <cell r="V236" t="str">
            <v>M - LIVRE/GPA</v>
          </cell>
          <cell r="W236">
            <v>38610</v>
          </cell>
          <cell r="X236" t="str">
            <v>d</v>
          </cell>
          <cell r="Y236" t="str">
            <v>97441405a478</v>
          </cell>
          <cell r="Z236">
            <v>38720</v>
          </cell>
          <cell r="AA236" t="str">
            <v>o</v>
          </cell>
          <cell r="AB236" t="str">
            <v>validé</v>
          </cell>
          <cell r="AC236" t="str">
            <v/>
          </cell>
          <cell r="AD236">
            <v>38624</v>
          </cell>
          <cell r="AE236">
            <v>38621</v>
          </cell>
          <cell r="AF236" t="str">
            <v>f</v>
          </cell>
          <cell r="AG236">
            <v>38695</v>
          </cell>
          <cell r="AH236">
            <v>38883</v>
          </cell>
          <cell r="AI236" t="str">
            <v>ao</v>
          </cell>
          <cell r="AJ236">
            <v>39146</v>
          </cell>
          <cell r="AK236" t="str">
            <v/>
          </cell>
          <cell r="AL236">
            <v>8.646764860599685</v>
          </cell>
          <cell r="AM236">
            <v>2007</v>
          </cell>
          <cell r="AN236">
            <v>21</v>
          </cell>
          <cell r="AO236">
            <v>39787</v>
          </cell>
          <cell r="AP236">
            <v>39802</v>
          </cell>
          <cell r="AQ236" t="str">
            <v>li</v>
          </cell>
          <cell r="AR236">
            <v>2008</v>
          </cell>
          <cell r="CJ236" t="str">
            <v>-</v>
          </cell>
          <cell r="CK236" t="str">
            <v>-</v>
          </cell>
          <cell r="CL236" t="str">
            <v>-</v>
          </cell>
          <cell r="CM236" t="str">
            <v>-</v>
          </cell>
          <cell r="CN236">
            <v>0</v>
          </cell>
          <cell r="CQ236" t="str">
            <v>oui</v>
          </cell>
          <cell r="CX236">
            <v>0</v>
          </cell>
          <cell r="DE236">
            <v>0</v>
          </cell>
          <cell r="DJ236">
            <v>0</v>
          </cell>
          <cell r="DO236">
            <v>0</v>
          </cell>
          <cell r="DS236">
            <v>0</v>
          </cell>
          <cell r="DT236">
            <v>0</v>
          </cell>
          <cell r="DU236">
            <v>0</v>
          </cell>
          <cell r="ED236" t="str">
            <v>G:\Habitat\OPERATIONNEL HABITAT\02- Operations\Photothèque\image non disponible.jpg</v>
          </cell>
          <cell r="EE236" t="str">
            <v>G:\Habitat\OPERATIONNEL HABITAT\02- Operations\Photothèque\image non disponible.jpg</v>
          </cell>
        </row>
        <row r="237">
          <cell r="A237" t="str">
            <v>SUMATRA</v>
          </cell>
          <cell r="B237">
            <v>9687</v>
          </cell>
          <cell r="C237" t="str">
            <v>SUD</v>
          </cell>
          <cell r="D237" t="str">
            <v>Saint-Louis</v>
          </cell>
          <cell r="E237" t="str">
            <v>ZAC AVENIR</v>
          </cell>
          <cell r="F237">
            <v>36</v>
          </cell>
          <cell r="G237" t="str">
            <v>LLTS</v>
          </cell>
          <cell r="J237" t="str">
            <v>COL</v>
          </cell>
          <cell r="K237" t="str">
            <v>CF</v>
          </cell>
          <cell r="L237" t="str">
            <v>SIDR</v>
          </cell>
          <cell r="M237" t="str">
            <v>maitrisé</v>
          </cell>
          <cell r="N237" t="str">
            <v>JEM</v>
          </cell>
          <cell r="O237" t="str">
            <v>DL</v>
          </cell>
          <cell r="P237" t="str">
            <v>CS</v>
          </cell>
          <cell r="Q237" t="str">
            <v>HBM</v>
          </cell>
          <cell r="R237">
            <v>2007</v>
          </cell>
          <cell r="S237">
            <v>1</v>
          </cell>
          <cell r="T237" t="str">
            <v>Prestations ???</v>
          </cell>
          <cell r="U237" t="str">
            <v>JP RAVAUX</v>
          </cell>
          <cell r="V237" t="str">
            <v>H - APPEL D'OFFRES</v>
          </cell>
          <cell r="W237">
            <v>39217</v>
          </cell>
          <cell r="X237" t="str">
            <v>d</v>
          </cell>
          <cell r="Y237" t="str">
            <v>97441407A0198</v>
          </cell>
          <cell r="Z237">
            <v>39283</v>
          </cell>
          <cell r="AA237" t="str">
            <v>o</v>
          </cell>
          <cell r="AB237">
            <v>39170</v>
          </cell>
          <cell r="AC237" t="str">
            <v>v</v>
          </cell>
          <cell r="AD237">
            <v>39231</v>
          </cell>
          <cell r="AE237">
            <v>39245</v>
          </cell>
          <cell r="AF237" t="str">
            <v>f</v>
          </cell>
          <cell r="AG237">
            <v>39316</v>
          </cell>
          <cell r="AH237">
            <v>39616</v>
          </cell>
          <cell r="AI237" t="str">
            <v>ao</v>
          </cell>
          <cell r="AJ237">
            <v>39799</v>
          </cell>
          <cell r="AK237" t="str">
            <v>ch</v>
          </cell>
          <cell r="AL237">
            <v>6.0165702261967384</v>
          </cell>
          <cell r="AM237">
            <v>2008</v>
          </cell>
          <cell r="AN237">
            <v>16</v>
          </cell>
          <cell r="AO237">
            <v>40285</v>
          </cell>
          <cell r="AP237">
            <v>40300</v>
          </cell>
          <cell r="AQ237" t="str">
            <v/>
          </cell>
          <cell r="AR237">
            <v>2010</v>
          </cell>
          <cell r="BK237">
            <v>0</v>
          </cell>
          <cell r="BL237">
            <v>4.76</v>
          </cell>
          <cell r="BO237" t="str">
            <v>à faire</v>
          </cell>
          <cell r="BQ237" t="str">
            <v>à faire</v>
          </cell>
          <cell r="BX237" t="str">
            <v>En attente accord de principe</v>
          </cell>
          <cell r="BY237">
            <v>4959</v>
          </cell>
          <cell r="BZ237">
            <v>2840</v>
          </cell>
          <cell r="CA237">
            <v>2574</v>
          </cell>
          <cell r="CJ237" t="str">
            <v>SCI Saint André</v>
          </cell>
          <cell r="CK237" t="str">
            <v>INFI</v>
          </cell>
          <cell r="CL237">
            <v>39773</v>
          </cell>
          <cell r="CM237" t="str">
            <v>-</v>
          </cell>
          <cell r="CN237">
            <v>0</v>
          </cell>
          <cell r="CO237" t="str">
            <v>199 undecies A</v>
          </cell>
          <cell r="CQ237" t="str">
            <v>non</v>
          </cell>
          <cell r="CX237">
            <v>0</v>
          </cell>
          <cell r="DE237">
            <v>0</v>
          </cell>
          <cell r="DJ237">
            <v>0</v>
          </cell>
          <cell r="DO237">
            <v>0</v>
          </cell>
          <cell r="DS237">
            <v>0</v>
          </cell>
          <cell r="DT237">
            <v>0</v>
          </cell>
          <cell r="DU237">
            <v>0</v>
          </cell>
          <cell r="ED237" t="str">
            <v>G:\Habitat\OPERATIONNEL HABITAT\02- Operations\Photothèque\image non disponible.jpg</v>
          </cell>
          <cell r="EE237" t="str">
            <v>G:\Habitat\OPERATIONNEL HABITAT\02- Operations\Photothèque\image non disponible.jpg</v>
          </cell>
        </row>
        <row r="238">
          <cell r="A238" t="str">
            <v>TALIPOT</v>
          </cell>
          <cell r="B238">
            <v>9647</v>
          </cell>
          <cell r="C238" t="str">
            <v>EST</v>
          </cell>
          <cell r="D238" t="str">
            <v>Saint-André</v>
          </cell>
          <cell r="E238" t="str">
            <v>ZAC CRESSONIERE</v>
          </cell>
          <cell r="F238">
            <v>32</v>
          </cell>
          <cell r="G238" t="str">
            <v>LLS</v>
          </cell>
          <cell r="J238" t="str">
            <v>COL</v>
          </cell>
          <cell r="K238" t="str">
            <v>CF</v>
          </cell>
          <cell r="L238" t="str">
            <v>SIDR</v>
          </cell>
          <cell r="M238" t="str">
            <v>maitrisé</v>
          </cell>
          <cell r="N238" t="str">
            <v>JPM</v>
          </cell>
          <cell r="O238" t="str">
            <v>JH</v>
          </cell>
          <cell r="P238" t="str">
            <v>CC</v>
          </cell>
          <cell r="Q238" t="str">
            <v>SPG</v>
          </cell>
          <cell r="R238">
            <v>2006</v>
          </cell>
          <cell r="S238">
            <v>0</v>
          </cell>
          <cell r="T238" t="str">
            <v>DF OK</v>
          </cell>
          <cell r="U238" t="str">
            <v>LAFON MIGNOT</v>
          </cell>
          <cell r="V238" t="str">
            <v>L - CHANTIER EN COURS</v>
          </cell>
          <cell r="W238">
            <v>38896</v>
          </cell>
          <cell r="X238" t="str">
            <v>d</v>
          </cell>
          <cell r="Y238" t="str">
            <v>97440906A0358</v>
          </cell>
          <cell r="Z238">
            <v>39426</v>
          </cell>
          <cell r="AA238" t="str">
            <v>o</v>
          </cell>
          <cell r="AB238">
            <v>38974</v>
          </cell>
          <cell r="AC238" t="str">
            <v>v</v>
          </cell>
          <cell r="AD238">
            <v>38990</v>
          </cell>
          <cell r="AE238">
            <v>38904</v>
          </cell>
          <cell r="AF238" t="str">
            <v>f</v>
          </cell>
          <cell r="AG238">
            <v>39093</v>
          </cell>
          <cell r="AH238">
            <v>39550</v>
          </cell>
          <cell r="AI238" t="str">
            <v>ao</v>
          </cell>
          <cell r="AJ238">
            <v>39633</v>
          </cell>
          <cell r="AK238" t="str">
            <v>ch</v>
          </cell>
          <cell r="AL238">
            <v>2.7288269331930564</v>
          </cell>
          <cell r="AM238">
            <v>2008</v>
          </cell>
          <cell r="AN238">
            <v>15</v>
          </cell>
          <cell r="AO238">
            <v>40090</v>
          </cell>
          <cell r="AP238">
            <v>40105</v>
          </cell>
          <cell r="AQ238" t="str">
            <v/>
          </cell>
          <cell r="AR238">
            <v>2009</v>
          </cell>
          <cell r="AS238">
            <v>2</v>
          </cell>
          <cell r="AT238">
            <v>31</v>
          </cell>
          <cell r="AW238">
            <v>4</v>
          </cell>
          <cell r="AX238">
            <v>60</v>
          </cell>
          <cell r="BA238">
            <v>14</v>
          </cell>
          <cell r="BB238">
            <v>70</v>
          </cell>
          <cell r="BE238">
            <v>10</v>
          </cell>
          <cell r="BF238">
            <v>83</v>
          </cell>
          <cell r="BI238">
            <v>2</v>
          </cell>
          <cell r="BJ238">
            <v>101</v>
          </cell>
          <cell r="BK238">
            <v>32</v>
          </cell>
          <cell r="BL238">
            <v>5.69</v>
          </cell>
          <cell r="BM238">
            <v>0.82</v>
          </cell>
          <cell r="BO238" t="str">
            <v>à faire</v>
          </cell>
          <cell r="BQ238" t="str">
            <v>à faire</v>
          </cell>
          <cell r="BX238" t="str">
            <v>demande à faire</v>
          </cell>
          <cell r="BY238">
            <v>2272</v>
          </cell>
          <cell r="BZ238">
            <v>2782</v>
          </cell>
          <cell r="CA238">
            <v>2318.1999999999998</v>
          </cell>
          <cell r="CE238" t="str">
            <v>ECS ind</v>
          </cell>
          <cell r="CF238">
            <v>118400</v>
          </cell>
          <cell r="CG238">
            <v>35520</v>
          </cell>
          <cell r="CH238">
            <v>53280</v>
          </cell>
          <cell r="CI238">
            <v>29600</v>
          </cell>
          <cell r="CJ238" t="str">
            <v>SNC Talipot</v>
          </cell>
          <cell r="CK238" t="str">
            <v>-</v>
          </cell>
          <cell r="CL238" t="str">
            <v>-</v>
          </cell>
          <cell r="CM238" t="str">
            <v>-</v>
          </cell>
          <cell r="CN238">
            <v>0</v>
          </cell>
          <cell r="CQ238" t="str">
            <v>non</v>
          </cell>
          <cell r="CX238">
            <v>0</v>
          </cell>
          <cell r="DE238">
            <v>88800</v>
          </cell>
          <cell r="DJ238">
            <v>88800</v>
          </cell>
          <cell r="DO238">
            <v>0</v>
          </cell>
          <cell r="DQ238">
            <v>103675</v>
          </cell>
          <cell r="DR238">
            <v>35000</v>
          </cell>
          <cell r="DS238">
            <v>138675</v>
          </cell>
          <cell r="DT238">
            <v>277350</v>
          </cell>
          <cell r="DU238">
            <v>366150</v>
          </cell>
          <cell r="ED238" t="str">
            <v>G:\Habitat\OPERATIONNEL HABITAT\02- Operations\Photothèque\images locatifs\TALIPOT\talipot2.jpg</v>
          </cell>
          <cell r="EE238" t="str">
            <v>G:\Habitat\OPERATIONNEL HABITAT\02- Operations\Photothèque\images locatifs\TALIPOT\talipot persp.jpg</v>
          </cell>
        </row>
        <row r="239">
          <cell r="A239" t="str">
            <v>TAMARINES</v>
          </cell>
          <cell r="C239" t="str">
            <v>EST</v>
          </cell>
          <cell r="D239" t="str">
            <v>Bras Panon</v>
          </cell>
          <cell r="F239">
            <v>30</v>
          </cell>
          <cell r="G239" t="str">
            <v>LLS</v>
          </cell>
          <cell r="J239" t="str">
            <v>COL</v>
          </cell>
          <cell r="N239" t="str">
            <v>Cla</v>
          </cell>
          <cell r="R239">
            <v>2012</v>
          </cell>
          <cell r="T239" t="str">
            <v>VEFA PROLOGIA CA 9/12/2008 ?</v>
          </cell>
          <cell r="AA239" t="str">
            <v/>
          </cell>
          <cell r="AC239" t="str">
            <v/>
          </cell>
          <cell r="AI239" t="str">
            <v/>
          </cell>
          <cell r="AK239" t="str">
            <v/>
          </cell>
          <cell r="AL239">
            <v>0</v>
          </cell>
          <cell r="AQ239" t="str">
            <v/>
          </cell>
          <cell r="CJ239" t="str">
            <v>-</v>
          </cell>
          <cell r="CK239" t="str">
            <v>-</v>
          </cell>
          <cell r="CL239" t="str">
            <v>-</v>
          </cell>
          <cell r="CM239" t="str">
            <v>-</v>
          </cell>
          <cell r="CN239">
            <v>0</v>
          </cell>
          <cell r="CQ239" t="str">
            <v>non</v>
          </cell>
          <cell r="CX239">
            <v>0</v>
          </cell>
          <cell r="DE239">
            <v>0</v>
          </cell>
          <cell r="DJ239">
            <v>0</v>
          </cell>
          <cell r="DO239">
            <v>0</v>
          </cell>
          <cell r="DS239">
            <v>0</v>
          </cell>
          <cell r="DT239">
            <v>0</v>
          </cell>
          <cell r="DU239">
            <v>0</v>
          </cell>
          <cell r="ED239" t="str">
            <v>G:\Habitat\OPERATIONNEL HABITAT\02- Operations\Photothèque\image non disponible.jpg</v>
          </cell>
          <cell r="EE239" t="str">
            <v>G:\Habitat\OPERATIONNEL HABITAT\02- Operations\Photothèque\image non disponible.jpg</v>
          </cell>
        </row>
        <row r="240">
          <cell r="A240" t="str">
            <v>TEK TEK</v>
          </cell>
          <cell r="C240" t="str">
            <v>NORD</v>
          </cell>
          <cell r="D240" t="str">
            <v>Saint-Denis</v>
          </cell>
          <cell r="E240" t="str">
            <v>RHI PETITE ILE</v>
          </cell>
          <cell r="F240">
            <v>20</v>
          </cell>
          <cell r="G240" t="str">
            <v>LLTS</v>
          </cell>
          <cell r="J240" t="str">
            <v>MV</v>
          </cell>
          <cell r="K240" t="str">
            <v>CF</v>
          </cell>
          <cell r="L240" t="str">
            <v>SIDR</v>
          </cell>
          <cell r="N240" t="str">
            <v>JPM</v>
          </cell>
          <cell r="Q240" t="str">
            <v>SM</v>
          </cell>
          <cell r="R240">
            <v>2011</v>
          </cell>
          <cell r="T240" t="str">
            <v>Modification du nombre de logement (initialement 20) - problème de libération de terrain suite à retard sur paille en queue</v>
          </cell>
          <cell r="V240" t="str">
            <v>A - NON LANCE</v>
          </cell>
          <cell r="X240" t="str">
            <v/>
          </cell>
          <cell r="AA240" t="str">
            <v/>
          </cell>
          <cell r="AC240" t="str">
            <v/>
          </cell>
          <cell r="AF240" t="str">
            <v/>
          </cell>
          <cell r="AI240" t="str">
            <v/>
          </cell>
          <cell r="AK240" t="str">
            <v/>
          </cell>
          <cell r="AL240">
            <v>0</v>
          </cell>
          <cell r="AM240" t="str">
            <v/>
          </cell>
          <cell r="AO240" t="str">
            <v/>
          </cell>
          <cell r="AP240" t="str">
            <v/>
          </cell>
          <cell r="AQ240" t="str">
            <v/>
          </cell>
          <cell r="CJ240" t="str">
            <v>-</v>
          </cell>
          <cell r="CK240" t="str">
            <v>-</v>
          </cell>
          <cell r="CL240" t="str">
            <v>-</v>
          </cell>
          <cell r="CM240" t="str">
            <v>-</v>
          </cell>
          <cell r="CN240">
            <v>0</v>
          </cell>
          <cell r="CQ240" t="str">
            <v>non</v>
          </cell>
          <cell r="CX240">
            <v>0</v>
          </cell>
          <cell r="DE240">
            <v>0</v>
          </cell>
          <cell r="DJ240">
            <v>0</v>
          </cell>
          <cell r="DO240">
            <v>0</v>
          </cell>
          <cell r="DS240">
            <v>0</v>
          </cell>
          <cell r="DT240">
            <v>0</v>
          </cell>
          <cell r="DU240">
            <v>0</v>
          </cell>
          <cell r="ED240" t="str">
            <v>G:\Habitat\OPERATIONNEL HABITAT\02- Operations\Photothèque\image non disponible.jpg</v>
          </cell>
          <cell r="EE240" t="str">
            <v>G:\Habitat\OPERATIONNEL HABITAT\02- Operations\Photothèque\image non disponible.jpg</v>
          </cell>
          <cell r="EX240" t="str">
            <v>SECTION AB</v>
          </cell>
        </row>
        <row r="241">
          <cell r="A241" t="str">
            <v>BOULEVARD DORE</v>
          </cell>
          <cell r="C241" t="str">
            <v>NORD</v>
          </cell>
          <cell r="D241" t="str">
            <v>Saint-Denis</v>
          </cell>
          <cell r="E241" t="str">
            <v>ANRU</v>
          </cell>
          <cell r="F241">
            <v>40</v>
          </cell>
          <cell r="G241" t="str">
            <v>LLTS</v>
          </cell>
          <cell r="J241" t="str">
            <v>COL</v>
          </cell>
          <cell r="L241" t="str">
            <v>SIDR</v>
          </cell>
          <cell r="N241" t="str">
            <v>JPM</v>
          </cell>
          <cell r="P241" t="str">
            <v>LV</v>
          </cell>
          <cell r="R241">
            <v>2011</v>
          </cell>
          <cell r="S241">
            <v>0</v>
          </cell>
          <cell r="V241" t="str">
            <v>A - NON LANCE</v>
          </cell>
          <cell r="AC241" t="str">
            <v/>
          </cell>
          <cell r="AQ241" t="str">
            <v/>
          </cell>
          <cell r="AR241">
            <v>1900</v>
          </cell>
          <cell r="CJ241" t="str">
            <v>-</v>
          </cell>
          <cell r="CK241" t="str">
            <v>-</v>
          </cell>
          <cell r="CL241" t="str">
            <v>-</v>
          </cell>
          <cell r="CM241" t="str">
            <v>-</v>
          </cell>
          <cell r="CN241">
            <v>0</v>
          </cell>
          <cell r="CP241" t="str">
            <v>ANRU St Denis</v>
          </cell>
          <cell r="CQ241" t="str">
            <v>non</v>
          </cell>
          <cell r="CX241">
            <v>0</v>
          </cell>
          <cell r="DE241">
            <v>0</v>
          </cell>
          <cell r="DJ241">
            <v>0</v>
          </cell>
          <cell r="DO241">
            <v>0</v>
          </cell>
          <cell r="DS241">
            <v>0</v>
          </cell>
          <cell r="DT241">
            <v>0</v>
          </cell>
          <cell r="DU241">
            <v>0</v>
          </cell>
          <cell r="ED241" t="str">
            <v>G:\Habitat\OPERATIONNEL HABITAT\02- Operations\Photothèque\image non disponible.jpg</v>
          </cell>
          <cell r="EE241" t="str">
            <v>G:\Habitat\OPERATIONNEL HABITAT\02- Operations\Photothèque\image non disponible.jpg</v>
          </cell>
        </row>
        <row r="242">
          <cell r="A242" t="str">
            <v>TENDREPINE</v>
          </cell>
          <cell r="B242">
            <v>9698</v>
          </cell>
          <cell r="C242" t="str">
            <v>EST</v>
          </cell>
          <cell r="D242" t="str">
            <v>Plaine des Palmistes</v>
          </cell>
          <cell r="E242" t="str">
            <v>2EME VILLAGE ERUDEL</v>
          </cell>
          <cell r="F242">
            <v>35</v>
          </cell>
          <cell r="G242" t="str">
            <v>LLTS</v>
          </cell>
          <cell r="J242" t="str">
            <v>MV</v>
          </cell>
          <cell r="K242" t="str">
            <v>RF</v>
          </cell>
          <cell r="M242" t="str">
            <v>maitrisé</v>
          </cell>
          <cell r="N242" t="str">
            <v>CLa</v>
          </cell>
          <cell r="O242" t="str">
            <v>JMO</v>
          </cell>
          <cell r="P242" t="str">
            <v>CC</v>
          </cell>
          <cell r="R242">
            <v>2009</v>
          </cell>
          <cell r="S242">
            <v>0</v>
          </cell>
          <cell r="T242" t="str">
            <v>avis défavorable DDE sortie RN !!!!/refus pc /nego foncier pour 26 logt</v>
          </cell>
          <cell r="U242" t="str">
            <v xml:space="preserve">J. HOUAREAU </v>
          </cell>
          <cell r="V242" t="str">
            <v>F - APD</v>
          </cell>
          <cell r="W242">
            <v>39902</v>
          </cell>
          <cell r="X242" t="str">
            <v>d</v>
          </cell>
          <cell r="AA242" t="str">
            <v/>
          </cell>
          <cell r="AB242">
            <v>39870</v>
          </cell>
          <cell r="AC242" t="str">
            <v>v</v>
          </cell>
          <cell r="AE242">
            <v>40071</v>
          </cell>
          <cell r="AF242" t="str">
            <v/>
          </cell>
          <cell r="AH242">
            <v>40071</v>
          </cell>
          <cell r="AI242" t="str">
            <v/>
          </cell>
          <cell r="AJ242">
            <v>40252</v>
          </cell>
          <cell r="AK242" t="str">
            <v/>
          </cell>
          <cell r="AL242">
            <v>5.9508153603366649</v>
          </cell>
          <cell r="AM242">
            <v>2010</v>
          </cell>
          <cell r="AN242">
            <v>15</v>
          </cell>
          <cell r="AO242">
            <v>40709</v>
          </cell>
          <cell r="AP242">
            <v>40724</v>
          </cell>
          <cell r="AQ242" t="str">
            <v/>
          </cell>
          <cell r="AR242">
            <v>2011</v>
          </cell>
          <cell r="BK242">
            <v>0</v>
          </cell>
          <cell r="CJ242" t="str">
            <v>-</v>
          </cell>
          <cell r="CK242" t="str">
            <v>-</v>
          </cell>
          <cell r="CL242" t="str">
            <v>-</v>
          </cell>
          <cell r="CM242" t="str">
            <v>-</v>
          </cell>
          <cell r="CN242">
            <v>0</v>
          </cell>
          <cell r="CQ242" t="str">
            <v>non</v>
          </cell>
          <cell r="CX242">
            <v>0</v>
          </cell>
          <cell r="DE242">
            <v>0</v>
          </cell>
          <cell r="DJ242">
            <v>0</v>
          </cell>
          <cell r="DO242">
            <v>0</v>
          </cell>
          <cell r="DS242">
            <v>0</v>
          </cell>
          <cell r="DT242">
            <v>0</v>
          </cell>
          <cell r="DU242">
            <v>0</v>
          </cell>
          <cell r="ED242" t="str">
            <v>G:\Habitat\OPERATIONNEL HABITAT\02- Operations\Photothèque\image non disponible.jpg</v>
          </cell>
          <cell r="EE242" t="str">
            <v>G:\Habitat\OPERATIONNEL HABITAT\02- Operations\Photothèque\image non disponible.jpg</v>
          </cell>
        </row>
        <row r="243">
          <cell r="A243" t="str">
            <v>TENERIFE</v>
          </cell>
          <cell r="B243">
            <v>9644</v>
          </cell>
          <cell r="C243" t="str">
            <v>OUEST</v>
          </cell>
          <cell r="D243" t="str">
            <v>Possession</v>
          </cell>
          <cell r="E243" t="str">
            <v>CENTRE VILLE</v>
          </cell>
          <cell r="F243">
            <v>12</v>
          </cell>
          <cell r="G243" t="str">
            <v>LLTS</v>
          </cell>
          <cell r="H243" t="str">
            <v>à déposer</v>
          </cell>
          <cell r="I243" t="str">
            <v>CG5</v>
          </cell>
          <cell r="J243" t="str">
            <v>COL</v>
          </cell>
          <cell r="K243" t="str">
            <v>ACQ</v>
          </cell>
          <cell r="M243" t="str">
            <v>maitrisé</v>
          </cell>
          <cell r="N243" t="str">
            <v>JEM</v>
          </cell>
          <cell r="O243" t="str">
            <v>PE</v>
          </cell>
          <cell r="P243" t="str">
            <v>CS</v>
          </cell>
          <cell r="R243">
            <v>2009</v>
          </cell>
          <cell r="S243">
            <v>0.75</v>
          </cell>
          <cell r="T243" t="str">
            <v>abandon du projet foyer (19 logts LBU 2008 - suite à retrait du CCAS pour la gestion) - demande de la DDE d'étudier une variante permettant de conserver le nombre de 19 logements (la commune se dit prete à une derogation pour des stationnements hors site)</v>
          </cell>
          <cell r="U243" t="str">
            <v>D JAN</v>
          </cell>
          <cell r="V243" t="str">
            <v>E - APS / PC</v>
          </cell>
          <cell r="W243">
            <v>39933</v>
          </cell>
          <cell r="X243" t="str">
            <v/>
          </cell>
          <cell r="AA243" t="str">
            <v/>
          </cell>
          <cell r="AB243">
            <v>39553</v>
          </cell>
          <cell r="AC243" t="str">
            <v>v</v>
          </cell>
          <cell r="AE243">
            <v>39717</v>
          </cell>
          <cell r="AF243" t="str">
            <v>f</v>
          </cell>
          <cell r="AH243">
            <v>40071</v>
          </cell>
          <cell r="AI243" t="str">
            <v/>
          </cell>
          <cell r="AJ243">
            <v>40252</v>
          </cell>
          <cell r="AK243" t="str">
            <v/>
          </cell>
          <cell r="AL243">
            <v>5.9508153603366649</v>
          </cell>
          <cell r="AM243">
            <v>2010</v>
          </cell>
          <cell r="AN243">
            <v>12</v>
          </cell>
          <cell r="AO243">
            <v>40617</v>
          </cell>
          <cell r="AP243">
            <v>40632</v>
          </cell>
          <cell r="AQ243" t="str">
            <v/>
          </cell>
          <cell r="AR243">
            <v>2011</v>
          </cell>
          <cell r="AS243">
            <v>16</v>
          </cell>
          <cell r="AT243">
            <v>17</v>
          </cell>
          <cell r="BK243">
            <v>16</v>
          </cell>
          <cell r="BL243">
            <v>10.83</v>
          </cell>
          <cell r="BM243">
            <v>0.82</v>
          </cell>
          <cell r="BO243" t="str">
            <v>à faire</v>
          </cell>
          <cell r="BQ243" t="str">
            <v>à faire</v>
          </cell>
          <cell r="BY243">
            <v>231.9</v>
          </cell>
          <cell r="BZ243">
            <v>255</v>
          </cell>
          <cell r="CA243">
            <v>231.9</v>
          </cell>
          <cell r="CE243" t="str">
            <v>ECS ind</v>
          </cell>
          <cell r="CF243">
            <v>44400</v>
          </cell>
          <cell r="CG243">
            <v>13320</v>
          </cell>
          <cell r="CH243">
            <v>19980</v>
          </cell>
          <cell r="CI243">
            <v>11100</v>
          </cell>
          <cell r="CJ243" t="str">
            <v>A déterminer</v>
          </cell>
          <cell r="CK243" t="str">
            <v>INFI</v>
          </cell>
          <cell r="CL243" t="str">
            <v>-</v>
          </cell>
          <cell r="CM243" t="str">
            <v>-</v>
          </cell>
          <cell r="CN243">
            <v>0</v>
          </cell>
          <cell r="CQ243" t="str">
            <v>non</v>
          </cell>
          <cell r="CX243">
            <v>0</v>
          </cell>
          <cell r="DE243">
            <v>33300</v>
          </cell>
          <cell r="DJ243">
            <v>33300</v>
          </cell>
          <cell r="DO243">
            <v>0</v>
          </cell>
          <cell r="DQ243">
            <v>19355</v>
          </cell>
          <cell r="DR243">
            <v>12000</v>
          </cell>
          <cell r="DS243">
            <v>31355</v>
          </cell>
          <cell r="DT243">
            <v>62710</v>
          </cell>
          <cell r="DU243">
            <v>96010</v>
          </cell>
          <cell r="ED243" t="str">
            <v>G:\Habitat\OPERATIONNEL HABITAT\02- Operations\Photothèque\image non disponible.jpg</v>
          </cell>
          <cell r="EE243" t="str">
            <v>G:\Habitat\OPERATIONNEL HABITAT\02- Operations\Photothèque\image non disponible.jpg</v>
          </cell>
        </row>
        <row r="244">
          <cell r="A244" t="str">
            <v>TISSERIN</v>
          </cell>
          <cell r="B244">
            <v>9646</v>
          </cell>
          <cell r="C244" t="str">
            <v>NORD</v>
          </cell>
          <cell r="D244" t="str">
            <v>Possession</v>
          </cell>
          <cell r="E244" t="str">
            <v>RHI PETITE ILE</v>
          </cell>
          <cell r="F244">
            <v>44</v>
          </cell>
          <cell r="G244" t="str">
            <v>LLTS</v>
          </cell>
          <cell r="H244" t="str">
            <v>déposé</v>
          </cell>
          <cell r="I244" t="str">
            <v>20CG5</v>
          </cell>
          <cell r="J244" t="str">
            <v>MIXT</v>
          </cell>
          <cell r="K244" t="str">
            <v>CF</v>
          </cell>
          <cell r="L244" t="str">
            <v>SIDR</v>
          </cell>
          <cell r="M244" t="str">
            <v>maitrisé</v>
          </cell>
          <cell r="N244" t="str">
            <v>JPM</v>
          </cell>
          <cell r="O244" t="str">
            <v>PE</v>
          </cell>
          <cell r="P244" t="str">
            <v>CC</v>
          </cell>
          <cell r="Q244" t="str">
            <v>SM</v>
          </cell>
          <cell r="R244">
            <v>2006</v>
          </cell>
          <cell r="S244">
            <v>0</v>
          </cell>
          <cell r="T244" t="str">
            <v>pb libération foncière liée à Paille en queue/ mi 2008/PC initial refus/PC modif obtenu/Report sur lbu 2008  refuse par la DDE</v>
          </cell>
          <cell r="U244" t="str">
            <v>MEUNIER</v>
          </cell>
          <cell r="V244" t="str">
            <v>E - APS / PC</v>
          </cell>
          <cell r="W244">
            <v>39666</v>
          </cell>
          <cell r="X244" t="str">
            <v>d</v>
          </cell>
          <cell r="Y244" t="str">
            <v>97441108A0422</v>
          </cell>
          <cell r="Z244">
            <v>39750</v>
          </cell>
          <cell r="AA244" t="str">
            <v>o</v>
          </cell>
          <cell r="AB244">
            <v>39613</v>
          </cell>
          <cell r="AC244" t="str">
            <v>v</v>
          </cell>
          <cell r="AD244">
            <v>38990</v>
          </cell>
          <cell r="AE244">
            <v>38911</v>
          </cell>
          <cell r="AF244" t="str">
            <v>f</v>
          </cell>
          <cell r="AH244">
            <v>39934</v>
          </cell>
          <cell r="AI244" t="str">
            <v/>
          </cell>
          <cell r="AJ244">
            <v>40118</v>
          </cell>
          <cell r="AK244" t="str">
            <v/>
          </cell>
          <cell r="AL244">
            <v>6.0494476591267752</v>
          </cell>
          <cell r="AM244">
            <v>2009</v>
          </cell>
          <cell r="AN244">
            <v>16</v>
          </cell>
          <cell r="AO244">
            <v>40603</v>
          </cell>
          <cell r="AP244">
            <v>40618</v>
          </cell>
          <cell r="AQ244" t="str">
            <v/>
          </cell>
          <cell r="AR244">
            <v>2011</v>
          </cell>
          <cell r="AW244">
            <v>14</v>
          </cell>
          <cell r="AX244">
            <v>58</v>
          </cell>
          <cell r="BA244">
            <v>15</v>
          </cell>
          <cell r="BB244">
            <v>70</v>
          </cell>
          <cell r="BE244">
            <v>12</v>
          </cell>
          <cell r="BF244">
            <v>77</v>
          </cell>
          <cell r="BI244">
            <v>3</v>
          </cell>
          <cell r="BJ244">
            <v>85</v>
          </cell>
          <cell r="BK244">
            <v>44</v>
          </cell>
          <cell r="BL244">
            <v>4.28</v>
          </cell>
          <cell r="BM244">
            <v>0.82</v>
          </cell>
          <cell r="BO244" t="str">
            <v>à faire</v>
          </cell>
          <cell r="BQ244" t="str">
            <v>à faire</v>
          </cell>
          <cell r="BX244" t="str">
            <v>demande à faire</v>
          </cell>
          <cell r="BY244">
            <v>3115.34</v>
          </cell>
          <cell r="BZ244">
            <v>3427</v>
          </cell>
          <cell r="CA244">
            <v>3115.34</v>
          </cell>
          <cell r="CE244" t="str">
            <v>ECS ind</v>
          </cell>
          <cell r="CJ244" t="str">
            <v>A déterminer</v>
          </cell>
          <cell r="CK244" t="str">
            <v>INFI</v>
          </cell>
          <cell r="CL244" t="str">
            <v>-</v>
          </cell>
          <cell r="CM244" t="str">
            <v>-</v>
          </cell>
          <cell r="CN244">
            <v>0</v>
          </cell>
          <cell r="CQ244" t="str">
            <v>non</v>
          </cell>
          <cell r="CX244">
            <v>0</v>
          </cell>
          <cell r="DE244">
            <v>0</v>
          </cell>
          <cell r="DJ244">
            <v>0</v>
          </cell>
          <cell r="DO244">
            <v>0</v>
          </cell>
          <cell r="DQ244">
            <v>139427</v>
          </cell>
          <cell r="DR244">
            <v>39600</v>
          </cell>
          <cell r="DS244">
            <v>179027</v>
          </cell>
          <cell r="DT244">
            <v>358054</v>
          </cell>
          <cell r="DU244">
            <v>358054</v>
          </cell>
          <cell r="ED244" t="str">
            <v>G:\Habitat\OPERATIONNEL HABITAT\02- Operations\Photothèque\images locatifs\tisserin\pers 2 ss nom.jpg</v>
          </cell>
          <cell r="EE244" t="str">
            <v>G:\Habitat\OPERATIONNEL HABITAT\02- Operations\Photothèque\images locatifs\tisserin\Pers 01 modif ss nom.jpg</v>
          </cell>
        </row>
        <row r="245">
          <cell r="A245" t="str">
            <v>TRINITE 1 b</v>
          </cell>
          <cell r="C245" t="str">
            <v>SUD</v>
          </cell>
          <cell r="D245" t="str">
            <v>Saint-Denis</v>
          </cell>
          <cell r="F245">
            <v>40</v>
          </cell>
          <cell r="G245" t="str">
            <v>LESG</v>
          </cell>
          <cell r="J245" t="str">
            <v>IND</v>
          </cell>
          <cell r="K245" t="str">
            <v>CF</v>
          </cell>
          <cell r="L245" t="str">
            <v>SIDR</v>
          </cell>
          <cell r="N245" t="str">
            <v>N.A.</v>
          </cell>
          <cell r="Q245" t="str">
            <v>HBM</v>
          </cell>
          <cell r="R245">
            <v>2011</v>
          </cell>
          <cell r="V245" t="str">
            <v>A - NON LANCE</v>
          </cell>
          <cell r="X245" t="str">
            <v/>
          </cell>
          <cell r="AA245" t="str">
            <v/>
          </cell>
          <cell r="AC245" t="str">
            <v/>
          </cell>
          <cell r="AF245" t="str">
            <v/>
          </cell>
          <cell r="AI245" t="str">
            <v/>
          </cell>
          <cell r="AK245" t="str">
            <v/>
          </cell>
          <cell r="AL245">
            <v>0</v>
          </cell>
          <cell r="AM245" t="str">
            <v/>
          </cell>
          <cell r="AO245" t="str">
            <v/>
          </cell>
          <cell r="AP245" t="str">
            <v/>
          </cell>
          <cell r="AQ245" t="str">
            <v/>
          </cell>
          <cell r="AR245" t="str">
            <v/>
          </cell>
          <cell r="CJ245" t="str">
            <v>-</v>
          </cell>
          <cell r="CK245" t="str">
            <v>-</v>
          </cell>
          <cell r="CL245" t="str">
            <v>-</v>
          </cell>
          <cell r="CM245" t="str">
            <v>-</v>
          </cell>
          <cell r="CN245">
            <v>0</v>
          </cell>
          <cell r="CQ245" t="str">
            <v>non</v>
          </cell>
          <cell r="CX245">
            <v>0</v>
          </cell>
          <cell r="DE245">
            <v>0</v>
          </cell>
          <cell r="DJ245">
            <v>0</v>
          </cell>
          <cell r="DO245">
            <v>0</v>
          </cell>
          <cell r="DS245">
            <v>0</v>
          </cell>
          <cell r="DT245">
            <v>0</v>
          </cell>
          <cell r="DU245">
            <v>0</v>
          </cell>
          <cell r="ED245" t="str">
            <v>G:\Habitat\OPERATIONNEL HABITAT\02- Operations\Photothèque\image non disponible.jpg</v>
          </cell>
          <cell r="EE245" t="str">
            <v>G:\Habitat\OPERATIONNEL HABITAT\02- Operations\Photothèque\image non disponible.jpg</v>
          </cell>
        </row>
        <row r="246">
          <cell r="A246" t="str">
            <v>TRINITE 1</v>
          </cell>
          <cell r="C246" t="str">
            <v>SUD</v>
          </cell>
          <cell r="D246" t="str">
            <v>Saint-Philippe</v>
          </cell>
          <cell r="E246" t="str">
            <v>CENTRE VILLE</v>
          </cell>
          <cell r="F246">
            <v>30</v>
          </cell>
          <cell r="G246" t="str">
            <v>LLTS</v>
          </cell>
          <cell r="J246" t="str">
            <v>MIXT</v>
          </cell>
          <cell r="K246" t="str">
            <v>CF</v>
          </cell>
          <cell r="L246" t="str">
            <v>SIDR</v>
          </cell>
          <cell r="N246" t="str">
            <v>N.A.</v>
          </cell>
          <cell r="Q246" t="str">
            <v>HBM</v>
          </cell>
          <cell r="R246">
            <v>2011</v>
          </cell>
          <cell r="V246" t="str">
            <v>A - NON LANCE</v>
          </cell>
          <cell r="X246" t="str">
            <v/>
          </cell>
          <cell r="AA246" t="str">
            <v/>
          </cell>
          <cell r="AC246" t="str">
            <v/>
          </cell>
          <cell r="AF246" t="str">
            <v/>
          </cell>
          <cell r="AI246" t="str">
            <v/>
          </cell>
          <cell r="AK246" t="str">
            <v/>
          </cell>
          <cell r="AL246">
            <v>0</v>
          </cell>
          <cell r="AM246" t="str">
            <v/>
          </cell>
          <cell r="AO246" t="str">
            <v/>
          </cell>
          <cell r="AP246" t="str">
            <v/>
          </cell>
          <cell r="AQ246" t="str">
            <v/>
          </cell>
          <cell r="CJ246" t="str">
            <v>-</v>
          </cell>
          <cell r="CK246" t="str">
            <v>-</v>
          </cell>
          <cell r="CL246" t="str">
            <v>-</v>
          </cell>
          <cell r="CM246" t="str">
            <v>-</v>
          </cell>
          <cell r="CN246">
            <v>0</v>
          </cell>
          <cell r="CQ246" t="str">
            <v>non</v>
          </cell>
          <cell r="CX246">
            <v>0</v>
          </cell>
          <cell r="DE246">
            <v>0</v>
          </cell>
          <cell r="DJ246">
            <v>0</v>
          </cell>
          <cell r="DO246">
            <v>0</v>
          </cell>
          <cell r="DS246">
            <v>0</v>
          </cell>
          <cell r="DT246">
            <v>0</v>
          </cell>
          <cell r="DU246">
            <v>0</v>
          </cell>
          <cell r="ED246" t="str">
            <v>G:\Habitat\OPERATIONNEL HABITAT\02- Operations\Photothèque\image non disponible.jpg</v>
          </cell>
          <cell r="EE246" t="str">
            <v>G:\Habitat\OPERATIONNEL HABITAT\02- Operations\Photothèque\image non disponible.jpg</v>
          </cell>
        </row>
        <row r="247">
          <cell r="A247" t="str">
            <v>TRINITE 2</v>
          </cell>
          <cell r="C247" t="str">
            <v>SUD</v>
          </cell>
          <cell r="D247" t="str">
            <v>Saint-Philippe</v>
          </cell>
          <cell r="F247">
            <v>90</v>
          </cell>
          <cell r="G247" t="str">
            <v>LLTS</v>
          </cell>
          <cell r="J247" t="str">
            <v>MIXT</v>
          </cell>
          <cell r="K247" t="str">
            <v>CF</v>
          </cell>
          <cell r="L247" t="str">
            <v>SIDR</v>
          </cell>
          <cell r="N247" t="str">
            <v>N.A.</v>
          </cell>
          <cell r="Q247" t="str">
            <v>HBM</v>
          </cell>
          <cell r="R247">
            <v>2011</v>
          </cell>
          <cell r="AA247" t="str">
            <v/>
          </cell>
          <cell r="AC247" t="str">
            <v/>
          </cell>
          <cell r="AI247" t="str">
            <v/>
          </cell>
          <cell r="AK247" t="str">
            <v/>
          </cell>
          <cell r="AL247">
            <v>0</v>
          </cell>
          <cell r="AQ247" t="str">
            <v/>
          </cell>
          <cell r="CJ247" t="str">
            <v>-</v>
          </cell>
          <cell r="CK247" t="str">
            <v>-</v>
          </cell>
          <cell r="CL247" t="str">
            <v>-</v>
          </cell>
          <cell r="CM247" t="str">
            <v>-</v>
          </cell>
          <cell r="CN247">
            <v>0</v>
          </cell>
          <cell r="CQ247" t="str">
            <v>non</v>
          </cell>
          <cell r="CX247">
            <v>0</v>
          </cell>
          <cell r="DE247">
            <v>0</v>
          </cell>
          <cell r="DJ247">
            <v>0</v>
          </cell>
          <cell r="DO247">
            <v>0</v>
          </cell>
          <cell r="DS247">
            <v>0</v>
          </cell>
          <cell r="DT247">
            <v>0</v>
          </cell>
          <cell r="DU247">
            <v>0</v>
          </cell>
          <cell r="ED247" t="str">
            <v>G:\Habitat\OPERATIONNEL HABITAT\02- Operations\Photothèque\image non disponible.jpg</v>
          </cell>
          <cell r="EE247" t="str">
            <v>G:\Habitat\OPERATIONNEL HABITAT\02- Operations\Photothèque\image non disponible.jpg</v>
          </cell>
        </row>
        <row r="248">
          <cell r="A248" t="str">
            <v>VIEUX MUR</v>
          </cell>
          <cell r="B248">
            <v>9720</v>
          </cell>
          <cell r="C248" t="str">
            <v>OUEST</v>
          </cell>
          <cell r="D248" t="str">
            <v>Saint-Philippe</v>
          </cell>
          <cell r="E248" t="str">
            <v>RHI multisite</v>
          </cell>
          <cell r="F248">
            <v>17</v>
          </cell>
          <cell r="G248" t="str">
            <v>nd</v>
          </cell>
          <cell r="J248" t="str">
            <v>COL</v>
          </cell>
          <cell r="M248" t="str">
            <v>autres</v>
          </cell>
          <cell r="N248" t="str">
            <v>BB</v>
          </cell>
          <cell r="O248" t="str">
            <v>FG</v>
          </cell>
          <cell r="P248" t="str">
            <v>LV</v>
          </cell>
          <cell r="Q248" t="str">
            <v>VM</v>
          </cell>
          <cell r="R248">
            <v>2009</v>
          </cell>
          <cell r="T248" t="str">
            <v>acquisition amelioration</v>
          </cell>
          <cell r="U248" t="str">
            <v>EMPREINTE</v>
          </cell>
          <cell r="V248" t="str">
            <v>D - ESQUISSES</v>
          </cell>
          <cell r="W248">
            <v>39871</v>
          </cell>
          <cell r="Z248">
            <v>39994</v>
          </cell>
          <cell r="AA248" t="str">
            <v/>
          </cell>
          <cell r="AB248">
            <v>39845</v>
          </cell>
          <cell r="AC248" t="str">
            <v>v</v>
          </cell>
          <cell r="AE248">
            <v>40024</v>
          </cell>
          <cell r="AH248">
            <v>39963</v>
          </cell>
          <cell r="AI248" t="str">
            <v/>
          </cell>
          <cell r="AJ248">
            <v>40147</v>
          </cell>
          <cell r="AK248" t="str">
            <v/>
          </cell>
          <cell r="AL248">
            <v>6.0494476591267752</v>
          </cell>
          <cell r="AM248">
            <v>2009</v>
          </cell>
          <cell r="AN248">
            <v>12</v>
          </cell>
          <cell r="AO248">
            <v>40512</v>
          </cell>
          <cell r="AP248">
            <v>40527</v>
          </cell>
          <cell r="AQ248" t="str">
            <v/>
          </cell>
          <cell r="AR248">
            <v>2010</v>
          </cell>
          <cell r="CJ248" t="str">
            <v>-</v>
          </cell>
          <cell r="CK248" t="str">
            <v>-</v>
          </cell>
          <cell r="CL248" t="str">
            <v>-</v>
          </cell>
          <cell r="CM248" t="str">
            <v>-</v>
          </cell>
          <cell r="CN248">
            <v>0</v>
          </cell>
          <cell r="CQ248" t="str">
            <v>non</v>
          </cell>
          <cell r="CX248">
            <v>0</v>
          </cell>
          <cell r="DE248">
            <v>0</v>
          </cell>
          <cell r="DJ248">
            <v>0</v>
          </cell>
          <cell r="DO248">
            <v>0</v>
          </cell>
          <cell r="DS248">
            <v>0</v>
          </cell>
          <cell r="DT248">
            <v>0</v>
          </cell>
          <cell r="DU248">
            <v>0</v>
          </cell>
          <cell r="ED248" t="str">
            <v>G:\Habitat\OPERATIONNEL HABITAT\02- Operations\Photothèque\image non disponible.jpg</v>
          </cell>
          <cell r="EE248" t="str">
            <v>G:\Habitat\OPERATIONNEL HABITAT\02- Operations\Photothèque\image non disponible.jpg</v>
          </cell>
        </row>
        <row r="249">
          <cell r="A249" t="str">
            <v>VINCENDO</v>
          </cell>
          <cell r="C249" t="str">
            <v>EST</v>
          </cell>
          <cell r="F249">
            <v>30</v>
          </cell>
          <cell r="G249" t="str">
            <v>LLS</v>
          </cell>
          <cell r="J249" t="str">
            <v>COL</v>
          </cell>
          <cell r="N249" t="str">
            <v>Cla</v>
          </cell>
          <cell r="R249">
            <v>2010</v>
          </cell>
          <cell r="T249" t="str">
            <v>Etude de faisabilité financée par DDE ?</v>
          </cell>
          <cell r="AA249" t="str">
            <v/>
          </cell>
          <cell r="AC249" t="str">
            <v/>
          </cell>
          <cell r="AI249" t="str">
            <v/>
          </cell>
          <cell r="AK249" t="str">
            <v/>
          </cell>
          <cell r="AL249">
            <v>0</v>
          </cell>
          <cell r="AQ249" t="str">
            <v/>
          </cell>
          <cell r="CJ249" t="str">
            <v>-</v>
          </cell>
          <cell r="CK249" t="str">
            <v>-</v>
          </cell>
          <cell r="CL249" t="str">
            <v>-</v>
          </cell>
          <cell r="CM249" t="str">
            <v>-</v>
          </cell>
          <cell r="CN249">
            <v>0</v>
          </cell>
          <cell r="CQ249" t="str">
            <v>non</v>
          </cell>
          <cell r="CX249">
            <v>0</v>
          </cell>
          <cell r="DE249">
            <v>0</v>
          </cell>
          <cell r="DJ249">
            <v>0</v>
          </cell>
          <cell r="DO249">
            <v>0</v>
          </cell>
          <cell r="DS249">
            <v>0</v>
          </cell>
          <cell r="DT249">
            <v>0</v>
          </cell>
          <cell r="DU249">
            <v>0</v>
          </cell>
          <cell r="ED249" t="str">
            <v>G:\Habitat\OPERATIONNEL HABITAT\02- Operations\Photothèque\image non disponible.jpg</v>
          </cell>
          <cell r="EE249" t="str">
            <v>G:\Habitat\OPERATIONNEL HABITAT\02- Operations\Photothèque\image non disponible.jpg</v>
          </cell>
        </row>
        <row r="250">
          <cell r="A250" t="str">
            <v>VOILIER</v>
          </cell>
          <cell r="B250">
            <v>9603</v>
          </cell>
          <cell r="C250" t="str">
            <v>EST</v>
          </cell>
          <cell r="D250" t="str">
            <v>Bras Panon</v>
          </cell>
          <cell r="E250" t="str">
            <v>POLE DE CENTRALITE</v>
          </cell>
          <cell r="F250">
            <v>35</v>
          </cell>
          <cell r="G250" t="str">
            <v>LLTS</v>
          </cell>
          <cell r="H250" t="str">
            <v>signé</v>
          </cell>
          <cell r="I250" t="str">
            <v>SG 2005</v>
          </cell>
          <cell r="J250" t="str">
            <v>COL</v>
          </cell>
          <cell r="K250" t="str">
            <v>CF</v>
          </cell>
          <cell r="L250" t="str">
            <v>SEMAC</v>
          </cell>
          <cell r="M250" t="str">
            <v>sous compromis</v>
          </cell>
          <cell r="N250" t="str">
            <v>JPM</v>
          </cell>
          <cell r="O250" t="str">
            <v>PE</v>
          </cell>
          <cell r="P250" t="str">
            <v>CC</v>
          </cell>
          <cell r="R250">
            <v>2005</v>
          </cell>
          <cell r="T250" t="str">
            <v>équilibre avec défisc ok DG/attente cotation entreprise Zenith demande HPG le 27/11/2008</v>
          </cell>
          <cell r="U250" t="str">
            <v>BRACHET</v>
          </cell>
          <cell r="V250" t="str">
            <v>I - ACT</v>
          </cell>
          <cell r="W250">
            <v>38553</v>
          </cell>
          <cell r="X250" t="str">
            <v>d</v>
          </cell>
          <cell r="Y250" t="str">
            <v>97440205A0089</v>
          </cell>
          <cell r="Z250">
            <v>39125</v>
          </cell>
          <cell r="AA250" t="str">
            <v>o</v>
          </cell>
          <cell r="AB250" t="str">
            <v>validé</v>
          </cell>
          <cell r="AC250" t="str">
            <v/>
          </cell>
          <cell r="AE250">
            <v>38553</v>
          </cell>
          <cell r="AF250" t="str">
            <v>f</v>
          </cell>
          <cell r="AG250">
            <v>38722</v>
          </cell>
          <cell r="AH250">
            <v>39611</v>
          </cell>
          <cell r="AI250" t="str">
            <v>ao</v>
          </cell>
          <cell r="AJ250">
            <v>39887</v>
          </cell>
          <cell r="AK250" t="str">
            <v>ch</v>
          </cell>
          <cell r="AL250">
            <v>9.0741714886901637</v>
          </cell>
          <cell r="AM250">
            <v>2009</v>
          </cell>
          <cell r="AN250">
            <v>15</v>
          </cell>
          <cell r="AO250">
            <v>40344</v>
          </cell>
          <cell r="AP250">
            <v>40359</v>
          </cell>
          <cell r="AQ250" t="str">
            <v/>
          </cell>
          <cell r="AR250">
            <v>2010</v>
          </cell>
          <cell r="AW250">
            <v>31</v>
          </cell>
          <cell r="AX250">
            <v>56.17</v>
          </cell>
          <cell r="BA250">
            <v>4</v>
          </cell>
          <cell r="BB250">
            <v>69.650000000000006</v>
          </cell>
          <cell r="BK250">
            <v>35</v>
          </cell>
          <cell r="BL250">
            <v>4.3499999999999996</v>
          </cell>
          <cell r="BM250">
            <v>0.3</v>
          </cell>
          <cell r="BN250">
            <v>0.4</v>
          </cell>
          <cell r="BO250" t="str">
            <v>signée</v>
          </cell>
          <cell r="BP250">
            <v>0.6</v>
          </cell>
          <cell r="BQ250" t="str">
            <v xml:space="preserve">transmis </v>
          </cell>
          <cell r="BR250" t="str">
            <v>CGAL</v>
          </cell>
          <cell r="BT250" t="str">
            <v>signée</v>
          </cell>
          <cell r="BX250" t="str">
            <v>demande à faire</v>
          </cell>
          <cell r="BY250">
            <v>1955</v>
          </cell>
          <cell r="BZ250">
            <v>2408</v>
          </cell>
          <cell r="CA250">
            <v>2041</v>
          </cell>
          <cell r="CE250" t="str">
            <v>ECS ind</v>
          </cell>
          <cell r="CJ250" t="str">
            <v>SCI Saint André</v>
          </cell>
          <cell r="CK250" t="str">
            <v>INFI</v>
          </cell>
          <cell r="CL250">
            <v>39773</v>
          </cell>
          <cell r="CM250" t="str">
            <v>-</v>
          </cell>
          <cell r="CN250">
            <v>0</v>
          </cell>
          <cell r="CO250" t="str">
            <v>199 undecies A</v>
          </cell>
          <cell r="CQ250" t="str">
            <v>non</v>
          </cell>
          <cell r="CX250">
            <v>0</v>
          </cell>
          <cell r="DE250">
            <v>0</v>
          </cell>
          <cell r="DJ250">
            <v>0</v>
          </cell>
          <cell r="DO250">
            <v>0</v>
          </cell>
          <cell r="DQ250">
            <v>55032</v>
          </cell>
          <cell r="DR250">
            <v>40800</v>
          </cell>
          <cell r="DS250">
            <v>95832</v>
          </cell>
          <cell r="DT250">
            <v>191664</v>
          </cell>
          <cell r="DU250">
            <v>191664</v>
          </cell>
          <cell r="ED250" t="str">
            <v>G:\Habitat\OPERATIONNEL HABITAT\02- Operations\Photothèque\images locatifs\voilier\pers web voilier.jpg</v>
          </cell>
          <cell r="EE250" t="str">
            <v>G:\Habitat\OPERATIONNEL HABITAT\02- Operations\Photothèque\image non disponible.jpg</v>
          </cell>
        </row>
        <row r="251">
          <cell r="A251" t="str">
            <v>WALLIS</v>
          </cell>
          <cell r="B251">
            <v>9643</v>
          </cell>
          <cell r="C251" t="str">
            <v>SUD</v>
          </cell>
          <cell r="D251" t="str">
            <v>Saint-Pierre</v>
          </cell>
          <cell r="E251" t="str">
            <v>RHI BASSE TERRE</v>
          </cell>
          <cell r="F251">
            <v>16</v>
          </cell>
          <cell r="G251" t="str">
            <v>LLTS</v>
          </cell>
          <cell r="H251" t="str">
            <v>déposé</v>
          </cell>
          <cell r="I251" t="str">
            <v>5CG5</v>
          </cell>
          <cell r="J251" t="str">
            <v>COL</v>
          </cell>
          <cell r="K251" t="str">
            <v>CF</v>
          </cell>
          <cell r="L251" t="str">
            <v>SIDR</v>
          </cell>
          <cell r="M251" t="str">
            <v>maitrisé</v>
          </cell>
          <cell r="N251" t="str">
            <v>LC</v>
          </cell>
          <cell r="O251" t="str">
            <v>OS</v>
          </cell>
          <cell r="P251" t="str">
            <v>AM</v>
          </cell>
          <cell r="Q251" t="str">
            <v>HBM</v>
          </cell>
          <cell r="R251">
            <v>2006</v>
          </cell>
          <cell r="S251">
            <v>1</v>
          </cell>
          <cell r="T251" t="str">
            <v>dépassement budget 250K€ financer RHI 215K€</v>
          </cell>
          <cell r="U251" t="str">
            <v>FAESSEL BOHE</v>
          </cell>
          <cell r="V251" t="str">
            <v>K - OS TRAVAUX</v>
          </cell>
          <cell r="W251">
            <v>38958</v>
          </cell>
          <cell r="X251" t="str">
            <v>d</v>
          </cell>
          <cell r="Y251" t="str">
            <v>97441606A0688</v>
          </cell>
          <cell r="Z251">
            <v>39120</v>
          </cell>
          <cell r="AA251" t="str">
            <v>o</v>
          </cell>
          <cell r="AB251">
            <v>38974</v>
          </cell>
          <cell r="AC251" t="str">
            <v>v</v>
          </cell>
          <cell r="AD251">
            <v>39030</v>
          </cell>
          <cell r="AE251">
            <v>38967</v>
          </cell>
          <cell r="AF251" t="str">
            <v>f</v>
          </cell>
          <cell r="AG251">
            <v>39093</v>
          </cell>
          <cell r="AH251">
            <v>39248</v>
          </cell>
          <cell r="AI251" t="str">
            <v>ao</v>
          </cell>
          <cell r="AJ251">
            <v>39800</v>
          </cell>
          <cell r="AK251" t="str">
            <v>ch</v>
          </cell>
          <cell r="AL251">
            <v>18.148342977380327</v>
          </cell>
          <cell r="AM251">
            <v>2008</v>
          </cell>
          <cell r="AN251">
            <v>14</v>
          </cell>
          <cell r="AO251">
            <v>40227</v>
          </cell>
          <cell r="AP251">
            <v>40242</v>
          </cell>
          <cell r="AQ251" t="str">
            <v/>
          </cell>
          <cell r="AR251">
            <v>2010</v>
          </cell>
          <cell r="AS251">
            <v>2</v>
          </cell>
          <cell r="AT251">
            <v>33</v>
          </cell>
          <cell r="AW251">
            <v>4</v>
          </cell>
          <cell r="AX251">
            <v>60</v>
          </cell>
          <cell r="BA251">
            <v>6</v>
          </cell>
          <cell r="BB251">
            <v>70</v>
          </cell>
          <cell r="BE251">
            <v>2</v>
          </cell>
          <cell r="BF251">
            <v>99</v>
          </cell>
          <cell r="BI251">
            <v>2</v>
          </cell>
          <cell r="BJ251">
            <v>99</v>
          </cell>
          <cell r="BK251">
            <v>16</v>
          </cell>
          <cell r="BL251">
            <v>4.33</v>
          </cell>
          <cell r="BM251">
            <v>0.82</v>
          </cell>
          <cell r="BO251" t="str">
            <v>signée</v>
          </cell>
          <cell r="BQ251" t="str">
            <v>signée</v>
          </cell>
          <cell r="BX251" t="str">
            <v>signé</v>
          </cell>
          <cell r="BY251">
            <v>1097</v>
          </cell>
          <cell r="BZ251">
            <v>1496</v>
          </cell>
          <cell r="CA251">
            <v>1117.33</v>
          </cell>
          <cell r="CE251" t="str">
            <v>ECS ind</v>
          </cell>
          <cell r="CI251" t="str">
            <v>D a faire</v>
          </cell>
          <cell r="CJ251" t="str">
            <v>SCI Saint André</v>
          </cell>
          <cell r="CK251" t="str">
            <v>INFI</v>
          </cell>
          <cell r="CL251">
            <v>39773</v>
          </cell>
          <cell r="CM251" t="str">
            <v>-</v>
          </cell>
          <cell r="CN251">
            <v>0</v>
          </cell>
          <cell r="CO251" t="str">
            <v>199 undecies A</v>
          </cell>
          <cell r="CQ251" t="str">
            <v>non</v>
          </cell>
          <cell r="CX251">
            <v>0</v>
          </cell>
          <cell r="DE251">
            <v>0</v>
          </cell>
          <cell r="DJ251">
            <v>0</v>
          </cell>
          <cell r="DO251">
            <v>0</v>
          </cell>
          <cell r="DQ251">
            <v>45841</v>
          </cell>
          <cell r="DR251">
            <v>13875</v>
          </cell>
          <cell r="DS251">
            <v>59716</v>
          </cell>
          <cell r="DT251">
            <v>119432</v>
          </cell>
          <cell r="DU251">
            <v>119432</v>
          </cell>
          <cell r="ED251" t="str">
            <v>G:\Habitat\OPERATIONNEL HABITAT\02- Operations\Photothèque\images locatifs\wallis futuna\SIDR_WALLIS 01.jpg</v>
          </cell>
          <cell r="EE251" t="str">
            <v>G:\Habitat\OPERATIONNEL HABITAT\02- Operations\Photothèque\images locatifs\wallis futuna\SIDR_WALLIS 02.jpg</v>
          </cell>
        </row>
        <row r="252">
          <cell r="A252" t="str">
            <v>LES BUTTES CITONNELLES</v>
          </cell>
          <cell r="C252" t="str">
            <v>SUD</v>
          </cell>
          <cell r="D252" t="str">
            <v>Etang-Salé</v>
          </cell>
          <cell r="G252" t="str">
            <v>nd</v>
          </cell>
          <cell r="J252" t="str">
            <v>IND</v>
          </cell>
          <cell r="N252" t="str">
            <v>BS</v>
          </cell>
          <cell r="R252">
            <v>2012</v>
          </cell>
          <cell r="V252" t="str">
            <v>A - NON LANCE</v>
          </cell>
          <cell r="X252" t="str">
            <v/>
          </cell>
          <cell r="AA252" t="str">
            <v/>
          </cell>
          <cell r="AC252" t="str">
            <v/>
          </cell>
          <cell r="AF252" t="str">
            <v/>
          </cell>
          <cell r="AI252" t="str">
            <v/>
          </cell>
          <cell r="AK252" t="str">
            <v/>
          </cell>
          <cell r="AL252">
            <v>0</v>
          </cell>
          <cell r="AM252" t="str">
            <v/>
          </cell>
          <cell r="AO252" t="str">
            <v/>
          </cell>
          <cell r="AP252" t="str">
            <v/>
          </cell>
          <cell r="AQ252" t="str">
            <v/>
          </cell>
          <cell r="AR252" t="str">
            <v/>
          </cell>
          <cell r="CJ252" t="str">
            <v>-</v>
          </cell>
          <cell r="CK252" t="str">
            <v>-</v>
          </cell>
          <cell r="CL252" t="str">
            <v>-</v>
          </cell>
          <cell r="CM252" t="str">
            <v>-</v>
          </cell>
          <cell r="CN252">
            <v>0</v>
          </cell>
          <cell r="CQ252" t="str">
            <v>non</v>
          </cell>
          <cell r="CX252">
            <v>0</v>
          </cell>
          <cell r="DE252">
            <v>0</v>
          </cell>
          <cell r="DJ252">
            <v>0</v>
          </cell>
          <cell r="DO252">
            <v>0</v>
          </cell>
          <cell r="DS252">
            <v>0</v>
          </cell>
          <cell r="DT252">
            <v>0</v>
          </cell>
          <cell r="DU252">
            <v>0</v>
          </cell>
          <cell r="ED252" t="str">
            <v>G:\Habitat\OPERATIONNEL HABITAT\02- Operations\Photothèque\image non disponible.jpg</v>
          </cell>
          <cell r="EE252" t="str">
            <v>G:\Habitat\OPERATIONNEL HABITAT\02- Operations\Photothèque\image non disponible.jpg</v>
          </cell>
        </row>
        <row r="253">
          <cell r="A253" t="str">
            <v>ZAC FAYARD(LES RESIDENCES DU PARC)</v>
          </cell>
          <cell r="C253" t="str">
            <v>EST</v>
          </cell>
          <cell r="D253" t="str">
            <v>Etang-Salé</v>
          </cell>
          <cell r="E253" t="str">
            <v>ZAC FAYARD</v>
          </cell>
          <cell r="F253">
            <v>38</v>
          </cell>
          <cell r="G253" t="str">
            <v>ACC</v>
          </cell>
          <cell r="J253" t="str">
            <v>COL</v>
          </cell>
          <cell r="K253" t="str">
            <v>CF</v>
          </cell>
          <cell r="L253" t="str">
            <v>SEDRE</v>
          </cell>
          <cell r="M253" t="str">
            <v>maitrisé</v>
          </cell>
          <cell r="N253" t="str">
            <v>Cla</v>
          </cell>
          <cell r="O253" t="str">
            <v>JH</v>
          </cell>
          <cell r="P253" t="str">
            <v>CC</v>
          </cell>
          <cell r="R253">
            <v>2008</v>
          </cell>
          <cell r="S253">
            <v>1</v>
          </cell>
          <cell r="T253" t="str">
            <v xml:space="preserve">PPRI/plu/ EU </v>
          </cell>
          <cell r="U253" t="str">
            <v>ROUX</v>
          </cell>
          <cell r="V253" t="str">
            <v>G - PROJET</v>
          </cell>
          <cell r="W253">
            <v>39583</v>
          </cell>
          <cell r="X253" t="str">
            <v>d</v>
          </cell>
          <cell r="Y253" t="str">
            <v>97440908A0161</v>
          </cell>
          <cell r="Z253">
            <v>39735</v>
          </cell>
          <cell r="AA253" t="str">
            <v>o</v>
          </cell>
          <cell r="AB253">
            <v>39568</v>
          </cell>
          <cell r="AC253" t="str">
            <v>v</v>
          </cell>
          <cell r="AD253">
            <v>39597</v>
          </cell>
          <cell r="AF253" t="str">
            <v/>
          </cell>
          <cell r="AH253">
            <v>39859</v>
          </cell>
          <cell r="AI253" t="str">
            <v>ao</v>
          </cell>
          <cell r="AJ253">
            <v>40040</v>
          </cell>
          <cell r="AK253" t="str">
            <v/>
          </cell>
          <cell r="AL253">
            <v>5.9508153603366649</v>
          </cell>
          <cell r="AM253">
            <v>2009</v>
          </cell>
          <cell r="AN253">
            <v>14</v>
          </cell>
          <cell r="AO253">
            <v>40466</v>
          </cell>
          <cell r="AP253">
            <v>40481</v>
          </cell>
          <cell r="AQ253" t="str">
            <v/>
          </cell>
          <cell r="AR253">
            <v>2010</v>
          </cell>
          <cell r="CJ253" t="str">
            <v>-</v>
          </cell>
          <cell r="CK253" t="str">
            <v>-</v>
          </cell>
          <cell r="CL253" t="str">
            <v>-</v>
          </cell>
          <cell r="CM253" t="str">
            <v>-</v>
          </cell>
          <cell r="CN253">
            <v>0</v>
          </cell>
          <cell r="CQ253" t="str">
            <v>non</v>
          </cell>
          <cell r="CX253">
            <v>0</v>
          </cell>
          <cell r="DE253">
            <v>0</v>
          </cell>
          <cell r="DJ253">
            <v>0</v>
          </cell>
          <cell r="DO253">
            <v>0</v>
          </cell>
          <cell r="DS253">
            <v>0</v>
          </cell>
          <cell r="DT253">
            <v>0</v>
          </cell>
          <cell r="DU253">
            <v>0</v>
          </cell>
          <cell r="ED253" t="str">
            <v>G:\Habitat\OPERATIONNEL HABITAT\02- Operations\Photothèque\image non disponible.jpg</v>
          </cell>
          <cell r="EE253" t="str">
            <v>G:\Habitat\OPERATIONNEL HABITAT\02- Operations\Photothèque\image non disponible.jpg</v>
          </cell>
        </row>
        <row r="254">
          <cell r="A254" t="str">
            <v>ZAC MADELEINE(ATHENA)</v>
          </cell>
          <cell r="B254">
            <v>9566</v>
          </cell>
          <cell r="C254" t="str">
            <v>EST</v>
          </cell>
          <cell r="D254" t="str">
            <v>Saint-André</v>
          </cell>
          <cell r="E254" t="str">
            <v>ZAC MADELEINE</v>
          </cell>
          <cell r="F254">
            <v>63</v>
          </cell>
          <cell r="G254" t="str">
            <v>LLS</v>
          </cell>
          <cell r="J254" t="str">
            <v>COL</v>
          </cell>
          <cell r="K254" t="str">
            <v>CF</v>
          </cell>
          <cell r="L254" t="str">
            <v>SEMAC</v>
          </cell>
          <cell r="M254" t="str">
            <v>maitrisé</v>
          </cell>
          <cell r="N254" t="str">
            <v>CLa</v>
          </cell>
          <cell r="O254" t="str">
            <v>JMO</v>
          </cell>
          <cell r="P254" t="str">
            <v>CC</v>
          </cell>
          <cell r="R254">
            <v>2006</v>
          </cell>
          <cell r="S254">
            <v>0</v>
          </cell>
          <cell r="U254" t="str">
            <v>BOCQUEE</v>
          </cell>
          <cell r="V254" t="str">
            <v>L - CHANTIER EN COURS</v>
          </cell>
          <cell r="W254">
            <v>38751</v>
          </cell>
          <cell r="X254" t="str">
            <v>d</v>
          </cell>
          <cell r="Y254" t="str">
            <v>97441106A0018</v>
          </cell>
          <cell r="Z254">
            <v>38846</v>
          </cell>
          <cell r="AA254" t="str">
            <v>o</v>
          </cell>
          <cell r="AB254">
            <v>38881</v>
          </cell>
          <cell r="AC254" t="str">
            <v>v</v>
          </cell>
          <cell r="AD254">
            <v>38883</v>
          </cell>
          <cell r="AE254">
            <v>38798</v>
          </cell>
          <cell r="AF254" t="str">
            <v>f</v>
          </cell>
          <cell r="AG254">
            <v>39113</v>
          </cell>
          <cell r="AH254">
            <v>38803</v>
          </cell>
          <cell r="AI254" t="str">
            <v>ao</v>
          </cell>
          <cell r="AJ254">
            <v>38999</v>
          </cell>
          <cell r="AK254" t="str">
            <v/>
          </cell>
          <cell r="AL254">
            <v>6.4439768542872171</v>
          </cell>
          <cell r="AM254">
            <v>2006</v>
          </cell>
          <cell r="AN254">
            <v>22</v>
          </cell>
          <cell r="AO254">
            <v>39690</v>
          </cell>
          <cell r="AP254">
            <v>39705</v>
          </cell>
          <cell r="AQ254" t="str">
            <v>li</v>
          </cell>
          <cell r="AR254">
            <v>2008</v>
          </cell>
          <cell r="AS254">
            <v>8</v>
          </cell>
          <cell r="AT254">
            <v>28.506666666666664</v>
          </cell>
          <cell r="AU254">
            <v>7</v>
          </cell>
          <cell r="AV254">
            <v>50.483333333333327</v>
          </cell>
          <cell r="AW254">
            <v>7</v>
          </cell>
          <cell r="AX254">
            <v>56.620000000000005</v>
          </cell>
          <cell r="AY254">
            <v>3</v>
          </cell>
          <cell r="AZ254">
            <v>56.620000000000005</v>
          </cell>
          <cell r="BA254">
            <v>23</v>
          </cell>
          <cell r="BB254">
            <v>70.22999999999999</v>
          </cell>
          <cell r="BE254">
            <v>11</v>
          </cell>
          <cell r="BF254">
            <v>89.318571428571431</v>
          </cell>
          <cell r="BI254">
            <v>4</v>
          </cell>
          <cell r="BJ254">
            <v>97.575000000000003</v>
          </cell>
          <cell r="BK254">
            <v>63</v>
          </cell>
          <cell r="BL254">
            <v>5.9</v>
          </cell>
          <cell r="BM254">
            <v>0.84</v>
          </cell>
          <cell r="BN254">
            <v>0.4</v>
          </cell>
          <cell r="BO254" t="str">
            <v>signée</v>
          </cell>
          <cell r="BP254">
            <v>0.6</v>
          </cell>
          <cell r="BQ254" t="str">
            <v>signée</v>
          </cell>
          <cell r="BR254" t="str">
            <v>CG</v>
          </cell>
          <cell r="BX254" t="str">
            <v>signé</v>
          </cell>
          <cell r="BY254">
            <v>4889</v>
          </cell>
          <cell r="BZ254">
            <v>7665</v>
          </cell>
          <cell r="CA254">
            <v>5013.26</v>
          </cell>
          <cell r="CE254" t="str">
            <v>ECS ind</v>
          </cell>
          <cell r="CF254">
            <v>186717</v>
          </cell>
          <cell r="CG254">
            <v>72150</v>
          </cell>
          <cell r="CH254">
            <v>108225</v>
          </cell>
          <cell r="CI254">
            <v>60125</v>
          </cell>
          <cell r="CJ254" t="str">
            <v>-</v>
          </cell>
          <cell r="CK254" t="str">
            <v>-</v>
          </cell>
          <cell r="CL254" t="str">
            <v>-</v>
          </cell>
          <cell r="CM254" t="str">
            <v>-</v>
          </cell>
          <cell r="CN254">
            <v>0</v>
          </cell>
          <cell r="CQ254" t="str">
            <v>oui</v>
          </cell>
          <cell r="CR254">
            <v>205500</v>
          </cell>
          <cell r="CT254">
            <v>5114497</v>
          </cell>
          <cell r="CX254">
            <v>5319997</v>
          </cell>
          <cell r="DE254">
            <v>180375</v>
          </cell>
          <cell r="DJ254">
            <v>180375</v>
          </cell>
          <cell r="DO254">
            <v>0</v>
          </cell>
          <cell r="DR254">
            <v>39299</v>
          </cell>
          <cell r="DS254">
            <v>39299</v>
          </cell>
          <cell r="DT254">
            <v>78598</v>
          </cell>
          <cell r="DU254">
            <v>-5061024</v>
          </cell>
          <cell r="ED254" t="str">
            <v>G:\Habitat\OPERATIONNEL HABITAT\02- Operations\Photothèque\images locatifs\ZAC Madeleine\madeleine 1.jpg</v>
          </cell>
          <cell r="EE254" t="str">
            <v>G:\Habitat\OPERATIONNEL HABITAT\02- Operations\Photothèque\images locatifs\ZAC Madeleine\madeleine 2.jpg</v>
          </cell>
        </row>
        <row r="255">
          <cell r="A255" t="str">
            <v>ZANZIBAR</v>
          </cell>
          <cell r="B255">
            <v>9605</v>
          </cell>
          <cell r="C255" t="str">
            <v>OUEST</v>
          </cell>
          <cell r="D255" t="str">
            <v>Saint-Benoît</v>
          </cell>
          <cell r="E255" t="str">
            <v>RHI SAY PISCINE</v>
          </cell>
          <cell r="F255">
            <v>37</v>
          </cell>
          <cell r="G255" t="str">
            <v>LLS</v>
          </cell>
          <cell r="J255" t="str">
            <v>COL</v>
          </cell>
          <cell r="K255" t="str">
            <v>CF</v>
          </cell>
          <cell r="L255" t="str">
            <v>SIDR</v>
          </cell>
          <cell r="M255" t="str">
            <v>maitrisé</v>
          </cell>
          <cell r="N255" t="str">
            <v>JPM</v>
          </cell>
          <cell r="O255" t="str">
            <v>GG</v>
          </cell>
          <cell r="P255" t="str">
            <v>CC</v>
          </cell>
          <cell r="Q255" t="str">
            <v>OP</v>
          </cell>
          <cell r="R255">
            <v>2005</v>
          </cell>
          <cell r="T255" t="str">
            <v>retard livraison consuel/DGI 7/01/2007/eval perene ok/enquette clients</v>
          </cell>
          <cell r="U255" t="str">
            <v>REYNAUD</v>
          </cell>
          <cell r="V255" t="str">
            <v>M - LIVRE/GPA</v>
          </cell>
          <cell r="W255">
            <v>38553</v>
          </cell>
          <cell r="X255" t="str">
            <v>d</v>
          </cell>
          <cell r="Y255" t="str">
            <v>97440705A0063</v>
          </cell>
          <cell r="Z255">
            <v>38727</v>
          </cell>
          <cell r="AA255" t="str">
            <v>o</v>
          </cell>
          <cell r="AB255" t="str">
            <v>validé</v>
          </cell>
          <cell r="AC255" t="str">
            <v/>
          </cell>
          <cell r="AD255">
            <v>38624</v>
          </cell>
          <cell r="AE255">
            <v>38551</v>
          </cell>
          <cell r="AF255" t="str">
            <v>f</v>
          </cell>
          <cell r="AG255">
            <v>38722</v>
          </cell>
          <cell r="AH255">
            <v>38657</v>
          </cell>
          <cell r="AI255" t="str">
            <v>ao</v>
          </cell>
          <cell r="AJ255">
            <v>38859</v>
          </cell>
          <cell r="AK255" t="str">
            <v/>
          </cell>
          <cell r="AL255">
            <v>6.6412414518674385</v>
          </cell>
          <cell r="AM255">
            <v>2006</v>
          </cell>
          <cell r="AN255">
            <v>19</v>
          </cell>
          <cell r="AO255">
            <v>39405</v>
          </cell>
          <cell r="AP255">
            <v>39436</v>
          </cell>
          <cell r="AQ255" t="str">
            <v>li</v>
          </cell>
          <cell r="AR255">
            <v>2007</v>
          </cell>
          <cell r="AS255">
            <v>3</v>
          </cell>
          <cell r="AT255">
            <v>28</v>
          </cell>
          <cell r="AU255">
            <v>1</v>
          </cell>
          <cell r="AV255">
            <v>50</v>
          </cell>
          <cell r="AW255">
            <v>7</v>
          </cell>
          <cell r="AX255">
            <v>58</v>
          </cell>
          <cell r="BA255">
            <v>13</v>
          </cell>
          <cell r="BB255">
            <v>69</v>
          </cell>
          <cell r="BE255">
            <v>10</v>
          </cell>
          <cell r="BF255">
            <v>80</v>
          </cell>
          <cell r="BI255">
            <v>3</v>
          </cell>
          <cell r="BJ255">
            <v>90</v>
          </cell>
          <cell r="BK255">
            <v>37</v>
          </cell>
          <cell r="BL255">
            <v>6.33</v>
          </cell>
          <cell r="BM255">
            <v>0.82</v>
          </cell>
          <cell r="BN255">
            <v>0.2</v>
          </cell>
          <cell r="BO255" t="str">
            <v>signée</v>
          </cell>
          <cell r="BP255">
            <v>0.8</v>
          </cell>
          <cell r="BQ255" t="str">
            <v>signée</v>
          </cell>
          <cell r="BX255" t="str">
            <v>signé</v>
          </cell>
          <cell r="BY255">
            <v>2342</v>
          </cell>
          <cell r="BZ255">
            <v>4735</v>
          </cell>
          <cell r="CA255">
            <v>3036</v>
          </cell>
          <cell r="CE255" t="str">
            <v>ECS ind</v>
          </cell>
          <cell r="CF255">
            <v>136900</v>
          </cell>
          <cell r="CG255">
            <v>41070</v>
          </cell>
          <cell r="CH255">
            <v>61605</v>
          </cell>
          <cell r="CI255" t="str">
            <v>AR 07/2006</v>
          </cell>
          <cell r="CJ255" t="str">
            <v>-</v>
          </cell>
          <cell r="CK255" t="str">
            <v>-</v>
          </cell>
          <cell r="CL255" t="str">
            <v>-</v>
          </cell>
          <cell r="CM255" t="str">
            <v>-</v>
          </cell>
          <cell r="CN255">
            <v>0</v>
          </cell>
          <cell r="CQ255" t="str">
            <v>oui</v>
          </cell>
          <cell r="CR255">
            <v>105966</v>
          </cell>
          <cell r="CT255">
            <v>2696438</v>
          </cell>
          <cell r="CX255">
            <v>2802404</v>
          </cell>
          <cell r="DE255">
            <v>102675</v>
          </cell>
          <cell r="DJ255">
            <v>102675</v>
          </cell>
          <cell r="DO255">
            <v>0</v>
          </cell>
          <cell r="DQ255">
            <v>26393</v>
          </cell>
          <cell r="DS255">
            <v>26393</v>
          </cell>
          <cell r="DT255">
            <v>52786</v>
          </cell>
          <cell r="DU255">
            <v>-2646943</v>
          </cell>
          <cell r="ED255" t="str">
            <v>G:\Habitat\OPERATIONNEL HABITAT\02- Operations\Photothèque\images locatifs\Zanzibar\Zanzibar.jpg</v>
          </cell>
          <cell r="EE255" t="str">
            <v>G:\Habitat\OPERATIONNEL HABITAT\02- Operations\Photothèque\images locatifs\Zanzibar\zanzibar ouest juin 2005 copie.jpg</v>
          </cell>
        </row>
      </sheetData>
      <sheetData sheetId="1" refreshError="1"/>
      <sheetData sheetId="2">
        <row r="1">
          <cell r="B1" t="str">
            <v>FICHE DE SYNTHESE OPERATION | SIDR | Département CONSTRUCTION</v>
          </cell>
          <cell r="P1">
            <v>39920</v>
          </cell>
        </row>
        <row r="3">
          <cell r="B3" t="str">
            <v>opération</v>
          </cell>
          <cell r="C3" t="str">
            <v>BŒUF MORT 2</v>
          </cell>
          <cell r="O3" t="str">
            <v>N° compte</v>
          </cell>
          <cell r="P3">
            <v>9739</v>
          </cell>
        </row>
        <row r="5">
          <cell r="B5" t="str">
            <v>Données opération</v>
          </cell>
          <cell r="I5" t="str">
            <v>Données Gestion Immobilière</v>
          </cell>
        </row>
        <row r="7">
          <cell r="B7" t="str">
            <v>Nbre L</v>
          </cell>
          <cell r="C7">
            <v>36</v>
          </cell>
          <cell r="E7" t="str">
            <v>COP</v>
          </cell>
          <cell r="F7" t="str">
            <v>JEM</v>
          </cell>
          <cell r="I7" t="str">
            <v>Type</v>
          </cell>
          <cell r="J7" t="str">
            <v>Nbre</v>
          </cell>
          <cell r="K7" t="str">
            <v>surfaces</v>
          </cell>
          <cell r="L7" t="str">
            <v>smini</v>
          </cell>
          <cell r="M7" t="str">
            <v>%age|mini</v>
          </cell>
          <cell r="N7" t="str">
            <v>loyer</v>
          </cell>
          <cell r="O7" t="str">
            <v>charges</v>
          </cell>
          <cell r="P7" t="str">
            <v>total</v>
          </cell>
        </row>
        <row r="8">
          <cell r="B8" t="str">
            <v>produit</v>
          </cell>
          <cell r="C8" t="str">
            <v>LLTS</v>
          </cell>
          <cell r="E8" t="str">
            <v>CTX</v>
          </cell>
          <cell r="F8" t="str">
            <v>DL</v>
          </cell>
          <cell r="I8" t="str">
            <v>t1bis</v>
          </cell>
          <cell r="J8">
            <v>0</v>
          </cell>
          <cell r="K8">
            <v>0</v>
          </cell>
          <cell r="L8">
            <v>30</v>
          </cell>
          <cell r="M8">
            <v>0</v>
          </cell>
          <cell r="N8">
            <v>0</v>
          </cell>
          <cell r="O8">
            <v>0</v>
          </cell>
          <cell r="P8">
            <v>0</v>
          </cell>
        </row>
        <row r="9">
          <cell r="B9" t="str">
            <v>LBU</v>
          </cell>
          <cell r="C9">
            <v>2009</v>
          </cell>
          <cell r="E9" t="str">
            <v>Maitrise d'œuvre</v>
          </cell>
          <cell r="F9" t="str">
            <v>BERTIN LEBEIGLE</v>
          </cell>
          <cell r="I9" t="str">
            <v>T2</v>
          </cell>
          <cell r="J9">
            <v>0</v>
          </cell>
          <cell r="K9">
            <v>0</v>
          </cell>
          <cell r="L9">
            <v>46</v>
          </cell>
          <cell r="M9">
            <v>0</v>
          </cell>
          <cell r="N9">
            <v>0</v>
          </cell>
          <cell r="O9">
            <v>0</v>
          </cell>
          <cell r="P9">
            <v>0</v>
          </cell>
        </row>
        <row r="10">
          <cell r="B10" t="str">
            <v>Commune</v>
          </cell>
          <cell r="C10" t="str">
            <v>Possession</v>
          </cell>
          <cell r="E10" t="str">
            <v>Surfaces</v>
          </cell>
          <cell r="I10" t="str">
            <v>T2/3</v>
          </cell>
          <cell r="J10">
            <v>0</v>
          </cell>
          <cell r="K10">
            <v>0</v>
          </cell>
          <cell r="L10">
            <v>56</v>
          </cell>
          <cell r="M10">
            <v>0</v>
          </cell>
          <cell r="N10">
            <v>0</v>
          </cell>
          <cell r="O10">
            <v>0</v>
          </cell>
          <cell r="P10">
            <v>0</v>
          </cell>
        </row>
        <row r="11">
          <cell r="B11" t="str">
            <v>Localisation</v>
          </cell>
          <cell r="C11">
            <v>0</v>
          </cell>
          <cell r="E11" t="str">
            <v>Sha</v>
          </cell>
          <cell r="F11">
            <v>0</v>
          </cell>
          <cell r="G11" t="str">
            <v>m²</v>
          </cell>
          <cell r="I11" t="str">
            <v>T3</v>
          </cell>
          <cell r="J11">
            <v>0</v>
          </cell>
          <cell r="K11">
            <v>0</v>
          </cell>
          <cell r="L11">
            <v>56</v>
          </cell>
          <cell r="M11">
            <v>0</v>
          </cell>
          <cell r="N11">
            <v>0</v>
          </cell>
          <cell r="O11">
            <v>0</v>
          </cell>
          <cell r="P11">
            <v>0</v>
          </cell>
        </row>
        <row r="12">
          <cell r="B12" t="str">
            <v>zone</v>
          </cell>
          <cell r="C12" t="str">
            <v>OUEST</v>
          </cell>
          <cell r="E12" t="str">
            <v>Shon</v>
          </cell>
          <cell r="F12">
            <v>0</v>
          </cell>
          <cell r="G12" t="str">
            <v>m²</v>
          </cell>
          <cell r="I12" t="str">
            <v>T3/4</v>
          </cell>
          <cell r="J12">
            <v>0</v>
          </cell>
          <cell r="K12">
            <v>0</v>
          </cell>
          <cell r="L12">
            <v>66</v>
          </cell>
          <cell r="M12">
            <v>0</v>
          </cell>
          <cell r="N12">
            <v>0</v>
          </cell>
          <cell r="O12">
            <v>0</v>
          </cell>
          <cell r="P12">
            <v>0</v>
          </cell>
        </row>
        <row r="13">
          <cell r="B13" t="str">
            <v>n° compt</v>
          </cell>
          <cell r="C13">
            <v>9739</v>
          </cell>
          <cell r="E13" t="str">
            <v>Shob</v>
          </cell>
          <cell r="F13">
            <v>0</v>
          </cell>
          <cell r="G13" t="str">
            <v>m²</v>
          </cell>
          <cell r="I13" t="str">
            <v>T4</v>
          </cell>
          <cell r="J13">
            <v>0</v>
          </cell>
          <cell r="K13">
            <v>0</v>
          </cell>
          <cell r="L13">
            <v>66</v>
          </cell>
          <cell r="M13">
            <v>0</v>
          </cell>
          <cell r="N13">
            <v>0</v>
          </cell>
          <cell r="O13">
            <v>0</v>
          </cell>
          <cell r="P13">
            <v>0</v>
          </cell>
        </row>
        <row r="14">
          <cell r="B14" t="str">
            <v>Origine du foncier</v>
          </cell>
          <cell r="C14" t="str">
            <v>CF</v>
          </cell>
          <cell r="E14" t="str">
            <v>S finançables</v>
          </cell>
          <cell r="F14">
            <v>0</v>
          </cell>
          <cell r="G14" t="str">
            <v>m²</v>
          </cell>
          <cell r="I14" t="str">
            <v>T4/5</v>
          </cell>
          <cell r="J14">
            <v>0</v>
          </cell>
          <cell r="K14">
            <v>0</v>
          </cell>
          <cell r="L14">
            <v>76</v>
          </cell>
          <cell r="M14">
            <v>0</v>
          </cell>
          <cell r="N14">
            <v>0</v>
          </cell>
          <cell r="O14">
            <v>0</v>
          </cell>
          <cell r="P14">
            <v>0</v>
          </cell>
        </row>
        <row r="15">
          <cell r="B15" t="str">
            <v>si Charge foncière</v>
          </cell>
          <cell r="C15">
            <v>0</v>
          </cell>
          <cell r="E15" t="str">
            <v>S défiscalisable</v>
          </cell>
          <cell r="F15">
            <v>0</v>
          </cell>
          <cell r="G15" t="str">
            <v>m²</v>
          </cell>
          <cell r="I15" t="str">
            <v>T5</v>
          </cell>
          <cell r="J15">
            <v>0</v>
          </cell>
          <cell r="K15">
            <v>0</v>
          </cell>
          <cell r="L15">
            <v>76</v>
          </cell>
          <cell r="M15">
            <v>0</v>
          </cell>
          <cell r="N15">
            <v>0</v>
          </cell>
          <cell r="O15">
            <v>0</v>
          </cell>
          <cell r="P15">
            <v>0</v>
          </cell>
        </row>
        <row r="16">
          <cell r="B16" t="str">
            <v>Maitrise duFoncier</v>
          </cell>
          <cell r="C16" t="str">
            <v>autres</v>
          </cell>
          <cell r="E16" t="str">
            <v>terrain</v>
          </cell>
          <cell r="F16">
            <v>0</v>
          </cell>
          <cell r="G16" t="str">
            <v>m²</v>
          </cell>
          <cell r="I16" t="str">
            <v>T5/6</v>
          </cell>
          <cell r="J16">
            <v>0</v>
          </cell>
          <cell r="K16">
            <v>0</v>
          </cell>
          <cell r="L16">
            <v>86</v>
          </cell>
          <cell r="M16">
            <v>0</v>
          </cell>
          <cell r="N16">
            <v>0</v>
          </cell>
          <cell r="O16">
            <v>0</v>
          </cell>
          <cell r="P16">
            <v>0</v>
          </cell>
        </row>
        <row r="17">
          <cell r="B17" t="str">
            <v>Identifier au COS</v>
          </cell>
          <cell r="C17">
            <v>0</v>
          </cell>
          <cell r="E17" t="str">
            <v>S espcaces verts</v>
          </cell>
          <cell r="F17">
            <v>0</v>
          </cell>
          <cell r="G17" t="str">
            <v>m²</v>
          </cell>
          <cell r="I17" t="str">
            <v>Total</v>
          </cell>
          <cell r="J17">
            <v>0</v>
          </cell>
          <cell r="K17">
            <v>0</v>
          </cell>
        </row>
        <row r="18">
          <cell r="B18" t="str">
            <v>PérimètreANRU</v>
          </cell>
          <cell r="C18">
            <v>0</v>
          </cell>
          <cell r="E18" t="str">
            <v>S espaces communs</v>
          </cell>
          <cell r="F18">
            <v>0</v>
          </cell>
          <cell r="G18" t="str">
            <v>m²</v>
          </cell>
          <cell r="N18" t="str">
            <v>loyer prev</v>
          </cell>
          <cell r="O18" t="str">
            <v>charges prev</v>
          </cell>
        </row>
        <row r="19">
          <cell r="J19" t="str">
            <v>surface logement moyen</v>
          </cell>
          <cell r="K19">
            <v>0</v>
          </cell>
          <cell r="N19">
            <v>0</v>
          </cell>
          <cell r="O19">
            <v>0</v>
          </cell>
        </row>
        <row r="21">
          <cell r="B21" t="str">
            <v>Données Avancement</v>
          </cell>
          <cell r="F21" t="str">
            <v>Données Financières</v>
          </cell>
          <cell r="I21" t="str">
            <v>Couts</v>
          </cell>
          <cell r="L21" t="str">
            <v>Réservataires</v>
          </cell>
        </row>
        <row r="23">
          <cell r="B23" t="str">
            <v>AVANCEMENT</v>
          </cell>
          <cell r="C23" t="str">
            <v>D - ESQUISSES</v>
          </cell>
          <cell r="F23" t="str">
            <v>Garanties Emprunts</v>
          </cell>
          <cell r="I23" t="str">
            <v>Charge foncière</v>
          </cell>
          <cell r="J23">
            <v>0</v>
          </cell>
          <cell r="M23" t="str">
            <v>nb lgts</v>
          </cell>
          <cell r="N23" t="str">
            <v>Convention</v>
          </cell>
          <cell r="O23" t="str">
            <v>Montant</v>
          </cell>
          <cell r="P23" t="str">
            <v>% reseva°</v>
          </cell>
        </row>
        <row r="24">
          <cell r="F24" t="str">
            <v>Conseil Général</v>
          </cell>
          <cell r="G24">
            <v>0</v>
          </cell>
          <cell r="I24" t="str">
            <v>dont terrain</v>
          </cell>
          <cell r="J24">
            <v>0</v>
          </cell>
          <cell r="L24" t="str">
            <v>CAF (LLTS)</v>
          </cell>
          <cell r="M24">
            <v>0</v>
          </cell>
          <cell r="N24">
            <v>0</v>
          </cell>
          <cell r="O24">
            <v>0</v>
          </cell>
          <cell r="P24">
            <v>0</v>
          </cell>
        </row>
        <row r="25">
          <cell r="B25" t="str">
            <v>Dépôt PC</v>
          </cell>
          <cell r="C25">
            <v>39933</v>
          </cell>
          <cell r="D25" t="str">
            <v>prévisionnel</v>
          </cell>
          <cell r="F25" t="str">
            <v>Taux garentie CG</v>
          </cell>
          <cell r="G25">
            <v>0</v>
          </cell>
          <cell r="I25" t="str">
            <v>Bâtiment</v>
          </cell>
          <cell r="J25">
            <v>0</v>
          </cell>
          <cell r="L25" t="str">
            <v>1% ACLPME</v>
          </cell>
          <cell r="M25">
            <v>0</v>
          </cell>
          <cell r="N25">
            <v>0</v>
          </cell>
          <cell r="O25">
            <v>0</v>
          </cell>
        </row>
        <row r="26">
          <cell r="B26" t="str">
            <v>N° de permis de construire</v>
          </cell>
          <cell r="C26">
            <v>39933</v>
          </cell>
          <cell r="F26" t="str">
            <v>Commune</v>
          </cell>
          <cell r="G26">
            <v>0</v>
          </cell>
          <cell r="I26" t="str">
            <v>Honoraires</v>
          </cell>
          <cell r="J26">
            <v>0</v>
          </cell>
          <cell r="L26" t="str">
            <v>1% CILR</v>
          </cell>
          <cell r="M26">
            <v>0</v>
          </cell>
          <cell r="N26">
            <v>0</v>
          </cell>
          <cell r="O26">
            <v>0</v>
          </cell>
        </row>
        <row r="27">
          <cell r="B27" t="str">
            <v>Obtention PC</v>
          </cell>
          <cell r="C27">
            <v>0</v>
          </cell>
          <cell r="F27" t="str">
            <v>Taux garentie com</v>
          </cell>
          <cell r="G27">
            <v>0</v>
          </cell>
          <cell r="I27" t="str">
            <v>Solaire</v>
          </cell>
          <cell r="J27">
            <v>0</v>
          </cell>
          <cell r="L27" t="str">
            <v>LA POSTE</v>
          </cell>
          <cell r="M27">
            <v>0</v>
          </cell>
          <cell r="N27">
            <v>0</v>
          </cell>
          <cell r="O27">
            <v>0</v>
          </cell>
        </row>
        <row r="28">
          <cell r="B28" t="str">
            <v>Comité Engt</v>
          </cell>
          <cell r="C28">
            <v>39524</v>
          </cell>
          <cell r="I28" t="str">
            <v>Interet prefinancement</v>
          </cell>
          <cell r="J28">
            <v>0</v>
          </cell>
          <cell r="L28" t="str">
            <v>Préffecture</v>
          </cell>
          <cell r="P28">
            <v>0</v>
          </cell>
        </row>
        <row r="29">
          <cell r="B29" t="str">
            <v>CA du</v>
          </cell>
          <cell r="C29">
            <v>0</v>
          </cell>
          <cell r="F29" t="str">
            <v>Prêt CDC ou autre</v>
          </cell>
          <cell r="I29" t="str">
            <v>TOTAL</v>
          </cell>
          <cell r="J29">
            <v>0</v>
          </cell>
          <cell r="L29" t="str">
            <v>Commune</v>
          </cell>
          <cell r="P29">
            <v>0</v>
          </cell>
        </row>
        <row r="30">
          <cell r="B30" t="str">
            <v>Dépôt FINCT</v>
          </cell>
          <cell r="C30">
            <v>40040</v>
          </cell>
          <cell r="D30" t="str">
            <v>prévisionnel</v>
          </cell>
          <cell r="F30" t="str">
            <v>Prêt CDC ou autre</v>
          </cell>
          <cell r="G30">
            <v>0</v>
          </cell>
          <cell r="L30" t="str">
            <v>Autres</v>
          </cell>
          <cell r="M30">
            <v>0</v>
          </cell>
          <cell r="N30">
            <v>0</v>
          </cell>
          <cell r="O30">
            <v>0</v>
          </cell>
        </row>
        <row r="31">
          <cell r="B31" t="str">
            <v>Décision finct</v>
          </cell>
          <cell r="C31">
            <v>0</v>
          </cell>
          <cell r="D31" t="str">
            <v>réel</v>
          </cell>
        </row>
        <row r="32">
          <cell r="B32" t="str">
            <v>lanct AO</v>
          </cell>
          <cell r="C32">
            <v>40053</v>
          </cell>
          <cell r="D32" t="str">
            <v>prévisionnel</v>
          </cell>
        </row>
        <row r="33">
          <cell r="B33" t="str">
            <v>OS</v>
          </cell>
          <cell r="C33">
            <v>40237</v>
          </cell>
          <cell r="D33" t="str">
            <v>prévisionnel</v>
          </cell>
          <cell r="F33" t="str">
            <v>Défiscalisation</v>
          </cell>
          <cell r="I33" t="str">
            <v>Financement</v>
          </cell>
          <cell r="L33" t="str">
            <v>Ratios</v>
          </cell>
        </row>
        <row r="34">
          <cell r="B34" t="str">
            <v>DOC</v>
          </cell>
          <cell r="C34">
            <v>0</v>
          </cell>
        </row>
        <row r="35">
          <cell r="B35" t="str">
            <v>durée cont. Chantier</v>
          </cell>
          <cell r="C35">
            <v>16</v>
          </cell>
          <cell r="F35" t="str">
            <v>Véhicule fiscal</v>
          </cell>
          <cell r="G35" t="str">
            <v>-</v>
          </cell>
          <cell r="I35" t="str">
            <v>Subventions</v>
          </cell>
          <cell r="J35">
            <v>0</v>
          </cell>
          <cell r="L35" t="str">
            <v>Cout de construction</v>
          </cell>
        </row>
        <row r="36">
          <cell r="B36" t="str">
            <v>DAT &amp; Conformité</v>
          </cell>
          <cell r="C36">
            <v>0</v>
          </cell>
          <cell r="F36" t="str">
            <v>Défiscalisateur</v>
          </cell>
          <cell r="G36" t="str">
            <v>-</v>
          </cell>
          <cell r="I36" t="str">
            <v>Prêts</v>
          </cell>
          <cell r="J36">
            <v>0</v>
          </cell>
          <cell r="L36" t="str">
            <v>ratio CF</v>
          </cell>
          <cell r="M36">
            <v>0</v>
          </cell>
          <cell r="N36" t="str">
            <v>au logt</v>
          </cell>
        </row>
        <row r="37">
          <cell r="B37" t="str">
            <v>LIV contract</v>
          </cell>
          <cell r="C37">
            <v>40722</v>
          </cell>
          <cell r="D37" t="str">
            <v>prévisionnel</v>
          </cell>
          <cell r="F37" t="str">
            <v>Demande d'agrément</v>
          </cell>
          <cell r="G37" t="str">
            <v>-</v>
          </cell>
          <cell r="I37" t="str">
            <v>Fonds propres</v>
          </cell>
          <cell r="J37">
            <v>0</v>
          </cell>
          <cell r="L37" t="str">
            <v>ratio BAT</v>
          </cell>
          <cell r="M37">
            <v>0</v>
          </cell>
          <cell r="N37" t="str">
            <v>m² surface finançable</v>
          </cell>
        </row>
        <row r="38">
          <cell r="B38" t="str">
            <v>LIV reelle</v>
          </cell>
          <cell r="C38">
            <v>40737</v>
          </cell>
          <cell r="D38" t="str">
            <v>prévisionnel</v>
          </cell>
          <cell r="F38" t="str">
            <v>Agrément</v>
          </cell>
          <cell r="G38" t="str">
            <v>-</v>
          </cell>
          <cell r="I38" t="str">
            <v>Apport défisc</v>
          </cell>
          <cell r="J38">
            <v>0</v>
          </cell>
        </row>
        <row r="39">
          <cell r="L39" t="str">
            <v>cout logt</v>
          </cell>
          <cell r="M39">
            <v>0</v>
          </cell>
          <cell r="N39" t="str">
            <v>au logt</v>
          </cell>
        </row>
        <row r="40">
          <cell r="M40">
            <v>0</v>
          </cell>
          <cell r="N40" t="str">
            <v>au m² financable</v>
          </cell>
        </row>
        <row r="41">
          <cell r="L41" t="str">
            <v>FP</v>
          </cell>
          <cell r="M41">
            <v>0</v>
          </cell>
          <cell r="N41" t="str">
            <v>au logt</v>
          </cell>
        </row>
        <row r="42">
          <cell r="B42" t="str">
            <v>Images | Photos du Projet</v>
          </cell>
        </row>
        <row r="43">
          <cell r="B43" t="str">
            <v>G:\Habitat\OPERATIONNEL HABITAT\02- Operations\Photothèque\image non disponible.jpg</v>
          </cell>
          <cell r="C43" t="str">
            <v>G:\Habitat\OPERATIONNEL HABITAT\02- Operations\Photothèque\image non disponible.jpg</v>
          </cell>
          <cell r="J43" t="str">
            <v>G:\Habitat\OPERATIONNEL HABITAT\02- Operations\Photothèque\image non disponible.jpg</v>
          </cell>
        </row>
        <row r="44">
          <cell r="L44" t="str">
            <v>Présentation de l'opération</v>
          </cell>
        </row>
        <row r="46">
          <cell r="L46">
            <v>0</v>
          </cell>
        </row>
        <row r="50">
          <cell r="L50" t="str">
            <v>Adresse de l'opération</v>
          </cell>
        </row>
        <row r="52">
          <cell r="L52" t="str">
            <v>Section cadastral</v>
          </cell>
          <cell r="N52">
            <v>0</v>
          </cell>
        </row>
        <row r="53">
          <cell r="L53" t="str">
            <v>Adresse postale</v>
          </cell>
          <cell r="N53">
            <v>0</v>
          </cell>
        </row>
        <row r="55">
          <cell r="L55" t="str">
            <v>Remarques | Commentaires</v>
          </cell>
        </row>
        <row r="57">
          <cell r="L57" t="str">
            <v>validation tracé chemin bœuf mort/financement vrd/planning vrd - En attente autorisation de construire sur terrain appartenant à l'etat de la part de la DDE afin que la commune puisse accorder le PC - En attente du prix du foncier, le bilan est basé sur u</v>
          </cell>
        </row>
      </sheetData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>
        <row r="4">
          <cell r="A4" t="str">
            <v>COP</v>
          </cell>
          <cell r="B4" t="str">
            <v>CTX</v>
          </cell>
          <cell r="C4" t="str">
            <v>ASS</v>
          </cell>
          <cell r="I4" t="str">
            <v>PRODUIT</v>
          </cell>
          <cell r="J4" t="str">
            <v>FINANCT</v>
          </cell>
          <cell r="K4" t="str">
            <v>FONCIER</v>
          </cell>
          <cell r="M4" t="str">
            <v>garanties emprunts</v>
          </cell>
          <cell r="N4" t="str">
            <v>prêts</v>
          </cell>
          <cell r="O4" t="str">
            <v>probabilité finct LBU</v>
          </cell>
          <cell r="Q4" t="str">
            <v>Defiscalisateur</v>
          </cell>
        </row>
        <row r="5">
          <cell r="A5" t="str">
            <v>PC</v>
          </cell>
          <cell r="B5" t="str">
            <v>PC</v>
          </cell>
          <cell r="C5" t="str">
            <v>AM</v>
          </cell>
          <cell r="I5" t="str">
            <v>LOCATIF</v>
          </cell>
          <cell r="J5" t="str">
            <v>LLS</v>
          </cell>
          <cell r="K5" t="str">
            <v>CF</v>
          </cell>
          <cell r="M5" t="str">
            <v>à faire</v>
          </cell>
          <cell r="N5" t="str">
            <v>demande à faire</v>
          </cell>
          <cell r="O5">
            <v>1</v>
          </cell>
          <cell r="Q5" t="str">
            <v>INFI</v>
          </cell>
        </row>
        <row r="6">
          <cell r="A6" t="str">
            <v>JPM</v>
          </cell>
          <cell r="B6" t="str">
            <v>DL</v>
          </cell>
          <cell r="C6" t="str">
            <v>CS</v>
          </cell>
          <cell r="I6" t="str">
            <v>ACCESSION</v>
          </cell>
          <cell r="J6" t="str">
            <v>LLTS</v>
          </cell>
          <cell r="K6" t="str">
            <v>RF</v>
          </cell>
          <cell r="M6" t="str">
            <v xml:space="preserve">transmis </v>
          </cell>
          <cell r="O6">
            <v>0.75</v>
          </cell>
          <cell r="Q6" t="str">
            <v>ALCYOM</v>
          </cell>
        </row>
        <row r="7">
          <cell r="A7" t="str">
            <v>JEM</v>
          </cell>
          <cell r="B7" t="str">
            <v>Jmo</v>
          </cell>
          <cell r="C7" t="str">
            <v>CC</v>
          </cell>
          <cell r="I7" t="str">
            <v>ACCESSION SOCIALE</v>
          </cell>
          <cell r="J7" t="str">
            <v>PLS</v>
          </cell>
          <cell r="K7" t="str">
            <v>ACQ</v>
          </cell>
          <cell r="M7" t="str">
            <v>signée</v>
          </cell>
          <cell r="N7" t="str">
            <v>en attente garanties emprunts</v>
          </cell>
          <cell r="O7">
            <v>0.5</v>
          </cell>
          <cell r="Q7" t="str">
            <v>OUTREMER FINANCE</v>
          </cell>
        </row>
        <row r="8">
          <cell r="A8" t="str">
            <v>Cla</v>
          </cell>
          <cell r="B8" t="str">
            <v>JH</v>
          </cell>
          <cell r="C8" t="str">
            <v>LV</v>
          </cell>
          <cell r="J8" t="str">
            <v>FOY</v>
          </cell>
          <cell r="N8" t="str">
            <v>émis signature garants en cours</v>
          </cell>
          <cell r="O8">
            <v>0.25</v>
          </cell>
          <cell r="Q8" t="str">
            <v>-</v>
          </cell>
        </row>
        <row r="9">
          <cell r="A9" t="str">
            <v>BB</v>
          </cell>
          <cell r="B9" t="str">
            <v>CA</v>
          </cell>
          <cell r="J9" t="str">
            <v>RPA</v>
          </cell>
          <cell r="N9" t="str">
            <v>signé</v>
          </cell>
          <cell r="O9">
            <v>0</v>
          </cell>
        </row>
        <row r="10">
          <cell r="A10" t="str">
            <v>BS</v>
          </cell>
          <cell r="B10" t="str">
            <v>FG</v>
          </cell>
          <cell r="J10" t="str">
            <v>LESG</v>
          </cell>
        </row>
        <row r="11">
          <cell r="A11" t="str">
            <v>N.A.</v>
          </cell>
          <cell r="B11" t="str">
            <v>OS</v>
          </cell>
          <cell r="J11" t="str">
            <v>LES+</v>
          </cell>
        </row>
        <row r="12">
          <cell r="A12" t="str">
            <v>LC</v>
          </cell>
          <cell r="B12" t="str">
            <v>PE</v>
          </cell>
          <cell r="J12" t="str">
            <v>LESD</v>
          </cell>
        </row>
        <row r="13">
          <cell r="J13" t="str">
            <v>ACC</v>
          </cell>
        </row>
        <row r="14">
          <cell r="J14" t="str">
            <v>PTZ</v>
          </cell>
        </row>
        <row r="15">
          <cell r="J15" t="str">
            <v>nd</v>
          </cell>
        </row>
        <row r="32">
          <cell r="A32" t="str">
            <v>OUI NON</v>
          </cell>
          <cell r="D32" t="str">
            <v>maitrise foncier</v>
          </cell>
        </row>
        <row r="33">
          <cell r="A33" t="str">
            <v xml:space="preserve">OUI </v>
          </cell>
          <cell r="D33" t="str">
            <v>non maitrisé</v>
          </cell>
        </row>
        <row r="34">
          <cell r="A34" t="str">
            <v>NON</v>
          </cell>
        </row>
        <row r="35">
          <cell r="D35" t="str">
            <v>sous compromis</v>
          </cell>
        </row>
        <row r="36">
          <cell r="D36" t="str">
            <v>acte signé</v>
          </cell>
        </row>
        <row r="37">
          <cell r="D37" t="str">
            <v>maitrisé</v>
          </cell>
        </row>
        <row r="38">
          <cell r="D38" t="str">
            <v>prob foncier</v>
          </cell>
        </row>
        <row r="40">
          <cell r="D40" t="str">
            <v>acq en DUP</v>
          </cell>
        </row>
        <row r="41">
          <cell r="D41" t="str">
            <v>autres</v>
          </cell>
        </row>
      </sheetData>
      <sheetData sheetId="15" refreshError="1"/>
    </sheetDataSet>
  </externalBook>
</externalLink>
</file>

<file path=xl/externalLinks/externalLink1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ées habitat social"/>
      <sheetName val="Saisie"/>
      <sheetName val="fiche opé"/>
      <sheetName val="Charges COP"/>
      <sheetName val="Charges CTX"/>
      <sheetName val="A.O."/>
      <sheetName val="O.S."/>
      <sheetName val="Livraisons"/>
      <sheetName val="Défisc"/>
      <sheetName val="VEFA"/>
      <sheetName val="ANRU"/>
      <sheetName val="Prets - garanties"/>
      <sheetName val="Suivi par intervenant"/>
      <sheetName val="Suivi par secteur"/>
      <sheetName val="Listes"/>
      <sheetName val="TABLEAU DE BORD HABITAT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>
        <row r="4">
          <cell r="A4" t="str">
            <v>COP</v>
          </cell>
          <cell r="D4" t="str">
            <v>AVANCEMENT</v>
          </cell>
          <cell r="E4" t="str">
            <v>COMMUNES</v>
          </cell>
          <cell r="L4" t="str">
            <v>AMENAGEUR</v>
          </cell>
        </row>
        <row r="5">
          <cell r="D5" t="str">
            <v>A - NON LANCE</v>
          </cell>
          <cell r="E5" t="str">
            <v>Avirons</v>
          </cell>
          <cell r="L5" t="str">
            <v>SIDR</v>
          </cell>
        </row>
        <row r="6">
          <cell r="D6" t="str">
            <v>B - ETUDE PRE-OP</v>
          </cell>
          <cell r="E6" t="str">
            <v>Bras Panon</v>
          </cell>
          <cell r="L6" t="str">
            <v>SEDRE</v>
          </cell>
        </row>
        <row r="7">
          <cell r="D7" t="str">
            <v>C - PROGRAMME</v>
          </cell>
          <cell r="E7" t="str">
            <v>Cilaos</v>
          </cell>
          <cell r="L7" t="str">
            <v>SEMAC</v>
          </cell>
        </row>
        <row r="8">
          <cell r="D8" t="str">
            <v>D - ESQUISSES</v>
          </cell>
          <cell r="E8" t="str">
            <v>Entre-Deux</v>
          </cell>
          <cell r="L8" t="str">
            <v>SEMADER</v>
          </cell>
        </row>
        <row r="9">
          <cell r="D9" t="str">
            <v>E - APS / PC</v>
          </cell>
          <cell r="E9" t="str">
            <v>Etang-Salé</v>
          </cell>
          <cell r="L9" t="str">
            <v>SDI</v>
          </cell>
        </row>
        <row r="10">
          <cell r="D10" t="str">
            <v>F - APD</v>
          </cell>
          <cell r="E10" t="str">
            <v>Petite Ile</v>
          </cell>
          <cell r="L10" t="str">
            <v>SODIAC</v>
          </cell>
        </row>
        <row r="11">
          <cell r="D11" t="str">
            <v>G - PROJET</v>
          </cell>
          <cell r="E11" t="str">
            <v>Plaine des Palmistes</v>
          </cell>
          <cell r="L11" t="str">
            <v>CBO</v>
          </cell>
        </row>
        <row r="12">
          <cell r="D12" t="str">
            <v>H - APPEL D'OFFRES</v>
          </cell>
          <cell r="E12" t="str">
            <v>Port</v>
          </cell>
          <cell r="L12" t="str">
            <v>autres</v>
          </cell>
        </row>
        <row r="13">
          <cell r="D13" t="str">
            <v>I - ACT</v>
          </cell>
          <cell r="E13" t="str">
            <v>Possession</v>
          </cell>
        </row>
        <row r="14">
          <cell r="D14" t="str">
            <v>J - PREPARATION MARCHES</v>
          </cell>
          <cell r="E14" t="str">
            <v>Saint-André</v>
          </cell>
        </row>
        <row r="15">
          <cell r="D15" t="str">
            <v>K - OS TRAVAUX</v>
          </cell>
          <cell r="E15" t="str">
            <v>Saint-Benoît</v>
          </cell>
        </row>
        <row r="16">
          <cell r="D16" t="str">
            <v>L - CHANTIER EN COURS</v>
          </cell>
          <cell r="E16" t="str">
            <v>Saint-Denis</v>
          </cell>
        </row>
        <row r="17">
          <cell r="D17" t="str">
            <v>M - LIVRE/GPA</v>
          </cell>
          <cell r="E17" t="str">
            <v>Saint-Joseph</v>
          </cell>
        </row>
        <row r="18">
          <cell r="E18" t="str">
            <v>Saint-Leu</v>
          </cell>
        </row>
        <row r="19">
          <cell r="E19" t="str">
            <v>Saint-Louis</v>
          </cell>
        </row>
        <row r="20">
          <cell r="E20" t="str">
            <v>Saint-Paul</v>
          </cell>
        </row>
        <row r="21">
          <cell r="E21" t="str">
            <v>Saint-Pierre</v>
          </cell>
        </row>
        <row r="22">
          <cell r="E22" t="str">
            <v>Saint-Philippe</v>
          </cell>
        </row>
        <row r="23">
          <cell r="E23" t="str">
            <v>Sainte Marie</v>
          </cell>
        </row>
        <row r="24">
          <cell r="E24" t="str">
            <v>Sainte-Rose</v>
          </cell>
        </row>
        <row r="25">
          <cell r="E25" t="str">
            <v>Sainte-Suzanne</v>
          </cell>
        </row>
        <row r="26">
          <cell r="E26" t="str">
            <v>Salazie</v>
          </cell>
        </row>
        <row r="27">
          <cell r="E27" t="str">
            <v>Tampon</v>
          </cell>
        </row>
        <row r="28">
          <cell r="E28" t="str">
            <v>Trois-Bassins</v>
          </cell>
        </row>
      </sheetData>
      <sheetData sheetId="15" refreshError="1"/>
    </sheetDataSet>
  </externalBook>
</externalLink>
</file>

<file path=xl/externalLinks/externalLink1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FO - Process"/>
      <sheetName val="summary"/>
      <sheetName val="Modele"/>
      <sheetName val="Termination Values"/>
      <sheetName val="Schedules-Doc final-CSA"/>
      <sheetName val="Equity-Advance Rental-Set-Off"/>
      <sheetName val="Charts"/>
      <sheetName val="AIRCRAFT PRICE PAYMENT - CF 1"/>
      <sheetName val="AIRCRAFT PRICE PAYMENT - CF 2"/>
      <sheetName val="Cash Flows"/>
      <sheetName val="Fees Sharing"/>
      <sheetName val="BNP Paribas CF"/>
      <sheetName val="BNP Paribas margin"/>
      <sheetName val="Balance"/>
      <sheetName val="Declining Amort"/>
      <sheetName val="RBT Pur - Reco analytique"/>
      <sheetName val="RBT Global"/>
    </sheetNames>
    <sheetDataSet>
      <sheetData sheetId="0" refreshError="1"/>
      <sheetData sheetId="1" refreshError="1"/>
      <sheetData sheetId="2">
        <row r="6">
          <cell r="E6">
            <v>1.2825</v>
          </cell>
        </row>
      </sheetData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</sheetDataSet>
  </externalBook>
</externalLink>
</file>

<file path=xl/externalLinks/externalLink1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FO - Process"/>
      <sheetName val="summary"/>
      <sheetName val="Modele"/>
      <sheetName val="Termination Values"/>
      <sheetName val="Schedules-Doc final-CSA"/>
      <sheetName val="Equity-Advance Rental-Set-Off"/>
      <sheetName val="Charts"/>
      <sheetName val="AIRCRAFT PRICE PAYMENT - CF 1"/>
      <sheetName val="AIRCRAFT PRICE PAYMENT - CF 2"/>
      <sheetName val="Cash Flows"/>
      <sheetName val="Fees Sharing"/>
      <sheetName val="BNP Paribas CF"/>
      <sheetName val="BNP Paribas margin"/>
      <sheetName val="Balance"/>
      <sheetName val="Declining Amort"/>
      <sheetName val="RBT Pur - Reco analytique"/>
      <sheetName val="RBT Global"/>
    </sheetNames>
    <sheetDataSet>
      <sheetData sheetId="0" refreshError="1"/>
      <sheetData sheetId="1" refreshError="1"/>
      <sheetData sheetId="2">
        <row r="6">
          <cell r="E6">
            <v>1.2825</v>
          </cell>
        </row>
        <row r="35">
          <cell r="E35">
            <v>13</v>
          </cell>
        </row>
      </sheetData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</sheetDataSet>
  </externalBook>
</externalLink>
</file>

<file path=xl/externalLinks/externalLink1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ommaire"/>
      <sheetName val="Par. com."/>
      <sheetName val="Par. glob."/>
      <sheetName val="Par. prêt"/>
      <sheetName val="Par. Op."/>
      <sheetName val="Surf."/>
      <sheetName val="Prix rev.CE"/>
      <sheetName val="Defisc"/>
      <sheetName val="CA"/>
      <sheetName val="Prés."/>
      <sheetName val="Financeurs"/>
      <sheetName val="DDE - B simpl."/>
      <sheetName val="DDE - B détail."/>
      <sheetName val="DDE - Attest."/>
      <sheetName val="DDE - Cont."/>
      <sheetName val="CEX - Recap"/>
      <sheetName val="CEX - Graph."/>
      <sheetName val="CEX - Résult."/>
      <sheetName val="ODSDataSheet"/>
      <sheetName val="ODSTempDataSheet"/>
    </sheetNames>
    <sheetDataSet>
      <sheetData sheetId="0"/>
      <sheetData sheetId="1"/>
      <sheetData sheetId="2" refreshError="1"/>
      <sheetData sheetId="3"/>
      <sheetData sheetId="4" refreshError="1">
        <row r="145">
          <cell r="F145">
            <v>2010</v>
          </cell>
        </row>
        <row r="146">
          <cell r="F146" t="str">
            <v/>
          </cell>
        </row>
        <row r="147">
          <cell r="F147">
            <v>2.1000000000000001E-2</v>
          </cell>
        </row>
      </sheetData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 refreshError="1"/>
      <sheetData sheetId="17"/>
      <sheetData sheetId="18"/>
      <sheetData sheetId="19"/>
    </sheetDataSet>
  </externalBook>
</externalLink>
</file>

<file path=xl/externalLinks/externalLink2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aisie"/>
    </sheetNames>
    <sheetDataSet>
      <sheetData sheetId="0" refreshError="1"/>
    </sheetDataSet>
  </externalBook>
</externalLink>
</file>

<file path=xl/externalLinks/externalLink2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 dép et Terr"/>
    </sheetNames>
    <sheetDataSet>
      <sheetData sheetId="0" refreshError="1"/>
    </sheetDataSet>
  </externalBook>
</externalLink>
</file>

<file path=xl/externalLinks/externalLink2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mprunt (2)"/>
      <sheetName val="COROSSOL"/>
      <sheetName val="Sub COROSSOL"/>
      <sheetName val="Surfaces Corossol"/>
      <sheetName val="Hypothèses Investissement"/>
      <sheetName val="Données Exploitation"/>
      <sheetName val="Invest"/>
      <sheetName val="Loyers SCI"/>
      <sheetName val="SCI"/>
      <sheetName val="SCI bis"/>
      <sheetName val="Emprunt"/>
      <sheetName val="Rém Compte séquestre CPI"/>
      <sheetName val="Plans de Financement"/>
      <sheetName val="Schéma"/>
    </sheetNames>
    <sheetDataSet>
      <sheetData sheetId="0"/>
      <sheetData sheetId="1"/>
      <sheetData sheetId="2"/>
      <sheetData sheetId="3">
        <row r="15">
          <cell r="BC15">
            <v>0</v>
          </cell>
          <cell r="BF15">
            <v>0</v>
          </cell>
          <cell r="BG15">
            <v>0</v>
          </cell>
          <cell r="BH15">
            <v>0</v>
          </cell>
          <cell r="BI15">
            <v>0</v>
          </cell>
          <cell r="BJ15">
            <v>0</v>
          </cell>
          <cell r="BK15">
            <v>0</v>
          </cell>
          <cell r="BL15">
            <v>0</v>
          </cell>
          <cell r="BM15">
            <v>0</v>
          </cell>
        </row>
        <row r="16">
          <cell r="BC16">
            <v>1</v>
          </cell>
          <cell r="BD16" t="str">
            <v>I</v>
          </cell>
          <cell r="BE16">
            <v>1</v>
          </cell>
          <cell r="BF16">
            <v>14</v>
          </cell>
          <cell r="BG16">
            <v>30</v>
          </cell>
          <cell r="BH16">
            <v>14</v>
          </cell>
          <cell r="BI16">
            <v>30</v>
          </cell>
          <cell r="BJ16">
            <v>14</v>
          </cell>
          <cell r="BK16">
            <v>30</v>
          </cell>
        </row>
        <row r="17">
          <cell r="BC17">
            <v>1.1000000000000001</v>
          </cell>
          <cell r="BD17" t="str">
            <v>I.bis</v>
          </cell>
          <cell r="BE17" t="str">
            <v>1b</v>
          </cell>
          <cell r="BF17">
            <v>28</v>
          </cell>
          <cell r="BG17">
            <v>50</v>
          </cell>
          <cell r="BH17">
            <v>25</v>
          </cell>
          <cell r="BI17">
            <v>52</v>
          </cell>
          <cell r="BJ17">
            <v>25</v>
          </cell>
          <cell r="BK17">
            <v>52</v>
          </cell>
        </row>
        <row r="18">
          <cell r="BC18">
            <v>1.5</v>
          </cell>
          <cell r="BD18" t="str">
            <v>I+v</v>
          </cell>
          <cell r="BE18" t="str">
            <v>1/2</v>
          </cell>
          <cell r="BF18">
            <v>14</v>
          </cell>
          <cell r="BG18">
            <v>30</v>
          </cell>
          <cell r="BH18">
            <v>14</v>
          </cell>
          <cell r="BI18">
            <v>30</v>
          </cell>
          <cell r="BJ18">
            <v>14</v>
          </cell>
          <cell r="BK18">
            <v>30</v>
          </cell>
        </row>
        <row r="19">
          <cell r="BC19">
            <v>1.6</v>
          </cell>
          <cell r="BD19" t="str">
            <v>I.bis+v</v>
          </cell>
          <cell r="BE19" t="str">
            <v>1b/2</v>
          </cell>
          <cell r="BF19">
            <v>28</v>
          </cell>
          <cell r="BG19">
            <v>50</v>
          </cell>
          <cell r="BH19">
            <v>25</v>
          </cell>
          <cell r="BI19">
            <v>52</v>
          </cell>
          <cell r="BJ19">
            <v>25</v>
          </cell>
          <cell r="BK19">
            <v>52</v>
          </cell>
        </row>
        <row r="20">
          <cell r="BC20">
            <v>2</v>
          </cell>
          <cell r="BD20" t="str">
            <v>II</v>
          </cell>
          <cell r="BE20" t="str">
            <v>2</v>
          </cell>
          <cell r="BF20">
            <v>42</v>
          </cell>
          <cell r="BG20">
            <v>70</v>
          </cell>
          <cell r="BH20">
            <v>42</v>
          </cell>
          <cell r="BI20">
            <v>64</v>
          </cell>
          <cell r="BJ20">
            <v>42</v>
          </cell>
          <cell r="BK20">
            <v>64</v>
          </cell>
        </row>
        <row r="21">
          <cell r="BC21">
            <v>2.5</v>
          </cell>
          <cell r="BD21" t="str">
            <v>II+v</v>
          </cell>
          <cell r="BE21" t="str">
            <v>2/3</v>
          </cell>
          <cell r="BF21">
            <v>56</v>
          </cell>
          <cell r="BG21">
            <v>85</v>
          </cell>
          <cell r="BH21">
            <v>55</v>
          </cell>
          <cell r="BI21">
            <v>90</v>
          </cell>
          <cell r="BJ21">
            <v>55</v>
          </cell>
          <cell r="BK21">
            <v>90</v>
          </cell>
        </row>
        <row r="22">
          <cell r="BC22">
            <v>3</v>
          </cell>
          <cell r="BD22" t="str">
            <v>III</v>
          </cell>
          <cell r="BE22" t="str">
            <v>3</v>
          </cell>
          <cell r="BF22">
            <v>56</v>
          </cell>
          <cell r="BG22">
            <v>85</v>
          </cell>
          <cell r="BH22">
            <v>55</v>
          </cell>
          <cell r="BI22">
            <v>90</v>
          </cell>
          <cell r="BJ22">
            <v>55</v>
          </cell>
          <cell r="BK22">
            <v>90</v>
          </cell>
        </row>
        <row r="23">
          <cell r="BC23">
            <v>3.5</v>
          </cell>
          <cell r="BD23" t="str">
            <v>III+v</v>
          </cell>
          <cell r="BE23" t="str">
            <v>3/4</v>
          </cell>
          <cell r="BF23">
            <v>66</v>
          </cell>
          <cell r="BG23">
            <v>100</v>
          </cell>
          <cell r="BH23">
            <v>66</v>
          </cell>
          <cell r="BI23">
            <v>104</v>
          </cell>
          <cell r="BJ23">
            <v>66</v>
          </cell>
          <cell r="BK23">
            <v>104</v>
          </cell>
        </row>
        <row r="24">
          <cell r="BC24">
            <v>4</v>
          </cell>
          <cell r="BD24" t="str">
            <v>IV</v>
          </cell>
          <cell r="BE24" t="str">
            <v>4</v>
          </cell>
          <cell r="BF24">
            <v>66</v>
          </cell>
          <cell r="BG24">
            <v>100</v>
          </cell>
          <cell r="BH24">
            <v>66</v>
          </cell>
          <cell r="BI24">
            <v>104</v>
          </cell>
          <cell r="BJ24">
            <v>66</v>
          </cell>
          <cell r="BK24">
            <v>104</v>
          </cell>
        </row>
        <row r="25">
          <cell r="BC25">
            <v>4.5</v>
          </cell>
          <cell r="BD25" t="str">
            <v>IV+v</v>
          </cell>
          <cell r="BE25" t="str">
            <v>4/5</v>
          </cell>
          <cell r="BF25">
            <v>76</v>
          </cell>
          <cell r="BG25">
            <v>115</v>
          </cell>
          <cell r="BH25">
            <v>80</v>
          </cell>
          <cell r="BI25">
            <v>126</v>
          </cell>
          <cell r="BJ25">
            <v>80</v>
          </cell>
          <cell r="BK25">
            <v>126</v>
          </cell>
        </row>
        <row r="26">
          <cell r="BC26">
            <v>5</v>
          </cell>
          <cell r="BD26" t="str">
            <v>V</v>
          </cell>
          <cell r="BE26" t="str">
            <v>5</v>
          </cell>
          <cell r="BF26">
            <v>76</v>
          </cell>
          <cell r="BG26">
            <v>115</v>
          </cell>
          <cell r="BH26">
            <v>80</v>
          </cell>
          <cell r="BI26">
            <v>126</v>
          </cell>
          <cell r="BJ26">
            <v>80</v>
          </cell>
          <cell r="BK26">
            <v>126</v>
          </cell>
        </row>
        <row r="27">
          <cell r="BC27">
            <v>5.5</v>
          </cell>
          <cell r="BD27" t="str">
            <v>V+v</v>
          </cell>
          <cell r="BE27" t="str">
            <v>5/6</v>
          </cell>
          <cell r="BF27">
            <v>86</v>
          </cell>
          <cell r="BG27">
            <v>130</v>
          </cell>
          <cell r="BH27">
            <v>90</v>
          </cell>
          <cell r="BI27">
            <v>148</v>
          </cell>
          <cell r="BJ27">
            <v>90</v>
          </cell>
          <cell r="BK27">
            <v>148</v>
          </cell>
        </row>
        <row r="28">
          <cell r="BC28">
            <v>6</v>
          </cell>
          <cell r="BD28" t="str">
            <v>VI</v>
          </cell>
          <cell r="BE28" t="str">
            <v>6</v>
          </cell>
          <cell r="BF28">
            <v>86</v>
          </cell>
          <cell r="BG28">
            <v>130</v>
          </cell>
          <cell r="BH28">
            <v>90</v>
          </cell>
          <cell r="BI28">
            <v>148</v>
          </cell>
          <cell r="BJ28">
            <v>90</v>
          </cell>
          <cell r="BK28">
            <v>148</v>
          </cell>
        </row>
        <row r="29">
          <cell r="BC29">
            <v>6.5</v>
          </cell>
          <cell r="BD29" t="str">
            <v>VI+v</v>
          </cell>
          <cell r="BE29" t="str">
            <v>6/7</v>
          </cell>
          <cell r="BF29">
            <v>96</v>
          </cell>
          <cell r="BG29">
            <v>145</v>
          </cell>
          <cell r="BH29">
            <v>110</v>
          </cell>
          <cell r="BI29">
            <v>176</v>
          </cell>
          <cell r="BJ29">
            <v>110</v>
          </cell>
          <cell r="BK29">
            <v>176</v>
          </cell>
        </row>
        <row r="30">
          <cell r="BC30">
            <v>7</v>
          </cell>
          <cell r="BD30" t="str">
            <v>VII</v>
          </cell>
          <cell r="BE30">
            <v>7</v>
          </cell>
          <cell r="BF30">
            <v>96</v>
          </cell>
          <cell r="BG30">
            <v>145</v>
          </cell>
          <cell r="BH30">
            <v>110</v>
          </cell>
          <cell r="BI30">
            <v>176</v>
          </cell>
          <cell r="BJ30">
            <v>110</v>
          </cell>
          <cell r="BK30">
            <v>176</v>
          </cell>
        </row>
        <row r="31">
          <cell r="BC31">
            <v>7.5</v>
          </cell>
          <cell r="BD31" t="str">
            <v>VII+v</v>
          </cell>
          <cell r="BE31" t="str">
            <v>7/8</v>
          </cell>
          <cell r="BF31">
            <v>106</v>
          </cell>
          <cell r="BG31">
            <v>160</v>
          </cell>
          <cell r="BH31">
            <v>0</v>
          </cell>
          <cell r="BI31">
            <v>0</v>
          </cell>
          <cell r="BJ31">
            <v>0</v>
          </cell>
          <cell r="BK31">
            <v>0</v>
          </cell>
        </row>
        <row r="32">
          <cell r="BC32">
            <v>8</v>
          </cell>
          <cell r="BD32" t="str">
            <v>VIII</v>
          </cell>
          <cell r="BE32">
            <v>8</v>
          </cell>
          <cell r="BF32">
            <v>106</v>
          </cell>
          <cell r="BG32">
            <v>160</v>
          </cell>
          <cell r="BH32">
            <v>0</v>
          </cell>
          <cell r="BI32">
            <v>0</v>
          </cell>
          <cell r="BJ32">
            <v>0</v>
          </cell>
          <cell r="BK32">
            <v>0</v>
          </cell>
        </row>
        <row r="63">
          <cell r="E63">
            <v>2027.32</v>
          </cell>
        </row>
        <row r="65">
          <cell r="E65">
            <v>948.6</v>
          </cell>
        </row>
        <row r="85">
          <cell r="D85" t="str">
            <v>1 368,64</v>
          </cell>
        </row>
      </sheetData>
      <sheetData sheetId="4">
        <row r="26">
          <cell r="I26">
            <v>4</v>
          </cell>
        </row>
        <row r="38">
          <cell r="J38">
            <v>0.4</v>
          </cell>
        </row>
        <row r="47">
          <cell r="D47">
            <v>1522434.4786581756</v>
          </cell>
        </row>
        <row r="50">
          <cell r="D50">
            <v>624199</v>
          </cell>
        </row>
        <row r="58">
          <cell r="C58">
            <v>0</v>
          </cell>
          <cell r="E58">
            <v>463120</v>
          </cell>
          <cell r="I58" t="str">
            <v>Semestriel</v>
          </cell>
        </row>
      </sheetData>
      <sheetData sheetId="5"/>
      <sheetData sheetId="6"/>
      <sheetData sheetId="7">
        <row r="1">
          <cell r="A1" t="str">
            <v>Annuel</v>
          </cell>
          <cell r="B1">
            <v>1</v>
          </cell>
          <cell r="C1">
            <v>2</v>
          </cell>
          <cell r="D1" t="str">
            <v>secteur libre</v>
          </cell>
          <cell r="E1">
            <v>5</v>
          </cell>
          <cell r="F1">
            <v>6</v>
          </cell>
        </row>
        <row r="2">
          <cell r="A2" t="str">
            <v>Mensuel</v>
          </cell>
          <cell r="B2">
            <v>12</v>
          </cell>
          <cell r="D2" t="str">
            <v>secteur intermédiaire</v>
          </cell>
          <cell r="E2">
            <v>6</v>
          </cell>
        </row>
        <row r="3">
          <cell r="A3" t="str">
            <v>Semestriel</v>
          </cell>
          <cell r="B3">
            <v>2</v>
          </cell>
        </row>
        <row r="4">
          <cell r="A4" t="str">
            <v>Trimestriel</v>
          </cell>
          <cell r="B4">
            <v>4</v>
          </cell>
        </row>
        <row r="11">
          <cell r="G11">
            <v>40178</v>
          </cell>
          <cell r="H11">
            <v>2009</v>
          </cell>
          <cell r="I11">
            <v>0</v>
          </cell>
          <cell r="J11">
            <v>0</v>
          </cell>
          <cell r="K11">
            <v>0</v>
          </cell>
          <cell r="L11">
            <v>0</v>
          </cell>
          <cell r="M11">
            <v>0</v>
          </cell>
          <cell r="N11">
            <v>0</v>
          </cell>
          <cell r="O11">
            <v>0</v>
          </cell>
          <cell r="P11">
            <v>0</v>
          </cell>
          <cell r="Q11">
            <v>0</v>
          </cell>
          <cell r="R11">
            <v>0</v>
          </cell>
          <cell r="S11">
            <v>0</v>
          </cell>
        </row>
        <row r="12">
          <cell r="F12">
            <v>0</v>
          </cell>
          <cell r="G12">
            <v>40359</v>
          </cell>
          <cell r="H12">
            <v>2010</v>
          </cell>
          <cell r="I12">
            <v>0</v>
          </cell>
          <cell r="J12">
            <v>0</v>
          </cell>
          <cell r="K12">
            <v>0</v>
          </cell>
          <cell r="L12">
            <v>761.26666666666665</v>
          </cell>
          <cell r="M12">
            <v>0</v>
          </cell>
          <cell r="N12">
            <v>0</v>
          </cell>
          <cell r="O12">
            <v>0</v>
          </cell>
          <cell r="P12">
            <v>0</v>
          </cell>
          <cell r="Q12">
            <v>0</v>
          </cell>
          <cell r="R12">
            <v>0</v>
          </cell>
          <cell r="S12">
            <v>0</v>
          </cell>
        </row>
        <row r="13">
          <cell r="B13" t="str">
            <v>Semestriel</v>
          </cell>
          <cell r="F13">
            <v>0</v>
          </cell>
          <cell r="G13">
            <v>40543</v>
          </cell>
          <cell r="H13">
            <v>2010</v>
          </cell>
          <cell r="I13">
            <v>0</v>
          </cell>
          <cell r="J13">
            <v>0</v>
          </cell>
          <cell r="K13">
            <v>0</v>
          </cell>
          <cell r="L13">
            <v>761.26666666666665</v>
          </cell>
          <cell r="M13">
            <v>0</v>
          </cell>
          <cell r="N13">
            <v>0</v>
          </cell>
          <cell r="O13">
            <v>0</v>
          </cell>
          <cell r="P13">
            <v>0</v>
          </cell>
          <cell r="Q13">
            <v>0</v>
          </cell>
          <cell r="R13">
            <v>0</v>
          </cell>
          <cell r="S13">
            <v>0</v>
          </cell>
        </row>
        <row r="14">
          <cell r="F14">
            <v>0</v>
          </cell>
          <cell r="G14">
            <v>40724</v>
          </cell>
          <cell r="H14">
            <v>2011</v>
          </cell>
          <cell r="I14">
            <v>0</v>
          </cell>
          <cell r="J14">
            <v>0</v>
          </cell>
          <cell r="K14">
            <v>0</v>
          </cell>
          <cell r="L14">
            <v>761.26666666666665</v>
          </cell>
          <cell r="M14">
            <v>0</v>
          </cell>
          <cell r="N14">
            <v>0</v>
          </cell>
          <cell r="O14">
            <v>0</v>
          </cell>
          <cell r="P14">
            <v>8100</v>
          </cell>
          <cell r="Q14">
            <v>2250</v>
          </cell>
          <cell r="R14">
            <v>0</v>
          </cell>
          <cell r="S14">
            <v>0</v>
          </cell>
        </row>
        <row r="15">
          <cell r="F15">
            <v>1</v>
          </cell>
          <cell r="G15">
            <v>40908</v>
          </cell>
          <cell r="H15">
            <v>2011</v>
          </cell>
          <cell r="I15">
            <v>36083.646143999998</v>
          </cell>
          <cell r="J15">
            <v>36083.646143999998</v>
          </cell>
          <cell r="K15">
            <v>0</v>
          </cell>
          <cell r="L15">
            <v>761.26666666666665</v>
          </cell>
          <cell r="M15">
            <v>7216.7292287999999</v>
          </cell>
          <cell r="N15">
            <v>721.67292287999999</v>
          </cell>
          <cell r="O15">
            <v>0</v>
          </cell>
          <cell r="P15">
            <v>8100</v>
          </cell>
          <cell r="Q15">
            <v>2250</v>
          </cell>
          <cell r="R15">
            <v>0</v>
          </cell>
          <cell r="S15">
            <v>0</v>
          </cell>
        </row>
        <row r="16">
          <cell r="F16">
            <v>2</v>
          </cell>
          <cell r="G16">
            <v>41090</v>
          </cell>
          <cell r="H16">
            <v>2012</v>
          </cell>
          <cell r="I16">
            <v>36083.646143999998</v>
          </cell>
          <cell r="J16">
            <v>36083.646143999998</v>
          </cell>
          <cell r="K16">
            <v>0</v>
          </cell>
          <cell r="L16">
            <v>761.26666666666665</v>
          </cell>
          <cell r="M16">
            <v>7216.7292287999999</v>
          </cell>
          <cell r="N16">
            <v>721.67292287999999</v>
          </cell>
          <cell r="O16">
            <v>0</v>
          </cell>
          <cell r="P16">
            <v>8302.5</v>
          </cell>
          <cell r="Q16">
            <v>2306.25</v>
          </cell>
          <cell r="R16">
            <v>0</v>
          </cell>
          <cell r="S16">
            <v>0</v>
          </cell>
        </row>
        <row r="17">
          <cell r="F17">
            <v>3</v>
          </cell>
          <cell r="G17">
            <v>41274</v>
          </cell>
          <cell r="H17">
            <v>2012</v>
          </cell>
          <cell r="I17">
            <v>36805.319066880002</v>
          </cell>
          <cell r="J17">
            <v>36805.319066880002</v>
          </cell>
          <cell r="K17">
            <v>0</v>
          </cell>
          <cell r="L17">
            <v>761.26666666666665</v>
          </cell>
          <cell r="M17">
            <v>7361.0638133760003</v>
          </cell>
          <cell r="N17">
            <v>736.10638133760006</v>
          </cell>
          <cell r="O17">
            <v>0</v>
          </cell>
          <cell r="P17">
            <v>8302.5</v>
          </cell>
          <cell r="Q17">
            <v>2306.25</v>
          </cell>
          <cell r="R17">
            <v>0</v>
          </cell>
          <cell r="S17">
            <v>0</v>
          </cell>
        </row>
        <row r="18">
          <cell r="F18">
            <v>4</v>
          </cell>
          <cell r="G18">
            <v>41455</v>
          </cell>
          <cell r="H18">
            <v>2013</v>
          </cell>
          <cell r="I18">
            <v>36805.319066880002</v>
          </cell>
          <cell r="J18">
            <v>36805.319066880002</v>
          </cell>
          <cell r="K18">
            <v>0</v>
          </cell>
          <cell r="L18">
            <v>761.26666666666665</v>
          </cell>
          <cell r="M18">
            <v>7361.0638133760003</v>
          </cell>
          <cell r="N18">
            <v>736.10638133760006</v>
          </cell>
          <cell r="O18">
            <v>0</v>
          </cell>
          <cell r="P18">
            <v>8510.0625</v>
          </cell>
          <cell r="Q18">
            <v>2363.90625</v>
          </cell>
          <cell r="R18">
            <v>0</v>
          </cell>
          <cell r="S18">
            <v>0</v>
          </cell>
        </row>
        <row r="19">
          <cell r="F19">
            <v>5</v>
          </cell>
          <cell r="G19">
            <v>41639</v>
          </cell>
          <cell r="H19">
            <v>2013</v>
          </cell>
          <cell r="I19">
            <v>37541.425448217604</v>
          </cell>
          <cell r="J19">
            <v>37541.425448217604</v>
          </cell>
          <cell r="K19">
            <v>0</v>
          </cell>
          <cell r="L19">
            <v>761.26666666666665</v>
          </cell>
          <cell r="M19">
            <v>7508.2850896435211</v>
          </cell>
          <cell r="N19">
            <v>750.82850896435207</v>
          </cell>
          <cell r="O19">
            <v>0</v>
          </cell>
          <cell r="P19">
            <v>8510.0625</v>
          </cell>
          <cell r="Q19">
            <v>2363.90625</v>
          </cell>
          <cell r="R19">
            <v>0</v>
          </cell>
          <cell r="S19">
            <v>0</v>
          </cell>
        </row>
        <row r="20">
          <cell r="F20">
            <v>6</v>
          </cell>
          <cell r="G20">
            <v>41820</v>
          </cell>
          <cell r="H20">
            <v>2014</v>
          </cell>
          <cell r="I20">
            <v>37541.425448217604</v>
          </cell>
          <cell r="J20">
            <v>37541.425448217604</v>
          </cell>
          <cell r="K20">
            <v>0</v>
          </cell>
          <cell r="L20">
            <v>761.26666666666665</v>
          </cell>
          <cell r="M20">
            <v>7508.2850896435211</v>
          </cell>
          <cell r="N20">
            <v>750.82850896435207</v>
          </cell>
          <cell r="O20">
            <v>0</v>
          </cell>
          <cell r="P20">
            <v>8722.8140624999996</v>
          </cell>
          <cell r="Q20">
            <v>2423.00390625</v>
          </cell>
          <cell r="R20">
            <v>0</v>
          </cell>
          <cell r="S20">
            <v>0</v>
          </cell>
        </row>
        <row r="21">
          <cell r="F21">
            <v>7</v>
          </cell>
          <cell r="G21">
            <v>42004</v>
          </cell>
          <cell r="H21">
            <v>2014</v>
          </cell>
          <cell r="I21">
            <v>38292.253957181958</v>
          </cell>
          <cell r="J21">
            <v>38292.253957181958</v>
          </cell>
          <cell r="K21">
            <v>0</v>
          </cell>
          <cell r="L21">
            <v>761.26666666666665</v>
          </cell>
          <cell r="M21">
            <v>7658.4507914363921</v>
          </cell>
          <cell r="N21">
            <v>765.84507914363917</v>
          </cell>
          <cell r="O21">
            <v>0</v>
          </cell>
          <cell r="P21">
            <v>8722.8140624999996</v>
          </cell>
          <cell r="Q21">
            <v>2423.00390625</v>
          </cell>
          <cell r="R21">
            <v>0</v>
          </cell>
          <cell r="S21">
            <v>0</v>
          </cell>
        </row>
        <row r="22">
          <cell r="F22">
            <v>8</v>
          </cell>
          <cell r="G22">
            <v>42185</v>
          </cell>
          <cell r="H22">
            <v>2015</v>
          </cell>
          <cell r="I22">
            <v>38292.253957181958</v>
          </cell>
          <cell r="J22">
            <v>38292.253957181958</v>
          </cell>
          <cell r="K22">
            <v>0</v>
          </cell>
          <cell r="L22">
            <v>761.26666666666665</v>
          </cell>
          <cell r="M22">
            <v>7658.4507914363921</v>
          </cell>
          <cell r="N22">
            <v>765.84507914363917</v>
          </cell>
          <cell r="O22">
            <v>0</v>
          </cell>
          <cell r="P22">
            <v>8940.8844140624988</v>
          </cell>
          <cell r="Q22">
            <v>2483.5790039062499</v>
          </cell>
          <cell r="R22">
            <v>0</v>
          </cell>
          <cell r="S22">
            <v>0</v>
          </cell>
        </row>
        <row r="23">
          <cell r="F23">
            <v>9</v>
          </cell>
          <cell r="G23">
            <v>42369</v>
          </cell>
          <cell r="H23">
            <v>2015</v>
          </cell>
          <cell r="I23">
            <v>39058.099036325599</v>
          </cell>
          <cell r="J23">
            <v>39058.099036325599</v>
          </cell>
          <cell r="K23">
            <v>0</v>
          </cell>
          <cell r="L23">
            <v>761.26666666666665</v>
          </cell>
          <cell r="M23">
            <v>7811.6198072651205</v>
          </cell>
          <cell r="N23">
            <v>781.16198072651196</v>
          </cell>
          <cell r="O23">
            <v>0</v>
          </cell>
          <cell r="P23">
            <v>8940.8844140624988</v>
          </cell>
          <cell r="Q23">
            <v>2483.5790039062499</v>
          </cell>
          <cell r="R23">
            <v>0</v>
          </cell>
          <cell r="S23">
            <v>0</v>
          </cell>
        </row>
        <row r="24">
          <cell r="F24">
            <v>10</v>
          </cell>
          <cell r="G24">
            <v>42551</v>
          </cell>
          <cell r="H24">
            <v>2016</v>
          </cell>
          <cell r="I24">
            <v>39058.099036325599</v>
          </cell>
          <cell r="J24">
            <v>39058.099036325599</v>
          </cell>
          <cell r="K24">
            <v>0</v>
          </cell>
          <cell r="L24">
            <v>761.26666666666665</v>
          </cell>
          <cell r="M24">
            <v>7811.6198072651205</v>
          </cell>
          <cell r="N24">
            <v>781.16198072651196</v>
          </cell>
          <cell r="O24">
            <v>0</v>
          </cell>
          <cell r="P24">
            <v>9164.4065244140602</v>
          </cell>
          <cell r="Q24">
            <v>2545.6684790039058</v>
          </cell>
          <cell r="R24">
            <v>0</v>
          </cell>
          <cell r="S24">
            <v>0</v>
          </cell>
        </row>
        <row r="25">
          <cell r="F25">
            <v>11</v>
          </cell>
          <cell r="G25">
            <v>42735</v>
          </cell>
          <cell r="H25">
            <v>2016</v>
          </cell>
          <cell r="I25">
            <v>39839.261017052115</v>
          </cell>
          <cell r="J25">
            <v>39839.261017052115</v>
          </cell>
          <cell r="K25">
            <v>0</v>
          </cell>
          <cell r="L25">
            <v>761.26666666666665</v>
          </cell>
          <cell r="M25">
            <v>7967.8522034104235</v>
          </cell>
          <cell r="N25">
            <v>796.7852203410423</v>
          </cell>
          <cell r="O25">
            <v>4625.7845422465316</v>
          </cell>
          <cell r="P25">
            <v>9164.4065244140602</v>
          </cell>
          <cell r="Q25">
            <v>2545.6684790039058</v>
          </cell>
          <cell r="R25">
            <v>0</v>
          </cell>
          <cell r="S25">
            <v>0</v>
          </cell>
        </row>
        <row r="26">
          <cell r="F26">
            <v>12</v>
          </cell>
          <cell r="G26">
            <v>42916</v>
          </cell>
          <cell r="H26">
            <v>2017</v>
          </cell>
          <cell r="I26">
            <v>39839.261017052115</v>
          </cell>
          <cell r="J26">
            <v>39839.261017052115</v>
          </cell>
          <cell r="K26">
            <v>0</v>
          </cell>
          <cell r="L26">
            <v>761.26666666666665</v>
          </cell>
          <cell r="M26">
            <v>7967.8522034104235</v>
          </cell>
          <cell r="N26">
            <v>796.7852203410423</v>
          </cell>
          <cell r="O26">
            <v>4625.7845422465316</v>
          </cell>
          <cell r="P26">
            <v>9393.5166875244104</v>
          </cell>
          <cell r="Q26">
            <v>2609.310190979003</v>
          </cell>
          <cell r="R26">
            <v>0</v>
          </cell>
          <cell r="S26">
            <v>0</v>
          </cell>
        </row>
        <row r="27">
          <cell r="F27">
            <v>13</v>
          </cell>
          <cell r="G27">
            <v>43100</v>
          </cell>
          <cell r="H27">
            <v>2017</v>
          </cell>
          <cell r="I27">
            <v>40636.046237393159</v>
          </cell>
          <cell r="J27">
            <v>40636.046237393159</v>
          </cell>
          <cell r="K27">
            <v>0</v>
          </cell>
          <cell r="L27">
            <v>0</v>
          </cell>
          <cell r="M27">
            <v>8127.2092474786323</v>
          </cell>
          <cell r="N27">
            <v>812.72092474786314</v>
          </cell>
          <cell r="O27">
            <v>4741.4291558026944</v>
          </cell>
          <cell r="P27">
            <v>9393.5166875244104</v>
          </cell>
          <cell r="Q27">
            <v>2609.310190979003</v>
          </cell>
          <cell r="R27">
            <v>0</v>
          </cell>
          <cell r="S27">
            <v>0</v>
          </cell>
        </row>
        <row r="28">
          <cell r="F28">
            <v>14</v>
          </cell>
          <cell r="G28">
            <v>43281</v>
          </cell>
          <cell r="H28">
            <v>2018</v>
          </cell>
          <cell r="I28">
            <v>40636.046237393159</v>
          </cell>
          <cell r="J28">
            <v>40636.046237393159</v>
          </cell>
          <cell r="K28">
            <v>0</v>
          </cell>
          <cell r="L28">
            <v>0</v>
          </cell>
          <cell r="M28">
            <v>8127.2092474786323</v>
          </cell>
          <cell r="N28">
            <v>812.72092474786314</v>
          </cell>
          <cell r="O28">
            <v>4741.4291558026944</v>
          </cell>
          <cell r="P28">
            <v>9628.3546047125201</v>
          </cell>
          <cell r="Q28">
            <v>2674.5429457534779</v>
          </cell>
          <cell r="R28">
            <v>0</v>
          </cell>
          <cell r="S28">
            <v>0</v>
          </cell>
        </row>
        <row r="29">
          <cell r="F29">
            <v>15</v>
          </cell>
          <cell r="G29">
            <v>43465</v>
          </cell>
          <cell r="H29">
            <v>2018</v>
          </cell>
          <cell r="I29">
            <v>41448.767162141019</v>
          </cell>
          <cell r="J29">
            <v>41448.767162141019</v>
          </cell>
          <cell r="K29">
            <v>0</v>
          </cell>
          <cell r="L29">
            <v>0</v>
          </cell>
          <cell r="M29">
            <v>8289.7534324282042</v>
          </cell>
          <cell r="N29">
            <v>828.97534324282037</v>
          </cell>
          <cell r="O29">
            <v>4859.9648846977616</v>
          </cell>
          <cell r="P29">
            <v>9628.3546047125201</v>
          </cell>
          <cell r="Q29">
            <v>2674.5429457534779</v>
          </cell>
          <cell r="R29">
            <v>0</v>
          </cell>
          <cell r="S29">
            <v>0</v>
          </cell>
        </row>
        <row r="30">
          <cell r="F30">
            <v>16</v>
          </cell>
          <cell r="G30">
            <v>43646</v>
          </cell>
          <cell r="H30">
            <v>2019</v>
          </cell>
          <cell r="I30">
            <v>41448.767162141019</v>
          </cell>
          <cell r="J30">
            <v>41448.767162141019</v>
          </cell>
          <cell r="K30">
            <v>0</v>
          </cell>
          <cell r="L30">
            <v>0</v>
          </cell>
          <cell r="M30">
            <v>8289.7534324282042</v>
          </cell>
          <cell r="N30">
            <v>828.97534324282037</v>
          </cell>
          <cell r="O30">
            <v>4859.9648846977616</v>
          </cell>
          <cell r="P30">
            <v>9869.0634698303329</v>
          </cell>
          <cell r="Q30">
            <v>2741.4065193973147</v>
          </cell>
          <cell r="R30">
            <v>0</v>
          </cell>
          <cell r="S30">
            <v>0</v>
          </cell>
        </row>
        <row r="31">
          <cell r="F31">
            <v>17</v>
          </cell>
          <cell r="G31">
            <v>43830</v>
          </cell>
          <cell r="H31">
            <v>2019</v>
          </cell>
          <cell r="I31">
            <v>42277.742505383838</v>
          </cell>
          <cell r="J31">
            <v>42277.742505383838</v>
          </cell>
          <cell r="K31">
            <v>0</v>
          </cell>
          <cell r="L31">
            <v>0</v>
          </cell>
          <cell r="M31">
            <v>8455.5485010767679</v>
          </cell>
          <cell r="N31">
            <v>845.55485010767677</v>
          </cell>
          <cell r="O31">
            <v>4981.4640068152048</v>
          </cell>
          <cell r="P31">
            <v>9869.0634698303329</v>
          </cell>
          <cell r="Q31">
            <v>2741.4065193973147</v>
          </cell>
          <cell r="R31">
            <v>0</v>
          </cell>
          <cell r="S31">
            <v>0</v>
          </cell>
        </row>
        <row r="32">
          <cell r="F32">
            <v>18</v>
          </cell>
          <cell r="G32">
            <v>44012</v>
          </cell>
          <cell r="H32">
            <v>2020</v>
          </cell>
          <cell r="I32">
            <v>42277.742505383838</v>
          </cell>
          <cell r="J32">
            <v>42277.742505383838</v>
          </cell>
          <cell r="K32">
            <v>0</v>
          </cell>
          <cell r="L32">
            <v>0</v>
          </cell>
          <cell r="M32">
            <v>8455.5485010767679</v>
          </cell>
          <cell r="N32">
            <v>845.55485010767677</v>
          </cell>
          <cell r="O32">
            <v>4981.4640068152048</v>
          </cell>
          <cell r="P32">
            <v>10115.79005657609</v>
          </cell>
          <cell r="Q32">
            <v>2809.9416823822471</v>
          </cell>
          <cell r="R32">
            <v>0</v>
          </cell>
          <cell r="S32">
            <v>0</v>
          </cell>
        </row>
        <row r="33">
          <cell r="F33">
            <v>19</v>
          </cell>
          <cell r="G33">
            <v>44196</v>
          </cell>
          <cell r="H33">
            <v>2020</v>
          </cell>
          <cell r="I33">
            <v>43123.297355491515</v>
          </cell>
          <cell r="J33">
            <v>43123.297355491515</v>
          </cell>
          <cell r="K33">
            <v>0</v>
          </cell>
          <cell r="L33">
            <v>0</v>
          </cell>
          <cell r="M33">
            <v>8624.6594710983027</v>
          </cell>
          <cell r="N33">
            <v>862.46594710983027</v>
          </cell>
          <cell r="O33">
            <v>5106.0006069855845</v>
          </cell>
          <cell r="P33">
            <v>10115.79005657609</v>
          </cell>
          <cell r="Q33">
            <v>2809.9416823822471</v>
          </cell>
          <cell r="R33">
            <v>0</v>
          </cell>
          <cell r="S33">
            <v>0</v>
          </cell>
        </row>
        <row r="34">
          <cell r="F34">
            <v>20</v>
          </cell>
          <cell r="G34">
            <v>44377</v>
          </cell>
          <cell r="H34">
            <v>2021</v>
          </cell>
          <cell r="I34">
            <v>43123.297355491515</v>
          </cell>
          <cell r="J34">
            <v>43123.297355491515</v>
          </cell>
          <cell r="K34">
            <v>0</v>
          </cell>
          <cell r="L34">
            <v>0</v>
          </cell>
          <cell r="M34">
            <v>8624.6594710983027</v>
          </cell>
          <cell r="N34">
            <v>862.46594710983027</v>
          </cell>
          <cell r="O34">
            <v>5106.0006069855845</v>
          </cell>
          <cell r="P34">
            <v>10368.684807990492</v>
          </cell>
          <cell r="Q34">
            <v>2880.1902244418029</v>
          </cell>
          <cell r="R34">
            <v>0</v>
          </cell>
          <cell r="S34">
            <v>0</v>
          </cell>
        </row>
        <row r="35">
          <cell r="F35">
            <v>21</v>
          </cell>
          <cell r="G35">
            <v>44561</v>
          </cell>
          <cell r="H35">
            <v>2021</v>
          </cell>
          <cell r="I35">
            <v>43985.763302601343</v>
          </cell>
          <cell r="J35">
            <v>43985.763302601343</v>
          </cell>
          <cell r="K35">
            <v>0</v>
          </cell>
          <cell r="L35">
            <v>0</v>
          </cell>
          <cell r="M35">
            <v>8797.1526605202689</v>
          </cell>
          <cell r="N35">
            <v>879.71526605202689</v>
          </cell>
          <cell r="O35">
            <v>5233.650622160224</v>
          </cell>
          <cell r="P35">
            <v>10368.684807990492</v>
          </cell>
          <cell r="Q35">
            <v>2880.1902244418029</v>
          </cell>
          <cell r="R35">
            <v>0</v>
          </cell>
          <cell r="S35">
            <v>0</v>
          </cell>
        </row>
        <row r="36">
          <cell r="F36">
            <v>22</v>
          </cell>
          <cell r="G36">
            <v>44742</v>
          </cell>
          <cell r="H36">
            <v>2022</v>
          </cell>
          <cell r="I36">
            <v>43985.763302601343</v>
          </cell>
          <cell r="J36">
            <v>43985.763302601343</v>
          </cell>
          <cell r="K36">
            <v>0</v>
          </cell>
          <cell r="L36">
            <v>0</v>
          </cell>
          <cell r="M36">
            <v>8797.1526605202689</v>
          </cell>
          <cell r="N36">
            <v>879.71526605202689</v>
          </cell>
          <cell r="O36">
            <v>5233.650622160224</v>
          </cell>
          <cell r="P36">
            <v>10627.901928190253</v>
          </cell>
          <cell r="Q36">
            <v>2952.1949800528478</v>
          </cell>
          <cell r="R36">
            <v>0</v>
          </cell>
          <cell r="S36">
            <v>0</v>
          </cell>
        </row>
        <row r="37">
          <cell r="F37">
            <v>23</v>
          </cell>
          <cell r="G37">
            <v>44926</v>
          </cell>
          <cell r="H37">
            <v>2022</v>
          </cell>
          <cell r="I37">
            <v>44865.478568653372</v>
          </cell>
          <cell r="J37">
            <v>44865.478568653372</v>
          </cell>
          <cell r="K37">
            <v>0</v>
          </cell>
          <cell r="L37">
            <v>0</v>
          </cell>
          <cell r="M37">
            <v>8973.0957137306741</v>
          </cell>
          <cell r="N37">
            <v>897.30957137306746</v>
          </cell>
          <cell r="O37">
            <v>5364.4918877142291</v>
          </cell>
          <cell r="P37">
            <v>10627.901928190253</v>
          </cell>
          <cell r="Q37">
            <v>2952.1949800528478</v>
          </cell>
          <cell r="R37">
            <v>0</v>
          </cell>
          <cell r="S37">
            <v>0</v>
          </cell>
        </row>
        <row r="38">
          <cell r="F38">
            <v>24</v>
          </cell>
          <cell r="G38">
            <v>45107</v>
          </cell>
          <cell r="H38">
            <v>2023</v>
          </cell>
          <cell r="I38">
            <v>44865.478568653372</v>
          </cell>
          <cell r="J38">
            <v>44865.478568653372</v>
          </cell>
          <cell r="K38">
            <v>0</v>
          </cell>
          <cell r="L38">
            <v>0</v>
          </cell>
          <cell r="M38">
            <v>8973.0957137306741</v>
          </cell>
          <cell r="N38">
            <v>897.30957137306746</v>
          </cell>
          <cell r="O38">
            <v>5364.4918877142291</v>
          </cell>
          <cell r="P38">
            <v>10893.599476395008</v>
          </cell>
          <cell r="Q38">
            <v>3025.9998545541689</v>
          </cell>
          <cell r="R38">
            <v>0</v>
          </cell>
          <cell r="S38">
            <v>0</v>
          </cell>
        </row>
        <row r="39">
          <cell r="F39">
            <v>25</v>
          </cell>
          <cell r="G39">
            <v>45291</v>
          </cell>
          <cell r="H39">
            <v>2023</v>
          </cell>
          <cell r="I39">
            <v>45762.788140026438</v>
          </cell>
          <cell r="J39">
            <v>45762.788140026438</v>
          </cell>
          <cell r="K39">
            <v>0</v>
          </cell>
          <cell r="L39">
            <v>0</v>
          </cell>
          <cell r="M39">
            <v>9152.5576280052883</v>
          </cell>
          <cell r="N39">
            <v>915.25576280052883</v>
          </cell>
          <cell r="O39">
            <v>5498.6041849070843</v>
          </cell>
          <cell r="P39">
            <v>10893.599476395008</v>
          </cell>
          <cell r="Q39">
            <v>3025.9998545541689</v>
          </cell>
          <cell r="R39">
            <v>0</v>
          </cell>
          <cell r="S39">
            <v>0</v>
          </cell>
        </row>
        <row r="40">
          <cell r="F40">
            <v>26</v>
          </cell>
          <cell r="G40">
            <v>45473</v>
          </cell>
          <cell r="H40">
            <v>2024</v>
          </cell>
          <cell r="I40">
            <v>45762.788140026438</v>
          </cell>
          <cell r="J40">
            <v>45762.788140026438</v>
          </cell>
          <cell r="K40">
            <v>0</v>
          </cell>
          <cell r="L40">
            <v>0</v>
          </cell>
          <cell r="M40">
            <v>9152.5576280052883</v>
          </cell>
          <cell r="N40">
            <v>915.25576280052883</v>
          </cell>
          <cell r="O40">
            <v>5498.6041849070843</v>
          </cell>
          <cell r="P40">
            <v>11165.939463304881</v>
          </cell>
          <cell r="Q40">
            <v>3101.6498509180228</v>
          </cell>
          <cell r="R40">
            <v>0</v>
          </cell>
          <cell r="S40">
            <v>0</v>
          </cell>
        </row>
        <row r="41">
          <cell r="F41">
            <v>27</v>
          </cell>
          <cell r="G41">
            <v>45657</v>
          </cell>
          <cell r="H41">
            <v>2024</v>
          </cell>
          <cell r="I41">
            <v>46678.043902826968</v>
          </cell>
          <cell r="J41">
            <v>46678.043902826968</v>
          </cell>
          <cell r="K41">
            <v>0</v>
          </cell>
          <cell r="L41">
            <v>0</v>
          </cell>
          <cell r="M41">
            <v>9335.6087805653933</v>
          </cell>
          <cell r="N41">
            <v>933.56087805653942</v>
          </cell>
          <cell r="O41">
            <v>5636.0692895297607</v>
          </cell>
          <cell r="P41">
            <v>11165.939463304881</v>
          </cell>
          <cell r="Q41">
            <v>3101.6498509180228</v>
          </cell>
          <cell r="R41">
            <v>0</v>
          </cell>
          <cell r="S41">
            <v>0</v>
          </cell>
        </row>
        <row r="42">
          <cell r="F42">
            <v>28</v>
          </cell>
          <cell r="G42">
            <v>45838</v>
          </cell>
          <cell r="H42">
            <v>2025</v>
          </cell>
          <cell r="I42">
            <v>46678.043902826968</v>
          </cell>
          <cell r="J42">
            <v>46678.043902826968</v>
          </cell>
          <cell r="K42">
            <v>0</v>
          </cell>
          <cell r="L42">
            <v>0</v>
          </cell>
          <cell r="M42">
            <v>9335.6087805653933</v>
          </cell>
          <cell r="N42">
            <v>933.56087805653942</v>
          </cell>
          <cell r="O42">
            <v>5636.0692895297607</v>
          </cell>
          <cell r="P42">
            <v>11445.087949887502</v>
          </cell>
          <cell r="Q42">
            <v>3179.1910971909733</v>
          </cell>
          <cell r="R42">
            <v>0</v>
          </cell>
          <cell r="S42">
            <v>0</v>
          </cell>
        </row>
        <row r="43">
          <cell r="F43">
            <v>29</v>
          </cell>
          <cell r="G43">
            <v>46022</v>
          </cell>
          <cell r="H43">
            <v>2025</v>
          </cell>
          <cell r="I43">
            <v>47611.604780883506</v>
          </cell>
          <cell r="J43">
            <v>47611.604780883506</v>
          </cell>
          <cell r="K43">
            <v>0</v>
          </cell>
          <cell r="L43">
            <v>0</v>
          </cell>
          <cell r="M43">
            <v>9522.3209561767017</v>
          </cell>
          <cell r="N43">
            <v>952.2320956176701</v>
          </cell>
          <cell r="O43">
            <v>5776.971021768004</v>
          </cell>
          <cell r="P43">
            <v>11445.087949887502</v>
          </cell>
          <cell r="Q43">
            <v>3179.1910971909733</v>
          </cell>
          <cell r="R43">
            <v>0</v>
          </cell>
          <cell r="S43">
            <v>0</v>
          </cell>
        </row>
        <row r="44">
          <cell r="F44">
            <v>30</v>
          </cell>
          <cell r="G44">
            <v>46203</v>
          </cell>
          <cell r="H44">
            <v>2026</v>
          </cell>
          <cell r="I44">
            <v>47611.604780883506</v>
          </cell>
          <cell r="J44">
            <v>47611.604780883506</v>
          </cell>
          <cell r="K44">
            <v>0</v>
          </cell>
          <cell r="L44">
            <v>0</v>
          </cell>
          <cell r="M44">
            <v>9522.3209561767017</v>
          </cell>
          <cell r="N44">
            <v>952.2320956176701</v>
          </cell>
          <cell r="O44">
            <v>5776.971021768004</v>
          </cell>
          <cell r="P44">
            <v>11731.215148634688</v>
          </cell>
          <cell r="Q44">
            <v>3258.6708746207473</v>
          </cell>
          <cell r="R44">
            <v>0</v>
          </cell>
          <cell r="S44">
            <v>0</v>
          </cell>
        </row>
        <row r="45">
          <cell r="F45">
            <v>31</v>
          </cell>
          <cell r="G45">
            <v>46387</v>
          </cell>
          <cell r="H45">
            <v>2026</v>
          </cell>
          <cell r="I45">
            <v>48563.836876501176</v>
          </cell>
          <cell r="J45">
            <v>48563.836876501176</v>
          </cell>
          <cell r="K45">
            <v>0</v>
          </cell>
          <cell r="L45">
            <v>0</v>
          </cell>
          <cell r="M45">
            <v>9712.7673753002364</v>
          </cell>
          <cell r="N45">
            <v>971.27673753002352</v>
          </cell>
          <cell r="O45">
            <v>5921.3952973122032</v>
          </cell>
          <cell r="P45">
            <v>11731.215148634688</v>
          </cell>
          <cell r="Q45">
            <v>3258.6708746207473</v>
          </cell>
          <cell r="R45">
            <v>0</v>
          </cell>
          <cell r="S45">
            <v>0</v>
          </cell>
        </row>
        <row r="46">
          <cell r="F46">
            <v>32</v>
          </cell>
          <cell r="G46">
            <v>46568</v>
          </cell>
          <cell r="H46">
            <v>2027</v>
          </cell>
          <cell r="I46">
            <v>48563.836876501176</v>
          </cell>
          <cell r="J46">
            <v>48563.836876501176</v>
          </cell>
          <cell r="K46">
            <v>0</v>
          </cell>
          <cell r="L46">
            <v>0</v>
          </cell>
          <cell r="M46">
            <v>9712.7673753002364</v>
          </cell>
          <cell r="N46">
            <v>971.27673753002352</v>
          </cell>
          <cell r="O46">
            <v>5921.3952973122032</v>
          </cell>
          <cell r="P46">
            <v>12024.495527350555</v>
          </cell>
          <cell r="Q46">
            <v>3340.1376464862656</v>
          </cell>
          <cell r="R46">
            <v>0</v>
          </cell>
          <cell r="S46">
            <v>0</v>
          </cell>
        </row>
        <row r="47">
          <cell r="F47">
            <v>33</v>
          </cell>
          <cell r="G47">
            <v>46752</v>
          </cell>
          <cell r="H47">
            <v>2027</v>
          </cell>
          <cell r="I47">
            <v>49535.113614031201</v>
          </cell>
          <cell r="J47">
            <v>49535.113614031201</v>
          </cell>
          <cell r="K47">
            <v>0</v>
          </cell>
          <cell r="L47">
            <v>0</v>
          </cell>
          <cell r="M47">
            <v>9907.0227228062413</v>
          </cell>
          <cell r="N47">
            <v>990.70227228062402</v>
          </cell>
          <cell r="O47">
            <v>6069.430179745008</v>
          </cell>
          <cell r="P47">
            <v>12024.495527350555</v>
          </cell>
          <cell r="Q47">
            <v>3340.1376464862656</v>
          </cell>
          <cell r="R47">
            <v>0</v>
          </cell>
          <cell r="S47">
            <v>0</v>
          </cell>
        </row>
        <row r="48">
          <cell r="F48">
            <v>34</v>
          </cell>
          <cell r="G48">
            <v>46934</v>
          </cell>
          <cell r="H48">
            <v>2028</v>
          </cell>
          <cell r="I48">
            <v>49535.113614031201</v>
          </cell>
          <cell r="J48">
            <v>49535.113614031201</v>
          </cell>
          <cell r="K48">
            <v>0</v>
          </cell>
          <cell r="L48">
            <v>0</v>
          </cell>
          <cell r="M48">
            <v>9907.0227228062413</v>
          </cell>
          <cell r="N48">
            <v>990.70227228062402</v>
          </cell>
          <cell r="O48">
            <v>6069.430179745008</v>
          </cell>
          <cell r="P48">
            <v>12325.107915534318</v>
          </cell>
          <cell r="Q48">
            <v>3423.6410876484219</v>
          </cell>
          <cell r="R48">
            <v>0</v>
          </cell>
          <cell r="S48">
            <v>0</v>
          </cell>
        </row>
        <row r="49">
          <cell r="F49">
            <v>35</v>
          </cell>
          <cell r="G49">
            <v>47118</v>
          </cell>
          <cell r="H49">
            <v>2028</v>
          </cell>
          <cell r="I49">
            <v>50525.815886311822</v>
          </cell>
          <cell r="J49">
            <v>50525.815886311822</v>
          </cell>
          <cell r="K49">
            <v>0</v>
          </cell>
          <cell r="L49">
            <v>0</v>
          </cell>
          <cell r="M49">
            <v>10105.163177262366</v>
          </cell>
          <cell r="N49">
            <v>1010.5163177262365</v>
          </cell>
          <cell r="O49">
            <v>6221.1659342386329</v>
          </cell>
          <cell r="P49">
            <v>12325.107915534318</v>
          </cell>
          <cell r="Q49">
            <v>3423.6410876484219</v>
          </cell>
          <cell r="R49">
            <v>0</v>
          </cell>
          <cell r="S49">
            <v>0</v>
          </cell>
        </row>
        <row r="50">
          <cell r="F50">
            <v>36</v>
          </cell>
          <cell r="G50">
            <v>47299</v>
          </cell>
          <cell r="H50">
            <v>2029</v>
          </cell>
          <cell r="I50">
            <v>50525.815886311822</v>
          </cell>
          <cell r="J50">
            <v>50525.815886311822</v>
          </cell>
          <cell r="K50">
            <v>0</v>
          </cell>
          <cell r="L50">
            <v>0</v>
          </cell>
          <cell r="M50">
            <v>10105.163177262366</v>
          </cell>
          <cell r="N50">
            <v>1010.5163177262365</v>
          </cell>
          <cell r="O50">
            <v>6221.1659342386329</v>
          </cell>
          <cell r="P50">
            <v>12633.235613422674</v>
          </cell>
          <cell r="Q50">
            <v>3509.2321148396322</v>
          </cell>
          <cell r="R50">
            <v>0</v>
          </cell>
          <cell r="S50">
            <v>0</v>
          </cell>
        </row>
        <row r="51">
          <cell r="F51">
            <v>37</v>
          </cell>
          <cell r="G51">
            <v>47483</v>
          </cell>
          <cell r="H51">
            <v>2029</v>
          </cell>
          <cell r="I51">
            <v>51536.332204038059</v>
          </cell>
          <cell r="J51">
            <v>51536.332204038059</v>
          </cell>
          <cell r="K51">
            <v>0</v>
          </cell>
          <cell r="L51">
            <v>0</v>
          </cell>
          <cell r="M51">
            <v>10307.266440807613</v>
          </cell>
          <cell r="N51">
            <v>1030.7266440807612</v>
          </cell>
          <cell r="O51">
            <v>6376.6950825945978</v>
          </cell>
          <cell r="P51">
            <v>12633.235613422674</v>
          </cell>
          <cell r="Q51">
            <v>3509.2321148396322</v>
          </cell>
          <cell r="R51">
            <v>0</v>
          </cell>
          <cell r="S51">
            <v>0</v>
          </cell>
        </row>
        <row r="52">
          <cell r="F52">
            <v>38</v>
          </cell>
          <cell r="G52">
            <v>47664</v>
          </cell>
          <cell r="H52">
            <v>2030</v>
          </cell>
          <cell r="I52">
            <v>51536.332204038059</v>
          </cell>
          <cell r="J52">
            <v>51536.332204038059</v>
          </cell>
          <cell r="K52">
            <v>0</v>
          </cell>
          <cell r="L52">
            <v>0</v>
          </cell>
          <cell r="M52">
            <v>10307.266440807613</v>
          </cell>
          <cell r="N52">
            <v>1030.7266440807612</v>
          </cell>
          <cell r="O52">
            <v>6376.6950825945978</v>
          </cell>
          <cell r="P52">
            <v>12949.06650375824</v>
          </cell>
          <cell r="Q52">
            <v>3596.9629177106226</v>
          </cell>
          <cell r="R52">
            <v>0</v>
          </cell>
          <cell r="S52">
            <v>0</v>
          </cell>
        </row>
        <row r="53">
          <cell r="F53">
            <v>39</v>
          </cell>
          <cell r="G53">
            <v>47848</v>
          </cell>
          <cell r="H53">
            <v>2030</v>
          </cell>
          <cell r="I53">
            <v>52567.058848118824</v>
          </cell>
          <cell r="J53">
            <v>52567.058848118824</v>
          </cell>
          <cell r="K53">
            <v>0</v>
          </cell>
          <cell r="L53">
            <v>0</v>
          </cell>
          <cell r="M53">
            <v>10513.411769623766</v>
          </cell>
          <cell r="N53">
            <v>1051.3411769623765</v>
          </cell>
          <cell r="O53">
            <v>6536.1124596594618</v>
          </cell>
          <cell r="P53">
            <v>12949.06650375824</v>
          </cell>
          <cell r="Q53">
            <v>3596.9629177106226</v>
          </cell>
          <cell r="R53">
            <v>0</v>
          </cell>
          <cell r="S53">
            <v>0</v>
          </cell>
        </row>
        <row r="54">
          <cell r="F54">
            <v>40</v>
          </cell>
          <cell r="G54">
            <v>48029</v>
          </cell>
          <cell r="H54">
            <v>2031</v>
          </cell>
          <cell r="I54">
            <v>52567.058848118824</v>
          </cell>
          <cell r="J54">
            <v>52567.058848118824</v>
          </cell>
          <cell r="K54">
            <v>0</v>
          </cell>
          <cell r="L54">
            <v>0</v>
          </cell>
          <cell r="M54">
            <v>10513.411769623766</v>
          </cell>
          <cell r="N54">
            <v>1051.3411769623765</v>
          </cell>
          <cell r="O54">
            <v>6536.1124596594618</v>
          </cell>
          <cell r="P54">
            <v>13272.793166352196</v>
          </cell>
          <cell r="Q54">
            <v>3686.8869906533878</v>
          </cell>
          <cell r="R54">
            <v>0</v>
          </cell>
          <cell r="S54">
            <v>0</v>
          </cell>
        </row>
        <row r="55">
          <cell r="F55">
            <v>41</v>
          </cell>
          <cell r="G55">
            <v>48213</v>
          </cell>
          <cell r="H55">
            <v>2031</v>
          </cell>
          <cell r="I55">
            <v>53618.400025081202</v>
          </cell>
          <cell r="J55">
            <v>53618.400025081202</v>
          </cell>
          <cell r="K55">
            <v>0</v>
          </cell>
          <cell r="L55">
            <v>0</v>
          </cell>
          <cell r="M55">
            <v>10723.680005016242</v>
          </cell>
          <cell r="N55">
            <v>1072.368000501624</v>
          </cell>
          <cell r="O55">
            <v>6699.5152711509481</v>
          </cell>
          <cell r="P55">
            <v>13272.793166352196</v>
          </cell>
          <cell r="Q55">
            <v>3686.8869906533878</v>
          </cell>
          <cell r="R55">
            <v>0</v>
          </cell>
          <cell r="S55">
            <v>0</v>
          </cell>
        </row>
        <row r="56">
          <cell r="F56">
            <v>42</v>
          </cell>
          <cell r="G56">
            <v>48395</v>
          </cell>
          <cell r="H56">
            <v>2032</v>
          </cell>
          <cell r="I56">
            <v>53618.400025081202</v>
          </cell>
          <cell r="J56">
            <v>53618.400025081202</v>
          </cell>
          <cell r="K56">
            <v>0</v>
          </cell>
          <cell r="L56">
            <v>0</v>
          </cell>
          <cell r="M56">
            <v>10723.680005016242</v>
          </cell>
          <cell r="N56">
            <v>1072.368000501624</v>
          </cell>
          <cell r="O56">
            <v>6699.5152711509481</v>
          </cell>
          <cell r="P56">
            <v>13604.612995510999</v>
          </cell>
          <cell r="Q56">
            <v>3779.0591654197224</v>
          </cell>
          <cell r="R56">
            <v>0</v>
          </cell>
          <cell r="S56">
            <v>0</v>
          </cell>
        </row>
        <row r="57">
          <cell r="F57">
            <v>43</v>
          </cell>
          <cell r="G57">
            <v>48579</v>
          </cell>
          <cell r="H57">
            <v>2032</v>
          </cell>
          <cell r="I57">
            <v>54690.768025582831</v>
          </cell>
          <cell r="J57">
            <v>54690.768025582831</v>
          </cell>
          <cell r="K57">
            <v>0</v>
          </cell>
          <cell r="L57">
            <v>0</v>
          </cell>
          <cell r="M57">
            <v>10938.153605116568</v>
          </cell>
          <cell r="N57">
            <v>1093.8153605116565</v>
          </cell>
          <cell r="O57">
            <v>6867.0031529297212</v>
          </cell>
          <cell r="P57">
            <v>13604.612995510999</v>
          </cell>
          <cell r="Q57">
            <v>3779.0591654197224</v>
          </cell>
          <cell r="R57">
            <v>0</v>
          </cell>
          <cell r="S57">
            <v>0</v>
          </cell>
        </row>
        <row r="58">
          <cell r="F58">
            <v>44</v>
          </cell>
          <cell r="G58">
            <v>48760</v>
          </cell>
          <cell r="H58">
            <v>2033</v>
          </cell>
          <cell r="I58">
            <v>54690.768025582831</v>
          </cell>
          <cell r="J58">
            <v>54690.768025582831</v>
          </cell>
          <cell r="K58">
            <v>0</v>
          </cell>
          <cell r="L58">
            <v>0</v>
          </cell>
          <cell r="M58">
            <v>10938.153605116568</v>
          </cell>
          <cell r="N58">
            <v>1093.8153605116565</v>
          </cell>
          <cell r="O58">
            <v>6867.0031529297212</v>
          </cell>
          <cell r="P58">
            <v>13944.728320398774</v>
          </cell>
          <cell r="Q58">
            <v>3873.5356445552152</v>
          </cell>
          <cell r="R58">
            <v>0</v>
          </cell>
          <cell r="S58">
            <v>0</v>
          </cell>
        </row>
        <row r="59">
          <cell r="F59">
            <v>45</v>
          </cell>
          <cell r="G59">
            <v>48944</v>
          </cell>
          <cell r="H59">
            <v>2033</v>
          </cell>
          <cell r="I59">
            <v>55784.583386094491</v>
          </cell>
          <cell r="J59">
            <v>55784.583386094491</v>
          </cell>
          <cell r="K59">
            <v>0</v>
          </cell>
          <cell r="L59">
            <v>0</v>
          </cell>
          <cell r="M59">
            <v>11156.916677218898</v>
          </cell>
          <cell r="N59">
            <v>1115.6916677218899</v>
          </cell>
          <cell r="O59">
            <v>7038.6782317529633</v>
          </cell>
          <cell r="P59">
            <v>13944.728320398774</v>
          </cell>
          <cell r="Q59">
            <v>3873.5356445552152</v>
          </cell>
          <cell r="R59">
            <v>0</v>
          </cell>
          <cell r="S59">
            <v>0</v>
          </cell>
        </row>
        <row r="60">
          <cell r="F60">
            <v>46</v>
          </cell>
          <cell r="G60">
            <v>49125</v>
          </cell>
          <cell r="H60">
            <v>2034</v>
          </cell>
          <cell r="I60">
            <v>55784.583386094491</v>
          </cell>
          <cell r="J60">
            <v>55784.583386094491</v>
          </cell>
          <cell r="K60">
            <v>0</v>
          </cell>
          <cell r="L60">
            <v>0</v>
          </cell>
          <cell r="M60">
            <v>11156.916677218898</v>
          </cell>
          <cell r="N60">
            <v>1115.6916677218899</v>
          </cell>
          <cell r="O60">
            <v>7038.6782317529633</v>
          </cell>
          <cell r="P60">
            <v>14293.346528408742</v>
          </cell>
          <cell r="Q60">
            <v>3970.3740356690951</v>
          </cell>
          <cell r="R60">
            <v>0</v>
          </cell>
          <cell r="S60">
            <v>0</v>
          </cell>
        </row>
        <row r="61">
          <cell r="F61">
            <v>47</v>
          </cell>
          <cell r="G61">
            <v>49309</v>
          </cell>
          <cell r="H61">
            <v>2034</v>
          </cell>
          <cell r="I61">
            <v>56900.275053816382</v>
          </cell>
          <cell r="J61">
            <v>56900.275053816382</v>
          </cell>
          <cell r="K61">
            <v>0</v>
          </cell>
          <cell r="L61">
            <v>0</v>
          </cell>
          <cell r="M61">
            <v>11380.055010763277</v>
          </cell>
          <cell r="N61">
            <v>1138.0055010763276</v>
          </cell>
          <cell r="O61">
            <v>7214.6451875467865</v>
          </cell>
          <cell r="P61">
            <v>14293.346528408742</v>
          </cell>
          <cell r="Q61">
            <v>3970.3740356690951</v>
          </cell>
          <cell r="R61">
            <v>0</v>
          </cell>
          <cell r="S61">
            <v>0</v>
          </cell>
        </row>
        <row r="62">
          <cell r="F62">
            <v>48</v>
          </cell>
          <cell r="G62">
            <v>49490</v>
          </cell>
          <cell r="H62">
            <v>2035</v>
          </cell>
          <cell r="I62">
            <v>56900.275053816382</v>
          </cell>
          <cell r="J62">
            <v>56900.275053816382</v>
          </cell>
          <cell r="K62">
            <v>0</v>
          </cell>
          <cell r="L62">
            <v>0</v>
          </cell>
          <cell r="M62">
            <v>11380.055010763277</v>
          </cell>
          <cell r="N62">
            <v>1138.0055010763276</v>
          </cell>
          <cell r="O62">
            <v>7214.6451875467865</v>
          </cell>
          <cell r="P62">
            <v>14650.680191618958</v>
          </cell>
          <cell r="Q62">
            <v>4069.6333865608221</v>
          </cell>
          <cell r="R62">
            <v>0</v>
          </cell>
          <cell r="S62">
            <v>0</v>
          </cell>
        </row>
        <row r="63">
          <cell r="F63">
            <v>49</v>
          </cell>
          <cell r="G63">
            <v>49674</v>
          </cell>
          <cell r="H63">
            <v>2035</v>
          </cell>
          <cell r="I63">
            <v>58038.280554892714</v>
          </cell>
          <cell r="J63">
            <v>58038.280554892714</v>
          </cell>
          <cell r="K63">
            <v>0</v>
          </cell>
          <cell r="L63">
            <v>0</v>
          </cell>
          <cell r="M63">
            <v>11607.656110978543</v>
          </cell>
          <cell r="N63">
            <v>1160.7656110978544</v>
          </cell>
          <cell r="O63">
            <v>7395.0113172354559</v>
          </cell>
          <cell r="P63">
            <v>14650.680191618958</v>
          </cell>
          <cell r="Q63">
            <v>4069.6333865608221</v>
          </cell>
          <cell r="R63">
            <v>9000</v>
          </cell>
          <cell r="S63">
            <v>9000</v>
          </cell>
        </row>
        <row r="64">
          <cell r="F64">
            <v>50</v>
          </cell>
          <cell r="G64">
            <v>49856</v>
          </cell>
          <cell r="H64">
            <v>2036</v>
          </cell>
          <cell r="I64">
            <v>58038.280554892714</v>
          </cell>
          <cell r="J64">
            <v>58038.280554892714</v>
          </cell>
          <cell r="K64">
            <v>0</v>
          </cell>
          <cell r="L64">
            <v>0</v>
          </cell>
          <cell r="M64">
            <v>11607.656110978543</v>
          </cell>
          <cell r="N64">
            <v>1160.7656110978544</v>
          </cell>
          <cell r="O64">
            <v>7395.0113172354559</v>
          </cell>
          <cell r="P64">
            <v>15016.94719640943</v>
          </cell>
          <cell r="Q64">
            <v>4171.3742212248426</v>
          </cell>
          <cell r="R64">
            <v>0</v>
          </cell>
          <cell r="S64">
            <v>0</v>
          </cell>
        </row>
        <row r="65">
          <cell r="F65">
            <v>51</v>
          </cell>
          <cell r="G65">
            <v>50040</v>
          </cell>
          <cell r="H65">
            <v>2036</v>
          </cell>
          <cell r="I65">
            <v>59199.04616599057</v>
          </cell>
          <cell r="J65">
            <v>59199.04616599057</v>
          </cell>
          <cell r="K65">
            <v>0</v>
          </cell>
          <cell r="L65">
            <v>0</v>
          </cell>
          <cell r="M65">
            <v>11839.809233198115</v>
          </cell>
          <cell r="N65">
            <v>1183.9809233198114</v>
          </cell>
          <cell r="O65">
            <v>7579.8866001663419</v>
          </cell>
          <cell r="P65">
            <v>15016.94719640943</v>
          </cell>
          <cell r="Q65">
            <v>4171.3742212248426</v>
          </cell>
          <cell r="R65">
            <v>9180</v>
          </cell>
          <cell r="S65">
            <v>9180</v>
          </cell>
        </row>
        <row r="66">
          <cell r="F66">
            <v>52</v>
          </cell>
          <cell r="G66">
            <v>50221</v>
          </cell>
          <cell r="H66">
            <v>2037</v>
          </cell>
          <cell r="I66">
            <v>59199.04616599057</v>
          </cell>
          <cell r="J66">
            <v>59199.04616599057</v>
          </cell>
          <cell r="K66">
            <v>0</v>
          </cell>
          <cell r="L66">
            <v>0</v>
          </cell>
          <cell r="M66">
            <v>11839.809233198115</v>
          </cell>
          <cell r="N66">
            <v>1183.9809233198114</v>
          </cell>
          <cell r="O66">
            <v>7579.8866001663419</v>
          </cell>
          <cell r="P66">
            <v>15392.370876319665</v>
          </cell>
          <cell r="Q66">
            <v>4275.6585767554634</v>
          </cell>
          <cell r="R66">
            <v>0</v>
          </cell>
          <cell r="S66">
            <v>0</v>
          </cell>
        </row>
        <row r="67">
          <cell r="F67">
            <v>53</v>
          </cell>
          <cell r="G67">
            <v>50405</v>
          </cell>
          <cell r="H67">
            <v>2037</v>
          </cell>
          <cell r="I67">
            <v>60383.027089310381</v>
          </cell>
          <cell r="J67">
            <v>60383.027089310381</v>
          </cell>
          <cell r="K67">
            <v>0</v>
          </cell>
          <cell r="L67">
            <v>0</v>
          </cell>
          <cell r="M67">
            <v>12076.605417862076</v>
          </cell>
          <cell r="N67">
            <v>1207.6605417862077</v>
          </cell>
          <cell r="O67">
            <v>7769.3837651704998</v>
          </cell>
          <cell r="P67">
            <v>15392.370876319665</v>
          </cell>
          <cell r="Q67">
            <v>4275.6585767554634</v>
          </cell>
          <cell r="R67">
            <v>9363.6</v>
          </cell>
          <cell r="S67">
            <v>9363.6</v>
          </cell>
        </row>
        <row r="68">
          <cell r="F68">
            <v>54</v>
          </cell>
          <cell r="G68">
            <v>50586</v>
          </cell>
          <cell r="H68">
            <v>2038</v>
          </cell>
          <cell r="I68">
            <v>60383.027089310381</v>
          </cell>
          <cell r="J68">
            <v>60383.027089310381</v>
          </cell>
          <cell r="K68">
            <v>0</v>
          </cell>
          <cell r="L68">
            <v>0</v>
          </cell>
          <cell r="M68">
            <v>12076.605417862076</v>
          </cell>
          <cell r="N68">
            <v>1207.6605417862077</v>
          </cell>
          <cell r="O68">
            <v>7769.3837651704998</v>
          </cell>
          <cell r="P68">
            <v>15777.180148227655</v>
          </cell>
          <cell r="Q68">
            <v>4382.5500411743496</v>
          </cell>
          <cell r="R68">
            <v>0</v>
          </cell>
          <cell r="S68">
            <v>0</v>
          </cell>
        </row>
        <row r="69">
          <cell r="F69">
            <v>55</v>
          </cell>
          <cell r="G69">
            <v>50770</v>
          </cell>
          <cell r="H69">
            <v>2038</v>
          </cell>
          <cell r="I69">
            <v>61590.687631096589</v>
          </cell>
          <cell r="J69">
            <v>61590.687631096589</v>
          </cell>
          <cell r="K69">
            <v>0</v>
          </cell>
          <cell r="L69">
            <v>0</v>
          </cell>
          <cell r="M69">
            <v>12318.137526219318</v>
          </cell>
          <cell r="N69">
            <v>1231.8137526219318</v>
          </cell>
          <cell r="O69">
            <v>7963.6183592997613</v>
          </cell>
          <cell r="P69">
            <v>15777.180148227655</v>
          </cell>
          <cell r="Q69">
            <v>4382.5500411743496</v>
          </cell>
          <cell r="R69">
            <v>9550.8720000000012</v>
          </cell>
          <cell r="S69">
            <v>9550.8720000000012</v>
          </cell>
        </row>
        <row r="70">
          <cell r="F70">
            <v>56</v>
          </cell>
          <cell r="G70">
            <v>50951</v>
          </cell>
          <cell r="H70">
            <v>2039</v>
          </cell>
          <cell r="I70">
            <v>61590.687631096589</v>
          </cell>
          <cell r="J70">
            <v>61590.687631096589</v>
          </cell>
          <cell r="K70">
            <v>0</v>
          </cell>
          <cell r="L70">
            <v>0</v>
          </cell>
          <cell r="M70">
            <v>12318.137526219318</v>
          </cell>
          <cell r="N70">
            <v>1231.8137526219318</v>
          </cell>
          <cell r="O70">
            <v>7963.6183592997613</v>
          </cell>
          <cell r="P70">
            <v>16171.609651933346</v>
          </cell>
          <cell r="Q70">
            <v>4492.1137922037078</v>
          </cell>
          <cell r="R70">
            <v>0</v>
          </cell>
          <cell r="S70">
            <v>0</v>
          </cell>
        </row>
        <row r="71">
          <cell r="F71">
            <v>57</v>
          </cell>
          <cell r="G71">
            <v>51135</v>
          </cell>
          <cell r="H71">
            <v>2039</v>
          </cell>
          <cell r="I71">
            <v>62822.501383718525</v>
          </cell>
          <cell r="J71">
            <v>62822.501383718525</v>
          </cell>
          <cell r="K71">
            <v>0</v>
          </cell>
          <cell r="L71">
            <v>0</v>
          </cell>
          <cell r="M71">
            <v>12564.500276743705</v>
          </cell>
          <cell r="N71">
            <v>1256.4500276743706</v>
          </cell>
          <cell r="O71">
            <v>8162.7088182822545</v>
          </cell>
          <cell r="P71">
            <v>16171.609651933346</v>
          </cell>
          <cell r="Q71">
            <v>4492.1137922037078</v>
          </cell>
          <cell r="R71">
            <v>9741.8894400000008</v>
          </cell>
          <cell r="S71">
            <v>9741.8894400000008</v>
          </cell>
        </row>
        <row r="72">
          <cell r="F72">
            <v>58</v>
          </cell>
          <cell r="G72">
            <v>51317</v>
          </cell>
          <cell r="H72">
            <v>2040</v>
          </cell>
          <cell r="I72">
            <v>62822.501383718525</v>
          </cell>
          <cell r="J72">
            <v>62822.501383718525</v>
          </cell>
          <cell r="K72">
            <v>0</v>
          </cell>
          <cell r="L72">
            <v>0</v>
          </cell>
          <cell r="M72">
            <v>12564.500276743705</v>
          </cell>
          <cell r="N72">
            <v>1256.4500276743706</v>
          </cell>
          <cell r="O72">
            <v>8162.7088182822545</v>
          </cell>
          <cell r="P72">
            <v>16575.899893231679</v>
          </cell>
          <cell r="Q72">
            <v>4604.4166370088005</v>
          </cell>
          <cell r="R72">
            <v>0</v>
          </cell>
          <cell r="S72">
            <v>0</v>
          </cell>
        </row>
        <row r="73">
          <cell r="F73">
            <v>59</v>
          </cell>
          <cell r="G73">
            <v>51501</v>
          </cell>
          <cell r="H73">
            <v>2040</v>
          </cell>
          <cell r="I73">
            <v>64078.951411392896</v>
          </cell>
          <cell r="J73">
            <v>64078.951411392896</v>
          </cell>
          <cell r="K73">
            <v>0</v>
          </cell>
          <cell r="L73">
            <v>0</v>
          </cell>
          <cell r="M73">
            <v>12815.79028227858</v>
          </cell>
          <cell r="N73">
            <v>1281.5790282278579</v>
          </cell>
          <cell r="O73">
            <v>8366.7765387393101</v>
          </cell>
          <cell r="P73">
            <v>16575.899893231679</v>
          </cell>
          <cell r="Q73">
            <v>4604.4166370088005</v>
          </cell>
          <cell r="R73">
            <v>9936.7272288000004</v>
          </cell>
          <cell r="S73">
            <v>9936.7272288000004</v>
          </cell>
        </row>
        <row r="74">
          <cell r="F74">
            <v>60</v>
          </cell>
          <cell r="G74">
            <v>51682</v>
          </cell>
          <cell r="H74">
            <v>2041</v>
          </cell>
          <cell r="I74">
            <v>64078.951411392896</v>
          </cell>
          <cell r="J74">
            <v>64078.951411392896</v>
          </cell>
          <cell r="K74">
            <v>0</v>
          </cell>
          <cell r="L74">
            <v>0</v>
          </cell>
          <cell r="M74">
            <v>12815.79028227858</v>
          </cell>
          <cell r="N74">
            <v>1281.5790282278579</v>
          </cell>
          <cell r="O74">
            <v>8366.7765387393101</v>
          </cell>
          <cell r="P74">
            <v>16990.297390562471</v>
          </cell>
          <cell r="Q74">
            <v>4719.5270529340205</v>
          </cell>
          <cell r="R74">
            <v>0</v>
          </cell>
          <cell r="S74">
            <v>0</v>
          </cell>
        </row>
        <row r="75">
          <cell r="F75">
            <v>61</v>
          </cell>
          <cell r="G75">
            <v>51866</v>
          </cell>
          <cell r="H75">
            <v>2041</v>
          </cell>
          <cell r="I75">
            <v>65360.530439620758</v>
          </cell>
          <cell r="J75">
            <v>65360.530439620758</v>
          </cell>
          <cell r="K75">
            <v>0</v>
          </cell>
          <cell r="L75">
            <v>0</v>
          </cell>
          <cell r="M75">
            <v>13072.106087924152</v>
          </cell>
          <cell r="N75">
            <v>1307.2106087924151</v>
          </cell>
          <cell r="O75">
            <v>8575.9459522077923</v>
          </cell>
          <cell r="P75">
            <v>16990.297390562471</v>
          </cell>
          <cell r="Q75">
            <v>4719.5270529340205</v>
          </cell>
          <cell r="R75">
            <v>10135.461773376001</v>
          </cell>
          <cell r="S75">
            <v>10135.461773376001</v>
          </cell>
        </row>
        <row r="76">
          <cell r="F76">
            <v>62</v>
          </cell>
          <cell r="G76">
            <v>52047</v>
          </cell>
          <cell r="H76">
            <v>2042</v>
          </cell>
          <cell r="I76">
            <v>65360.530439620758</v>
          </cell>
          <cell r="J76">
            <v>65360.530439620758</v>
          </cell>
          <cell r="K76">
            <v>0</v>
          </cell>
          <cell r="L76">
            <v>0</v>
          </cell>
          <cell r="M76">
            <v>13072.106087924152</v>
          </cell>
          <cell r="N76">
            <v>1307.2106087924151</v>
          </cell>
          <cell r="O76">
            <v>8575.9459522077923</v>
          </cell>
          <cell r="P76">
            <v>17415.054825326533</v>
          </cell>
          <cell r="Q76">
            <v>4837.5152292573703</v>
          </cell>
          <cell r="R76">
            <v>0</v>
          </cell>
          <cell r="S76">
            <v>0</v>
          </cell>
        </row>
        <row r="77">
          <cell r="F77">
            <v>63</v>
          </cell>
          <cell r="G77">
            <v>52231</v>
          </cell>
          <cell r="H77">
            <v>2042</v>
          </cell>
          <cell r="I77">
            <v>66667.741048413169</v>
          </cell>
          <cell r="J77">
            <v>66667.741048413169</v>
          </cell>
          <cell r="K77">
            <v>0</v>
          </cell>
          <cell r="L77">
            <v>0</v>
          </cell>
          <cell r="M77">
            <v>13333.548209682634</v>
          </cell>
          <cell r="N77">
            <v>1333.3548209682633</v>
          </cell>
          <cell r="O77">
            <v>8790.3446010129865</v>
          </cell>
          <cell r="P77">
            <v>17415.054825326533</v>
          </cell>
          <cell r="Q77">
            <v>4837.5152292573703</v>
          </cell>
          <cell r="R77">
            <v>10338.171008843521</v>
          </cell>
          <cell r="S77">
            <v>10338.171008843521</v>
          </cell>
        </row>
        <row r="78">
          <cell r="F78">
            <v>64</v>
          </cell>
          <cell r="G78">
            <v>52412</v>
          </cell>
          <cell r="H78">
            <v>2043</v>
          </cell>
          <cell r="I78">
            <v>66667.741048413169</v>
          </cell>
          <cell r="J78">
            <v>66667.741048413169</v>
          </cell>
          <cell r="K78">
            <v>0</v>
          </cell>
          <cell r="L78">
            <v>0</v>
          </cell>
          <cell r="M78">
            <v>13333.548209682634</v>
          </cell>
          <cell r="N78">
            <v>1333.3548209682633</v>
          </cell>
          <cell r="O78">
            <v>8790.3446010129865</v>
          </cell>
          <cell r="P78">
            <v>17850.431195959696</v>
          </cell>
          <cell r="Q78">
            <v>4958.4531099888045</v>
          </cell>
          <cell r="R78">
            <v>0</v>
          </cell>
          <cell r="S78">
            <v>0</v>
          </cell>
        </row>
        <row r="79">
          <cell r="F79">
            <v>65</v>
          </cell>
          <cell r="G79">
            <v>52596</v>
          </cell>
          <cell r="H79">
            <v>2043</v>
          </cell>
          <cell r="I79">
            <v>68001.095869381432</v>
          </cell>
          <cell r="J79">
            <v>68001.095869381432</v>
          </cell>
          <cell r="K79">
            <v>0</v>
          </cell>
          <cell r="L79">
            <v>0</v>
          </cell>
          <cell r="M79">
            <v>13600.219173876287</v>
          </cell>
          <cell r="N79">
            <v>1360.0219173876287</v>
          </cell>
          <cell r="O79">
            <v>9010.1032160383111</v>
          </cell>
          <cell r="P79">
            <v>17850.431195959696</v>
          </cell>
          <cell r="Q79">
            <v>4958.4531099888045</v>
          </cell>
          <cell r="R79">
            <v>10544.934429020392</v>
          </cell>
          <cell r="S79">
            <v>10544.934429020392</v>
          </cell>
        </row>
        <row r="80">
          <cell r="F80">
            <v>66</v>
          </cell>
          <cell r="G80">
            <v>52778</v>
          </cell>
          <cell r="H80">
            <v>2044</v>
          </cell>
          <cell r="I80">
            <v>68001.095869381432</v>
          </cell>
          <cell r="J80">
            <v>68001.095869381432</v>
          </cell>
          <cell r="K80">
            <v>0</v>
          </cell>
          <cell r="L80">
            <v>0</v>
          </cell>
          <cell r="M80">
            <v>13600.219173876287</v>
          </cell>
          <cell r="N80">
            <v>1360.0219173876287</v>
          </cell>
          <cell r="O80">
            <v>9010.1032160383111</v>
          </cell>
          <cell r="P80">
            <v>18296.691975858688</v>
          </cell>
          <cell r="Q80">
            <v>5082.4144377385246</v>
          </cell>
          <cell r="R80">
            <v>0</v>
          </cell>
          <cell r="S80">
            <v>0</v>
          </cell>
        </row>
        <row r="81">
          <cell r="F81">
            <v>67</v>
          </cell>
          <cell r="G81">
            <v>52962</v>
          </cell>
          <cell r="H81">
            <v>2044</v>
          </cell>
          <cell r="I81">
            <v>69361.117786769057</v>
          </cell>
          <cell r="J81">
            <v>69361.117786769057</v>
          </cell>
          <cell r="K81">
            <v>0</v>
          </cell>
          <cell r="L81">
            <v>0</v>
          </cell>
          <cell r="M81">
            <v>13872.223557353813</v>
          </cell>
          <cell r="N81">
            <v>1387.2223557353811</v>
          </cell>
          <cell r="O81">
            <v>9235.3557964392676</v>
          </cell>
          <cell r="P81">
            <v>18296.691975858688</v>
          </cell>
          <cell r="Q81">
            <v>5082.4144377385246</v>
          </cell>
          <cell r="R81">
            <v>10755.8331176008</v>
          </cell>
          <cell r="S81">
            <v>10755.8331176008</v>
          </cell>
        </row>
        <row r="82">
          <cell r="F82">
            <v>68</v>
          </cell>
          <cell r="G82">
            <v>53143</v>
          </cell>
          <cell r="H82">
            <v>2045</v>
          </cell>
          <cell r="I82">
            <v>69361.117786769057</v>
          </cell>
          <cell r="J82">
            <v>69361.117786769057</v>
          </cell>
          <cell r="K82">
            <v>0</v>
          </cell>
          <cell r="L82">
            <v>0</v>
          </cell>
          <cell r="M82">
            <v>13872.223557353813</v>
          </cell>
          <cell r="N82">
            <v>1387.2223557353811</v>
          </cell>
          <cell r="O82">
            <v>9235.3557964392676</v>
          </cell>
          <cell r="P82">
            <v>18754.109275255152</v>
          </cell>
          <cell r="Q82">
            <v>5209.4747986819875</v>
          </cell>
          <cell r="R82">
            <v>0</v>
          </cell>
          <cell r="S82">
            <v>0</v>
          </cell>
        </row>
        <row r="83">
          <cell r="F83">
            <v>69</v>
          </cell>
          <cell r="G83">
            <v>53327</v>
          </cell>
          <cell r="H83">
            <v>2045</v>
          </cell>
          <cell r="I83">
            <v>70748.340142504443</v>
          </cell>
          <cell r="J83">
            <v>70748.340142504443</v>
          </cell>
          <cell r="K83">
            <v>0</v>
          </cell>
          <cell r="L83">
            <v>0</v>
          </cell>
          <cell r="M83">
            <v>14149.66802850089</v>
          </cell>
          <cell r="N83">
            <v>1414.9668028500889</v>
          </cell>
          <cell r="O83">
            <v>9466.2396913502489</v>
          </cell>
          <cell r="P83">
            <v>18754.109275255152</v>
          </cell>
          <cell r="Q83">
            <v>5209.4747986819875</v>
          </cell>
          <cell r="R83">
            <v>10970.949779952816</v>
          </cell>
          <cell r="S83">
            <v>10970.949779952816</v>
          </cell>
        </row>
        <row r="84">
          <cell r="F84">
            <v>70</v>
          </cell>
          <cell r="G84">
            <v>53508</v>
          </cell>
          <cell r="H84">
            <v>2046</v>
          </cell>
          <cell r="I84">
            <v>70748.340142504443</v>
          </cell>
          <cell r="J84">
            <v>70748.340142504443</v>
          </cell>
          <cell r="K84">
            <v>0</v>
          </cell>
          <cell r="L84">
            <v>0</v>
          </cell>
          <cell r="M84">
            <v>14149.66802850089</v>
          </cell>
          <cell r="N84">
            <v>1414.9668028500889</v>
          </cell>
          <cell r="O84">
            <v>9466.2396913502489</v>
          </cell>
          <cell r="P84">
            <v>19222.962007136528</v>
          </cell>
          <cell r="Q84">
            <v>5339.7116686490372</v>
          </cell>
          <cell r="R84">
            <v>0</v>
          </cell>
          <cell r="S84">
            <v>0</v>
          </cell>
        </row>
        <row r="85">
          <cell r="F85">
            <v>71</v>
          </cell>
          <cell r="G85">
            <v>53692</v>
          </cell>
          <cell r="H85">
            <v>2046</v>
          </cell>
          <cell r="I85">
            <v>72163.306945354532</v>
          </cell>
          <cell r="J85">
            <v>72163.306945354532</v>
          </cell>
          <cell r="K85">
            <v>0</v>
          </cell>
          <cell r="L85">
            <v>0</v>
          </cell>
          <cell r="M85">
            <v>14432.661389070907</v>
          </cell>
          <cell r="N85">
            <v>1443.2661389070906</v>
          </cell>
          <cell r="O85">
            <v>9702.8956836340039</v>
          </cell>
          <cell r="P85">
            <v>19222.962007136528</v>
          </cell>
          <cell r="Q85">
            <v>5339.7116686490372</v>
          </cell>
          <cell r="R85">
            <v>11190.368775551873</v>
          </cell>
          <cell r="S85">
            <v>11190.368775551873</v>
          </cell>
        </row>
        <row r="86">
          <cell r="F86">
            <v>72</v>
          </cell>
          <cell r="G86">
            <v>53873</v>
          </cell>
          <cell r="H86">
            <v>2047</v>
          </cell>
          <cell r="I86">
            <v>72163.306945354532</v>
          </cell>
          <cell r="J86">
            <v>72163.306945354532</v>
          </cell>
          <cell r="K86">
            <v>0</v>
          </cell>
          <cell r="L86">
            <v>0</v>
          </cell>
          <cell r="M86">
            <v>14432.661389070907</v>
          </cell>
          <cell r="N86">
            <v>1443.2661389070906</v>
          </cell>
          <cell r="O86">
            <v>9702.8956836340039</v>
          </cell>
          <cell r="P86">
            <v>19703.536057314941</v>
          </cell>
          <cell r="Q86">
            <v>5473.204460365263</v>
          </cell>
          <cell r="R86">
            <v>0</v>
          </cell>
          <cell r="S86">
            <v>0</v>
          </cell>
        </row>
        <row r="87">
          <cell r="F87">
            <v>73</v>
          </cell>
          <cell r="G87">
            <v>54057</v>
          </cell>
          <cell r="H87">
            <v>2047</v>
          </cell>
          <cell r="I87">
            <v>73606.573084261618</v>
          </cell>
          <cell r="J87">
            <v>73606.573084261618</v>
          </cell>
          <cell r="K87">
            <v>0</v>
          </cell>
          <cell r="L87">
            <v>0</v>
          </cell>
          <cell r="M87">
            <v>14721.314616852324</v>
          </cell>
          <cell r="N87">
            <v>1472.1314616852324</v>
          </cell>
          <cell r="O87">
            <v>9945.4680757248534</v>
          </cell>
          <cell r="P87">
            <v>19703.536057314941</v>
          </cell>
          <cell r="Q87">
            <v>5473.204460365263</v>
          </cell>
          <cell r="R87">
            <v>11414.176151062911</v>
          </cell>
          <cell r="S87">
            <v>11414.176151062911</v>
          </cell>
        </row>
        <row r="88">
          <cell r="F88">
            <v>74</v>
          </cell>
          <cell r="G88">
            <v>54239</v>
          </cell>
          <cell r="H88">
            <v>2048</v>
          </cell>
          <cell r="I88">
            <v>73606.573084261618</v>
          </cell>
          <cell r="J88">
            <v>73606.573084261618</v>
          </cell>
          <cell r="K88">
            <v>0</v>
          </cell>
          <cell r="L88">
            <v>0</v>
          </cell>
          <cell r="M88">
            <v>14721.314616852324</v>
          </cell>
          <cell r="N88">
            <v>1472.1314616852324</v>
          </cell>
          <cell r="O88">
            <v>9945.4680757248534</v>
          </cell>
          <cell r="P88">
            <v>20196.124458747814</v>
          </cell>
          <cell r="Q88">
            <v>5610.0345718743938</v>
          </cell>
          <cell r="R88">
            <v>0</v>
          </cell>
          <cell r="S88">
            <v>0</v>
          </cell>
        </row>
        <row r="89">
          <cell r="F89">
            <v>75</v>
          </cell>
          <cell r="G89">
            <v>54423</v>
          </cell>
          <cell r="H89">
            <v>2048</v>
          </cell>
          <cell r="I89">
            <v>75078.70454594685</v>
          </cell>
          <cell r="J89">
            <v>75078.70454594685</v>
          </cell>
          <cell r="K89">
            <v>0</v>
          </cell>
          <cell r="L89">
            <v>0</v>
          </cell>
          <cell r="M89">
            <v>15015.740909189371</v>
          </cell>
          <cell r="N89">
            <v>1501.5740909189369</v>
          </cell>
          <cell r="O89">
            <v>10194.104777617973</v>
          </cell>
          <cell r="P89">
            <v>20196.124458747814</v>
          </cell>
          <cell r="Q89">
            <v>5610.0345718743938</v>
          </cell>
          <cell r="R89">
            <v>11642.45967408417</v>
          </cell>
          <cell r="S89">
            <v>11642.45967408417</v>
          </cell>
        </row>
        <row r="90">
          <cell r="F90">
            <v>76</v>
          </cell>
          <cell r="G90">
            <v>54604</v>
          </cell>
          <cell r="H90">
            <v>2049</v>
          </cell>
          <cell r="I90">
            <v>75078.70454594685</v>
          </cell>
          <cell r="J90">
            <v>75078.70454594685</v>
          </cell>
          <cell r="K90">
            <v>0</v>
          </cell>
          <cell r="L90">
            <v>0</v>
          </cell>
          <cell r="M90">
            <v>15015.740909189371</v>
          </cell>
          <cell r="N90">
            <v>1501.5740909189369</v>
          </cell>
          <cell r="O90">
            <v>10194.104777617973</v>
          </cell>
          <cell r="P90">
            <v>20701.027570216509</v>
          </cell>
          <cell r="Q90">
            <v>5750.2854361712534</v>
          </cell>
          <cell r="R90">
            <v>0</v>
          </cell>
          <cell r="S90">
            <v>0</v>
          </cell>
        </row>
        <row r="91">
          <cell r="F91">
            <v>77</v>
          </cell>
          <cell r="G91">
            <v>54788</v>
          </cell>
          <cell r="H91">
            <v>2049</v>
          </cell>
          <cell r="I91">
            <v>76580.278636865783</v>
          </cell>
          <cell r="J91">
            <v>76580.278636865783</v>
          </cell>
          <cell r="K91">
            <v>0</v>
          </cell>
          <cell r="L91">
            <v>0</v>
          </cell>
          <cell r="M91">
            <v>15316.055727373157</v>
          </cell>
          <cell r="N91">
            <v>1531.6055727373157</v>
          </cell>
          <cell r="O91">
            <v>10448.957397058421</v>
          </cell>
          <cell r="P91">
            <v>20701.027570216509</v>
          </cell>
          <cell r="Q91">
            <v>5750.2854361712534</v>
          </cell>
          <cell r="R91">
            <v>11875.308867565853</v>
          </cell>
          <cell r="S91">
            <v>11875.308867565853</v>
          </cell>
        </row>
        <row r="92">
          <cell r="F92">
            <v>78</v>
          </cell>
          <cell r="G92">
            <v>54969</v>
          </cell>
          <cell r="H92">
            <v>2050</v>
          </cell>
          <cell r="I92">
            <v>76580.278636865783</v>
          </cell>
          <cell r="J92">
            <v>76580.278636865783</v>
          </cell>
          <cell r="K92">
            <v>0</v>
          </cell>
          <cell r="L92">
            <v>0</v>
          </cell>
          <cell r="M92">
            <v>15316.055727373157</v>
          </cell>
          <cell r="N92">
            <v>1531.6055727373157</v>
          </cell>
          <cell r="O92">
            <v>10448.957397058421</v>
          </cell>
          <cell r="P92">
            <v>21218.553259471919</v>
          </cell>
          <cell r="Q92">
            <v>5894.0425720755338</v>
          </cell>
          <cell r="R92">
            <v>0</v>
          </cell>
          <cell r="S92">
            <v>0</v>
          </cell>
        </row>
        <row r="93">
          <cell r="F93">
            <v>79</v>
          </cell>
          <cell r="G93">
            <v>55153</v>
          </cell>
          <cell r="H93">
            <v>2050</v>
          </cell>
          <cell r="I93">
            <v>78111.8842096031</v>
          </cell>
          <cell r="J93">
            <v>78111.8842096031</v>
          </cell>
          <cell r="K93">
            <v>0</v>
          </cell>
          <cell r="L93">
            <v>0</v>
          </cell>
          <cell r="M93">
            <v>15622.376841920621</v>
          </cell>
          <cell r="N93">
            <v>1562.237684192062</v>
          </cell>
          <cell r="O93">
            <v>10710.181331984881</v>
          </cell>
          <cell r="P93">
            <v>21218.553259471919</v>
          </cell>
          <cell r="Q93">
            <v>5894.0425720755338</v>
          </cell>
          <cell r="R93">
            <v>12112.81504491717</v>
          </cell>
          <cell r="S93">
            <v>12112.81504491717</v>
          </cell>
        </row>
        <row r="94">
          <cell r="F94">
            <v>80</v>
          </cell>
          <cell r="G94">
            <v>55334</v>
          </cell>
          <cell r="H94">
            <v>2051</v>
          </cell>
          <cell r="I94">
            <v>78111.8842096031</v>
          </cell>
          <cell r="J94">
            <v>78111.8842096031</v>
          </cell>
          <cell r="K94">
            <v>0</v>
          </cell>
          <cell r="L94">
            <v>0</v>
          </cell>
          <cell r="M94">
            <v>15622.376841920621</v>
          </cell>
          <cell r="N94">
            <v>1562.237684192062</v>
          </cell>
          <cell r="O94">
            <v>10710.181331984881</v>
          </cell>
          <cell r="P94">
            <v>21749.017090958714</v>
          </cell>
          <cell r="Q94">
            <v>6041.3936363774219</v>
          </cell>
          <cell r="R94">
            <v>0</v>
          </cell>
          <cell r="S94">
            <v>0</v>
          </cell>
        </row>
        <row r="95">
          <cell r="F95">
            <v>81</v>
          </cell>
          <cell r="G95">
            <v>55518</v>
          </cell>
          <cell r="H95">
            <v>2051</v>
          </cell>
          <cell r="I95">
            <v>79674.121893795163</v>
          </cell>
          <cell r="J95">
            <v>79674.121893795163</v>
          </cell>
          <cell r="K95">
            <v>0</v>
          </cell>
          <cell r="L95">
            <v>0</v>
          </cell>
          <cell r="M95">
            <v>15934.824378759033</v>
          </cell>
          <cell r="N95">
            <v>1593.4824378759033</v>
          </cell>
          <cell r="O95">
            <v>10977.935865284502</v>
          </cell>
          <cell r="P95">
            <v>21749.017090958714</v>
          </cell>
          <cell r="Q95">
            <v>6041.3936363774219</v>
          </cell>
          <cell r="R95">
            <v>12355.071345815513</v>
          </cell>
          <cell r="S95">
            <v>12355.071345815513</v>
          </cell>
        </row>
        <row r="96">
          <cell r="F96">
            <v>82</v>
          </cell>
          <cell r="G96">
            <v>55700</v>
          </cell>
          <cell r="H96">
            <v>2052</v>
          </cell>
          <cell r="I96">
            <v>79674.121893795163</v>
          </cell>
          <cell r="J96">
            <v>79674.121893795163</v>
          </cell>
          <cell r="K96">
            <v>0</v>
          </cell>
          <cell r="L96">
            <v>0</v>
          </cell>
          <cell r="M96">
            <v>15934.824378759033</v>
          </cell>
          <cell r="N96">
            <v>1593.4824378759033</v>
          </cell>
          <cell r="O96">
            <v>10977.935865284502</v>
          </cell>
          <cell r="P96">
            <v>22292.742518232681</v>
          </cell>
          <cell r="Q96">
            <v>6192.4284772868568</v>
          </cell>
          <cell r="R96">
            <v>0</v>
          </cell>
          <cell r="S96">
            <v>0</v>
          </cell>
        </row>
        <row r="97">
          <cell r="F97">
            <v>83</v>
          </cell>
          <cell r="G97">
            <v>55884</v>
          </cell>
          <cell r="H97">
            <v>2052</v>
          </cell>
          <cell r="I97">
            <v>81267.604331671071</v>
          </cell>
          <cell r="J97">
            <v>81267.604331671071</v>
          </cell>
          <cell r="K97">
            <v>0</v>
          </cell>
          <cell r="L97">
            <v>0</v>
          </cell>
          <cell r="M97">
            <v>16253.520866334215</v>
          </cell>
          <cell r="N97">
            <v>1625.3520866334215</v>
          </cell>
          <cell r="O97">
            <v>11252.384261916613</v>
          </cell>
          <cell r="P97">
            <v>22292.742518232681</v>
          </cell>
          <cell r="Q97">
            <v>6192.4284772868568</v>
          </cell>
          <cell r="R97">
            <v>12602.172772731823</v>
          </cell>
          <cell r="S97">
            <v>12602.172772731823</v>
          </cell>
        </row>
        <row r="98">
          <cell r="F98">
            <v>84</v>
          </cell>
          <cell r="G98">
            <v>56065</v>
          </cell>
          <cell r="H98">
            <v>2053</v>
          </cell>
          <cell r="I98">
            <v>81267.604331671071</v>
          </cell>
          <cell r="J98">
            <v>81267.604331671071</v>
          </cell>
          <cell r="K98">
            <v>0</v>
          </cell>
          <cell r="L98">
            <v>0</v>
          </cell>
          <cell r="M98">
            <v>16253.520866334215</v>
          </cell>
          <cell r="N98">
            <v>1625.3520866334215</v>
          </cell>
          <cell r="O98">
            <v>11252.384261916613</v>
          </cell>
          <cell r="P98">
            <v>22850.061081188494</v>
          </cell>
          <cell r="Q98">
            <v>6347.239189219028</v>
          </cell>
          <cell r="R98">
            <v>0</v>
          </cell>
          <cell r="S98">
            <v>0</v>
          </cell>
        </row>
        <row r="99">
          <cell r="F99">
            <v>85</v>
          </cell>
          <cell r="G99">
            <v>56249</v>
          </cell>
          <cell r="H99">
            <v>2053</v>
          </cell>
          <cell r="I99">
            <v>82892.9564183045</v>
          </cell>
          <cell r="J99">
            <v>82892.9564183045</v>
          </cell>
          <cell r="K99">
            <v>0</v>
          </cell>
          <cell r="L99">
            <v>0</v>
          </cell>
          <cell r="M99">
            <v>16578.591283660902</v>
          </cell>
          <cell r="N99">
            <v>1657.8591283660901</v>
          </cell>
          <cell r="O99">
            <v>11533.693868464528</v>
          </cell>
          <cell r="P99">
            <v>22850.061081188494</v>
          </cell>
          <cell r="Q99">
            <v>6347.239189219028</v>
          </cell>
          <cell r="R99">
            <v>12854.21622818646</v>
          </cell>
          <cell r="S99">
            <v>12854.21622818646</v>
          </cell>
        </row>
        <row r="100">
          <cell r="F100">
            <v>86</v>
          </cell>
          <cell r="G100">
            <v>56430</v>
          </cell>
          <cell r="H100">
            <v>2054</v>
          </cell>
          <cell r="I100">
            <v>82892.9564183045</v>
          </cell>
          <cell r="J100">
            <v>82892.9564183045</v>
          </cell>
          <cell r="K100">
            <v>0</v>
          </cell>
          <cell r="L100">
            <v>0</v>
          </cell>
          <cell r="M100">
            <v>16578.591283660902</v>
          </cell>
          <cell r="N100">
            <v>1657.8591283660901</v>
          </cell>
          <cell r="O100">
            <v>11533.693868464528</v>
          </cell>
          <cell r="P100">
            <v>23421.312608218206</v>
          </cell>
          <cell r="Q100">
            <v>6505.920168949503</v>
          </cell>
          <cell r="R100">
            <v>0</v>
          </cell>
          <cell r="S100">
            <v>0</v>
          </cell>
        </row>
        <row r="101">
          <cell r="F101">
            <v>87</v>
          </cell>
          <cell r="G101">
            <v>56614</v>
          </cell>
          <cell r="H101">
            <v>2054</v>
          </cell>
          <cell r="I101">
            <v>84550.815546670594</v>
          </cell>
          <cell r="J101">
            <v>84550.815546670594</v>
          </cell>
          <cell r="K101">
            <v>0</v>
          </cell>
          <cell r="L101">
            <v>0</v>
          </cell>
          <cell r="M101">
            <v>16910.16310933412</v>
          </cell>
          <cell r="N101">
            <v>1691.0163109334119</v>
          </cell>
          <cell r="O101">
            <v>11822.03621517614</v>
          </cell>
          <cell r="P101">
            <v>23421.312608218206</v>
          </cell>
          <cell r="Q101">
            <v>6505.920168949503</v>
          </cell>
          <cell r="R101">
            <v>13111.30055275019</v>
          </cell>
          <cell r="S101">
            <v>13111.30055275019</v>
          </cell>
        </row>
        <row r="102">
          <cell r="F102">
            <v>88</v>
          </cell>
          <cell r="G102">
            <v>56795</v>
          </cell>
          <cell r="H102">
            <v>2055</v>
          </cell>
          <cell r="I102">
            <v>84550.815546670594</v>
          </cell>
          <cell r="J102">
            <v>84550.815546670594</v>
          </cell>
          <cell r="K102">
            <v>0</v>
          </cell>
          <cell r="L102">
            <v>0</v>
          </cell>
          <cell r="M102">
            <v>16910.16310933412</v>
          </cell>
          <cell r="N102">
            <v>1691.0163109334119</v>
          </cell>
          <cell r="O102">
            <v>11822.03621517614</v>
          </cell>
          <cell r="P102">
            <v>24006.84542342366</v>
          </cell>
          <cell r="Q102">
            <v>6668.5681731732402</v>
          </cell>
          <cell r="R102">
            <v>0</v>
          </cell>
          <cell r="S102">
            <v>0</v>
          </cell>
        </row>
        <row r="103">
          <cell r="F103">
            <v>89</v>
          </cell>
          <cell r="G103">
            <v>56979</v>
          </cell>
          <cell r="H103">
            <v>2055</v>
          </cell>
          <cell r="I103">
            <v>86241.831857604004</v>
          </cell>
          <cell r="J103">
            <v>86241.831857604004</v>
          </cell>
          <cell r="K103">
            <v>0</v>
          </cell>
          <cell r="L103">
            <v>0</v>
          </cell>
          <cell r="M103">
            <v>17248.366371520802</v>
          </cell>
          <cell r="N103">
            <v>1724.8366371520801</v>
          </cell>
          <cell r="O103">
            <v>12117.587120555543</v>
          </cell>
          <cell r="P103">
            <v>24006.84542342366</v>
          </cell>
          <cell r="Q103">
            <v>6668.5681731732402</v>
          </cell>
          <cell r="R103">
            <v>13373.526563805193</v>
          </cell>
          <cell r="S103">
            <v>13373.526563805193</v>
          </cell>
        </row>
        <row r="104">
          <cell r="F104">
            <v>90</v>
          </cell>
          <cell r="G104">
            <v>57161</v>
          </cell>
          <cell r="H104">
            <v>2056</v>
          </cell>
          <cell r="I104">
            <v>86241.831857604004</v>
          </cell>
          <cell r="J104">
            <v>86241.831857604004</v>
          </cell>
          <cell r="K104">
            <v>0</v>
          </cell>
          <cell r="L104">
            <v>0</v>
          </cell>
          <cell r="M104">
            <v>17248.366371520802</v>
          </cell>
          <cell r="N104">
            <v>1724.8366371520801</v>
          </cell>
          <cell r="O104">
            <v>12117.587120555543</v>
          </cell>
          <cell r="P104">
            <v>24607.016559009247</v>
          </cell>
          <cell r="Q104">
            <v>6835.2823775025709</v>
          </cell>
          <cell r="R104">
            <v>0</v>
          </cell>
          <cell r="S104">
            <v>0</v>
          </cell>
        </row>
        <row r="105">
          <cell r="F105">
            <v>91</v>
          </cell>
          <cell r="G105">
            <v>57345</v>
          </cell>
          <cell r="H105">
            <v>2056</v>
          </cell>
          <cell r="I105">
            <v>87966.668494756086</v>
          </cell>
          <cell r="J105">
            <v>87966.668494756086</v>
          </cell>
          <cell r="K105">
            <v>0</v>
          </cell>
          <cell r="L105">
            <v>0</v>
          </cell>
          <cell r="M105">
            <v>17593.333698951217</v>
          </cell>
          <cell r="N105">
            <v>1759.3333698951217</v>
          </cell>
          <cell r="O105">
            <v>12420.52679856943</v>
          </cell>
          <cell r="P105">
            <v>24607.016559009247</v>
          </cell>
          <cell r="Q105">
            <v>6835.2823775025709</v>
          </cell>
          <cell r="R105">
            <v>13640.997095081297</v>
          </cell>
          <cell r="S105">
            <v>13640.997095081297</v>
          </cell>
        </row>
        <row r="106">
          <cell r="F106">
            <v>92</v>
          </cell>
          <cell r="G106">
            <v>57526</v>
          </cell>
          <cell r="H106">
            <v>2057</v>
          </cell>
          <cell r="I106">
            <v>87966.668494756086</v>
          </cell>
          <cell r="J106">
            <v>87966.668494756086</v>
          </cell>
          <cell r="K106">
            <v>0</v>
          </cell>
          <cell r="L106">
            <v>0</v>
          </cell>
          <cell r="M106">
            <v>17593.333698951217</v>
          </cell>
          <cell r="N106">
            <v>1759.3333698951217</v>
          </cell>
          <cell r="O106">
            <v>12420.52679856943</v>
          </cell>
          <cell r="P106">
            <v>25222.191972984478</v>
          </cell>
          <cell r="Q106">
            <v>7006.1644369401347</v>
          </cell>
          <cell r="R106">
            <v>0</v>
          </cell>
          <cell r="S106">
            <v>0</v>
          </cell>
        </row>
        <row r="107">
          <cell r="F107">
            <v>93</v>
          </cell>
          <cell r="G107">
            <v>57710</v>
          </cell>
          <cell r="H107">
            <v>2057</v>
          </cell>
          <cell r="I107">
            <v>89726.001864651204</v>
          </cell>
          <cell r="J107">
            <v>89726.001864651204</v>
          </cell>
          <cell r="K107">
            <v>0</v>
          </cell>
          <cell r="L107">
            <v>0</v>
          </cell>
          <cell r="M107">
            <v>17945.200372930241</v>
          </cell>
          <cell r="N107">
            <v>1794.5200372930242</v>
          </cell>
          <cell r="O107">
            <v>12731.039968533665</v>
          </cell>
          <cell r="P107">
            <v>25222.191972984478</v>
          </cell>
          <cell r="Q107">
            <v>7006.1644369401347</v>
          </cell>
          <cell r="R107">
            <v>13913.817036982922</v>
          </cell>
          <cell r="S107">
            <v>13913.817036982922</v>
          </cell>
        </row>
        <row r="108">
          <cell r="F108">
            <v>94</v>
          </cell>
          <cell r="G108">
            <v>57891</v>
          </cell>
          <cell r="H108">
            <v>2058</v>
          </cell>
          <cell r="I108">
            <v>89726.001864651204</v>
          </cell>
          <cell r="J108">
            <v>89726.001864651204</v>
          </cell>
          <cell r="K108">
            <v>0</v>
          </cell>
          <cell r="L108">
            <v>0</v>
          </cell>
          <cell r="M108">
            <v>17945.200372930241</v>
          </cell>
          <cell r="N108">
            <v>1794.5200372930242</v>
          </cell>
          <cell r="O108">
            <v>12731.039968533665</v>
          </cell>
          <cell r="P108">
            <v>25852.746772309089</v>
          </cell>
          <cell r="Q108">
            <v>7181.3185478636378</v>
          </cell>
          <cell r="R108">
            <v>0</v>
          </cell>
          <cell r="S108">
            <v>0</v>
          </cell>
        </row>
        <row r="109">
          <cell r="F109">
            <v>95</v>
          </cell>
          <cell r="G109">
            <v>58075</v>
          </cell>
          <cell r="H109">
            <v>2058</v>
          </cell>
          <cell r="I109">
            <v>91520.52190194423</v>
          </cell>
          <cell r="J109">
            <v>91520.52190194423</v>
          </cell>
          <cell r="K109">
            <v>0</v>
          </cell>
          <cell r="L109">
            <v>0</v>
          </cell>
          <cell r="M109">
            <v>18304.104380388846</v>
          </cell>
          <cell r="N109">
            <v>1830.4104380388846</v>
          </cell>
          <cell r="O109">
            <v>13049.315967747005</v>
          </cell>
          <cell r="P109">
            <v>25852.746772309089</v>
          </cell>
          <cell r="Q109">
            <v>7181.3185478636378</v>
          </cell>
          <cell r="R109">
            <v>14192.09337772258</v>
          </cell>
          <cell r="S109">
            <v>14192.09337772258</v>
          </cell>
        </row>
        <row r="110">
          <cell r="F110">
            <v>96</v>
          </cell>
          <cell r="G110">
            <v>58256</v>
          </cell>
          <cell r="H110">
            <v>2059</v>
          </cell>
          <cell r="I110">
            <v>91520.52190194423</v>
          </cell>
          <cell r="J110">
            <v>91520.52190194423</v>
          </cell>
          <cell r="K110">
            <v>0</v>
          </cell>
          <cell r="L110">
            <v>0</v>
          </cell>
          <cell r="M110">
            <v>18304.104380388846</v>
          </cell>
          <cell r="N110">
            <v>1830.4104380388846</v>
          </cell>
          <cell r="O110">
            <v>13049.315967747005</v>
          </cell>
          <cell r="P110">
            <v>26499.065441616814</v>
          </cell>
          <cell r="Q110">
            <v>7360.8515115602286</v>
          </cell>
          <cell r="R110">
            <v>0</v>
          </cell>
          <cell r="S110">
            <v>0</v>
          </cell>
        </row>
        <row r="111">
          <cell r="F111">
            <v>97</v>
          </cell>
          <cell r="G111">
            <v>58440</v>
          </cell>
          <cell r="H111">
            <v>2059</v>
          </cell>
          <cell r="I111">
            <v>93350.932339983119</v>
          </cell>
          <cell r="J111">
            <v>93350.932339983119</v>
          </cell>
          <cell r="K111">
            <v>0</v>
          </cell>
          <cell r="L111">
            <v>0</v>
          </cell>
          <cell r="M111">
            <v>18670.186467996624</v>
          </cell>
          <cell r="N111">
            <v>1867.0186467996625</v>
          </cell>
          <cell r="O111">
            <v>13375.548866940679</v>
          </cell>
          <cell r="P111">
            <v>26499.065441616814</v>
          </cell>
          <cell r="Q111">
            <v>7360.8515115602286</v>
          </cell>
          <cell r="R111">
            <v>14475.935245277033</v>
          </cell>
          <cell r="S111">
            <v>14475.935245277033</v>
          </cell>
        </row>
        <row r="112">
          <cell r="F112">
            <v>98</v>
          </cell>
          <cell r="G112">
            <v>58622</v>
          </cell>
          <cell r="H112">
            <v>2060</v>
          </cell>
          <cell r="I112">
            <v>93350.932339983119</v>
          </cell>
          <cell r="J112">
            <v>93350.932339983119</v>
          </cell>
          <cell r="K112">
            <v>0</v>
          </cell>
          <cell r="L112">
            <v>0</v>
          </cell>
          <cell r="M112">
            <v>18670.186467996624</v>
          </cell>
          <cell r="N112">
            <v>1867.0186467996625</v>
          </cell>
          <cell r="O112">
            <v>13375.548866940679</v>
          </cell>
          <cell r="P112">
            <v>27161.542077657232</v>
          </cell>
          <cell r="Q112">
            <v>7544.8727993492339</v>
          </cell>
          <cell r="R112">
            <v>0</v>
          </cell>
          <cell r="S112">
            <v>0</v>
          </cell>
        </row>
        <row r="113">
          <cell r="F113">
            <v>99</v>
          </cell>
          <cell r="G113">
            <v>58806</v>
          </cell>
          <cell r="H113">
            <v>2060</v>
          </cell>
          <cell r="I113">
            <v>95217.950986782787</v>
          </cell>
          <cell r="J113">
            <v>95217.950986782787</v>
          </cell>
          <cell r="K113">
            <v>0</v>
          </cell>
          <cell r="L113">
            <v>0</v>
          </cell>
          <cell r="M113">
            <v>19043.59019735656</v>
          </cell>
          <cell r="N113">
            <v>1904.3590197356557</v>
          </cell>
          <cell r="O113">
            <v>13709.937588614195</v>
          </cell>
          <cell r="P113">
            <v>27161.542077657232</v>
          </cell>
          <cell r="Q113">
            <v>7544.8727993492339</v>
          </cell>
          <cell r="R113">
            <v>14765.453950182573</v>
          </cell>
          <cell r="S113">
            <v>14765.453950182573</v>
          </cell>
        </row>
        <row r="114">
          <cell r="F114">
            <v>100</v>
          </cell>
          <cell r="G114">
            <v>58987</v>
          </cell>
          <cell r="H114">
            <v>2061</v>
          </cell>
          <cell r="I114">
            <v>95217.950986782787</v>
          </cell>
          <cell r="J114">
            <v>95217.950986782787</v>
          </cell>
          <cell r="K114">
            <v>0</v>
          </cell>
          <cell r="L114">
            <v>0</v>
          </cell>
          <cell r="M114">
            <v>19043.59019735656</v>
          </cell>
          <cell r="N114">
            <v>1904.3590197356557</v>
          </cell>
          <cell r="O114">
            <v>13709.937588614195</v>
          </cell>
          <cell r="P114">
            <v>27840.580629598659</v>
          </cell>
          <cell r="Q114">
            <v>7733.4946193329642</v>
          </cell>
          <cell r="R114">
            <v>0</v>
          </cell>
          <cell r="S114">
            <v>0</v>
          </cell>
        </row>
        <row r="115">
          <cell r="F115" t="str">
            <v/>
          </cell>
          <cell r="G115" t="str">
            <v/>
          </cell>
          <cell r="H115" t="str">
            <v/>
          </cell>
          <cell r="I115" t="str">
            <v/>
          </cell>
          <cell r="J115" t="str">
            <v/>
          </cell>
          <cell r="K115" t="str">
            <v/>
          </cell>
          <cell r="L115" t="str">
            <v/>
          </cell>
          <cell r="M115" t="str">
            <v/>
          </cell>
          <cell r="N115" t="str">
            <v/>
          </cell>
          <cell r="O115" t="str">
            <v/>
          </cell>
          <cell r="P115" t="str">
            <v/>
          </cell>
          <cell r="Q115" t="str">
            <v/>
          </cell>
          <cell r="R115" t="str">
            <v/>
          </cell>
          <cell r="S115" t="str">
            <v/>
          </cell>
        </row>
        <row r="116">
          <cell r="F116" t="str">
            <v/>
          </cell>
          <cell r="G116" t="str">
            <v/>
          </cell>
          <cell r="H116" t="str">
            <v/>
          </cell>
          <cell r="I116" t="str">
            <v/>
          </cell>
          <cell r="J116" t="str">
            <v/>
          </cell>
          <cell r="K116" t="str">
            <v/>
          </cell>
          <cell r="L116" t="str">
            <v/>
          </cell>
          <cell r="M116" t="str">
            <v/>
          </cell>
          <cell r="N116" t="str">
            <v/>
          </cell>
          <cell r="O116" t="str">
            <v/>
          </cell>
          <cell r="P116" t="str">
            <v/>
          </cell>
          <cell r="Q116" t="str">
            <v/>
          </cell>
          <cell r="R116" t="str">
            <v/>
          </cell>
          <cell r="S116" t="str">
            <v/>
          </cell>
        </row>
        <row r="117">
          <cell r="F117" t="str">
            <v/>
          </cell>
          <cell r="G117" t="str">
            <v/>
          </cell>
          <cell r="H117" t="str">
            <v/>
          </cell>
          <cell r="I117" t="str">
            <v/>
          </cell>
          <cell r="J117" t="str">
            <v/>
          </cell>
          <cell r="K117" t="str">
            <v/>
          </cell>
          <cell r="L117" t="str">
            <v/>
          </cell>
          <cell r="M117" t="str">
            <v/>
          </cell>
          <cell r="N117" t="str">
            <v/>
          </cell>
          <cell r="O117" t="str">
            <v/>
          </cell>
          <cell r="P117" t="str">
            <v/>
          </cell>
          <cell r="Q117" t="str">
            <v/>
          </cell>
          <cell r="R117" t="str">
            <v/>
          </cell>
          <cell r="S117" t="str">
            <v/>
          </cell>
        </row>
        <row r="118">
          <cell r="F118" t="str">
            <v/>
          </cell>
          <cell r="G118" t="str">
            <v/>
          </cell>
          <cell r="H118" t="str">
            <v/>
          </cell>
          <cell r="I118" t="str">
            <v/>
          </cell>
          <cell r="J118" t="str">
            <v/>
          </cell>
          <cell r="K118" t="str">
            <v/>
          </cell>
          <cell r="L118" t="str">
            <v/>
          </cell>
          <cell r="M118" t="str">
            <v/>
          </cell>
          <cell r="N118" t="str">
            <v/>
          </cell>
          <cell r="O118" t="str">
            <v/>
          </cell>
          <cell r="P118" t="str">
            <v/>
          </cell>
          <cell r="Q118" t="str">
            <v/>
          </cell>
          <cell r="R118" t="str">
            <v/>
          </cell>
          <cell r="S118" t="str">
            <v/>
          </cell>
        </row>
        <row r="119">
          <cell r="F119" t="str">
            <v/>
          </cell>
          <cell r="G119" t="str">
            <v/>
          </cell>
          <cell r="H119" t="str">
            <v/>
          </cell>
          <cell r="I119" t="str">
            <v/>
          </cell>
          <cell r="J119" t="str">
            <v/>
          </cell>
          <cell r="K119" t="str">
            <v/>
          </cell>
          <cell r="L119" t="str">
            <v/>
          </cell>
          <cell r="M119" t="str">
            <v/>
          </cell>
          <cell r="N119" t="str">
            <v/>
          </cell>
          <cell r="O119" t="str">
            <v/>
          </cell>
          <cell r="P119" t="str">
            <v/>
          </cell>
          <cell r="Q119" t="str">
            <v/>
          </cell>
          <cell r="R119" t="str">
            <v/>
          </cell>
          <cell r="S119" t="str">
            <v/>
          </cell>
        </row>
        <row r="120">
          <cell r="F120" t="str">
            <v/>
          </cell>
          <cell r="G120" t="str">
            <v/>
          </cell>
          <cell r="H120" t="str">
            <v/>
          </cell>
          <cell r="I120" t="str">
            <v/>
          </cell>
          <cell r="J120" t="str">
            <v/>
          </cell>
          <cell r="K120" t="str">
            <v/>
          </cell>
          <cell r="L120" t="str">
            <v/>
          </cell>
          <cell r="M120" t="str">
            <v/>
          </cell>
          <cell r="N120" t="str">
            <v/>
          </cell>
          <cell r="O120" t="str">
            <v/>
          </cell>
          <cell r="P120" t="str">
            <v/>
          </cell>
          <cell r="Q120" t="str">
            <v/>
          </cell>
          <cell r="R120" t="str">
            <v/>
          </cell>
          <cell r="S120" t="str">
            <v/>
          </cell>
        </row>
        <row r="121">
          <cell r="F121" t="str">
            <v/>
          </cell>
          <cell r="G121" t="str">
            <v/>
          </cell>
          <cell r="H121" t="str">
            <v/>
          </cell>
          <cell r="I121" t="str">
            <v/>
          </cell>
          <cell r="J121" t="str">
            <v/>
          </cell>
          <cell r="K121" t="str">
            <v/>
          </cell>
          <cell r="L121" t="str">
            <v/>
          </cell>
          <cell r="M121" t="str">
            <v/>
          </cell>
          <cell r="N121" t="str">
            <v/>
          </cell>
          <cell r="O121" t="str">
            <v/>
          </cell>
          <cell r="P121" t="str">
            <v/>
          </cell>
          <cell r="Q121" t="str">
            <v/>
          </cell>
          <cell r="R121" t="str">
            <v/>
          </cell>
          <cell r="S121" t="str">
            <v/>
          </cell>
        </row>
        <row r="122">
          <cell r="F122" t="str">
            <v/>
          </cell>
          <cell r="G122" t="str">
            <v/>
          </cell>
          <cell r="H122" t="str">
            <v/>
          </cell>
          <cell r="I122" t="str">
            <v/>
          </cell>
          <cell r="J122" t="str">
            <v/>
          </cell>
          <cell r="K122" t="str">
            <v/>
          </cell>
          <cell r="L122" t="str">
            <v/>
          </cell>
          <cell r="M122" t="str">
            <v/>
          </cell>
          <cell r="N122" t="str">
            <v/>
          </cell>
          <cell r="O122" t="str">
            <v/>
          </cell>
          <cell r="P122" t="str">
            <v/>
          </cell>
          <cell r="Q122" t="str">
            <v/>
          </cell>
          <cell r="R122" t="str">
            <v/>
          </cell>
          <cell r="S122" t="str">
            <v/>
          </cell>
        </row>
        <row r="123">
          <cell r="F123" t="str">
            <v/>
          </cell>
          <cell r="G123" t="str">
            <v/>
          </cell>
          <cell r="H123" t="str">
            <v/>
          </cell>
          <cell r="I123" t="str">
            <v/>
          </cell>
          <cell r="J123" t="str">
            <v/>
          </cell>
          <cell r="K123" t="str">
            <v/>
          </cell>
          <cell r="L123" t="str">
            <v/>
          </cell>
          <cell r="M123" t="str">
            <v/>
          </cell>
          <cell r="N123" t="str">
            <v/>
          </cell>
          <cell r="O123" t="str">
            <v/>
          </cell>
          <cell r="P123" t="str">
            <v/>
          </cell>
          <cell r="Q123" t="str">
            <v/>
          </cell>
          <cell r="R123" t="str">
            <v/>
          </cell>
          <cell r="S123" t="str">
            <v/>
          </cell>
        </row>
        <row r="124">
          <cell r="F124" t="str">
            <v/>
          </cell>
          <cell r="G124" t="str">
            <v/>
          </cell>
          <cell r="H124" t="str">
            <v/>
          </cell>
          <cell r="I124" t="str">
            <v/>
          </cell>
          <cell r="J124" t="str">
            <v/>
          </cell>
          <cell r="K124" t="str">
            <v/>
          </cell>
          <cell r="L124" t="str">
            <v/>
          </cell>
          <cell r="M124" t="str">
            <v/>
          </cell>
          <cell r="N124" t="str">
            <v/>
          </cell>
          <cell r="O124" t="str">
            <v/>
          </cell>
          <cell r="P124" t="str">
            <v/>
          </cell>
          <cell r="Q124" t="str">
            <v/>
          </cell>
          <cell r="R124" t="str">
            <v/>
          </cell>
          <cell r="S124" t="str">
            <v/>
          </cell>
        </row>
        <row r="125">
          <cell r="F125" t="str">
            <v/>
          </cell>
          <cell r="G125" t="str">
            <v/>
          </cell>
          <cell r="H125" t="str">
            <v/>
          </cell>
          <cell r="I125" t="str">
            <v/>
          </cell>
          <cell r="J125" t="str">
            <v/>
          </cell>
          <cell r="K125" t="str">
            <v/>
          </cell>
          <cell r="L125" t="str">
            <v/>
          </cell>
          <cell r="M125" t="str">
            <v/>
          </cell>
          <cell r="N125" t="str">
            <v/>
          </cell>
          <cell r="O125" t="str">
            <v/>
          </cell>
          <cell r="P125" t="str">
            <v/>
          </cell>
          <cell r="Q125" t="str">
            <v/>
          </cell>
          <cell r="R125" t="str">
            <v/>
          </cell>
          <cell r="S125" t="str">
            <v/>
          </cell>
        </row>
        <row r="126">
          <cell r="F126" t="str">
            <v/>
          </cell>
          <cell r="G126" t="str">
            <v/>
          </cell>
          <cell r="H126" t="str">
            <v/>
          </cell>
          <cell r="I126" t="str">
            <v/>
          </cell>
          <cell r="J126" t="str">
            <v/>
          </cell>
          <cell r="K126" t="str">
            <v/>
          </cell>
          <cell r="L126" t="str">
            <v/>
          </cell>
          <cell r="M126" t="str">
            <v/>
          </cell>
          <cell r="N126" t="str">
            <v/>
          </cell>
          <cell r="O126" t="str">
            <v/>
          </cell>
          <cell r="P126" t="str">
            <v/>
          </cell>
          <cell r="Q126" t="str">
            <v/>
          </cell>
          <cell r="R126" t="str">
            <v/>
          </cell>
          <cell r="S126" t="str">
            <v/>
          </cell>
        </row>
        <row r="127">
          <cell r="F127" t="str">
            <v/>
          </cell>
          <cell r="G127" t="str">
            <v/>
          </cell>
          <cell r="H127" t="str">
            <v/>
          </cell>
          <cell r="I127" t="str">
            <v/>
          </cell>
          <cell r="J127" t="str">
            <v/>
          </cell>
          <cell r="K127" t="str">
            <v/>
          </cell>
          <cell r="L127" t="str">
            <v/>
          </cell>
          <cell r="M127" t="str">
            <v/>
          </cell>
          <cell r="N127" t="str">
            <v/>
          </cell>
          <cell r="O127" t="str">
            <v/>
          </cell>
          <cell r="P127" t="str">
            <v/>
          </cell>
          <cell r="Q127" t="str">
            <v/>
          </cell>
          <cell r="R127" t="str">
            <v/>
          </cell>
          <cell r="S127" t="str">
            <v/>
          </cell>
        </row>
        <row r="128">
          <cell r="F128" t="str">
            <v/>
          </cell>
          <cell r="G128" t="str">
            <v/>
          </cell>
          <cell r="H128" t="str">
            <v/>
          </cell>
          <cell r="I128" t="str">
            <v/>
          </cell>
          <cell r="J128" t="str">
            <v/>
          </cell>
          <cell r="K128" t="str">
            <v/>
          </cell>
          <cell r="L128" t="str">
            <v/>
          </cell>
          <cell r="M128" t="str">
            <v/>
          </cell>
          <cell r="N128" t="str">
            <v/>
          </cell>
          <cell r="O128" t="str">
            <v/>
          </cell>
          <cell r="P128" t="str">
            <v/>
          </cell>
          <cell r="Q128" t="str">
            <v/>
          </cell>
          <cell r="R128" t="str">
            <v/>
          </cell>
          <cell r="S128" t="str">
            <v/>
          </cell>
        </row>
        <row r="129">
          <cell r="F129" t="str">
            <v/>
          </cell>
          <cell r="G129" t="str">
            <v/>
          </cell>
          <cell r="H129" t="str">
            <v/>
          </cell>
          <cell r="I129" t="str">
            <v/>
          </cell>
          <cell r="J129" t="str">
            <v/>
          </cell>
          <cell r="K129" t="str">
            <v/>
          </cell>
          <cell r="L129" t="str">
            <v/>
          </cell>
          <cell r="M129" t="str">
            <v/>
          </cell>
          <cell r="N129" t="str">
            <v/>
          </cell>
          <cell r="O129" t="str">
            <v/>
          </cell>
          <cell r="P129" t="str">
            <v/>
          </cell>
          <cell r="Q129" t="str">
            <v/>
          </cell>
          <cell r="R129" t="str">
            <v/>
          </cell>
          <cell r="S129" t="str">
            <v/>
          </cell>
        </row>
        <row r="130">
          <cell r="F130" t="str">
            <v/>
          </cell>
          <cell r="G130" t="str">
            <v/>
          </cell>
          <cell r="H130" t="str">
            <v/>
          </cell>
          <cell r="I130" t="str">
            <v/>
          </cell>
          <cell r="J130" t="str">
            <v/>
          </cell>
          <cell r="K130" t="str">
            <v/>
          </cell>
          <cell r="L130" t="str">
            <v/>
          </cell>
          <cell r="M130" t="str">
            <v/>
          </cell>
          <cell r="N130" t="str">
            <v/>
          </cell>
          <cell r="O130" t="str">
            <v/>
          </cell>
          <cell r="P130" t="str">
            <v/>
          </cell>
          <cell r="Q130" t="str">
            <v/>
          </cell>
          <cell r="R130" t="str">
            <v/>
          </cell>
          <cell r="S130" t="str">
            <v/>
          </cell>
        </row>
        <row r="131">
          <cell r="F131" t="str">
            <v/>
          </cell>
          <cell r="G131" t="str">
            <v/>
          </cell>
          <cell r="H131" t="str">
            <v/>
          </cell>
          <cell r="I131" t="str">
            <v/>
          </cell>
          <cell r="J131" t="str">
            <v/>
          </cell>
          <cell r="K131" t="str">
            <v/>
          </cell>
          <cell r="L131" t="str">
            <v/>
          </cell>
          <cell r="M131" t="str">
            <v/>
          </cell>
          <cell r="N131" t="str">
            <v/>
          </cell>
          <cell r="O131" t="str">
            <v/>
          </cell>
          <cell r="P131" t="str">
            <v/>
          </cell>
          <cell r="Q131" t="str">
            <v/>
          </cell>
          <cell r="R131" t="str">
            <v/>
          </cell>
          <cell r="S131" t="str">
            <v/>
          </cell>
        </row>
        <row r="132">
          <cell r="F132" t="str">
            <v/>
          </cell>
          <cell r="G132" t="str">
            <v/>
          </cell>
          <cell r="H132" t="str">
            <v/>
          </cell>
          <cell r="I132" t="str">
            <v/>
          </cell>
          <cell r="J132" t="str">
            <v/>
          </cell>
          <cell r="K132" t="str">
            <v/>
          </cell>
          <cell r="L132" t="str">
            <v/>
          </cell>
          <cell r="M132" t="str">
            <v/>
          </cell>
          <cell r="N132" t="str">
            <v/>
          </cell>
          <cell r="O132" t="str">
            <v/>
          </cell>
          <cell r="P132" t="str">
            <v/>
          </cell>
          <cell r="Q132" t="str">
            <v/>
          </cell>
          <cell r="R132" t="str">
            <v/>
          </cell>
          <cell r="S132" t="str">
            <v/>
          </cell>
        </row>
        <row r="133">
          <cell r="F133" t="str">
            <v/>
          </cell>
          <cell r="G133" t="str">
            <v/>
          </cell>
          <cell r="H133" t="str">
            <v/>
          </cell>
          <cell r="I133" t="str">
            <v/>
          </cell>
          <cell r="J133" t="str">
            <v/>
          </cell>
          <cell r="K133" t="str">
            <v/>
          </cell>
          <cell r="L133" t="str">
            <v/>
          </cell>
          <cell r="M133" t="str">
            <v/>
          </cell>
          <cell r="N133" t="str">
            <v/>
          </cell>
          <cell r="O133" t="str">
            <v/>
          </cell>
          <cell r="P133" t="str">
            <v/>
          </cell>
          <cell r="Q133" t="str">
            <v/>
          </cell>
          <cell r="R133" t="str">
            <v/>
          </cell>
          <cell r="S133" t="str">
            <v/>
          </cell>
        </row>
        <row r="134">
          <cell r="F134" t="str">
            <v/>
          </cell>
          <cell r="G134" t="str">
            <v/>
          </cell>
          <cell r="H134" t="str">
            <v/>
          </cell>
          <cell r="I134" t="str">
            <v/>
          </cell>
          <cell r="J134" t="str">
            <v/>
          </cell>
          <cell r="K134" t="str">
            <v/>
          </cell>
          <cell r="L134" t="str">
            <v/>
          </cell>
          <cell r="M134" t="str">
            <v/>
          </cell>
          <cell r="N134" t="str">
            <v/>
          </cell>
          <cell r="O134" t="str">
            <v/>
          </cell>
          <cell r="P134" t="str">
            <v/>
          </cell>
          <cell r="Q134" t="str">
            <v/>
          </cell>
          <cell r="R134" t="str">
            <v/>
          </cell>
          <cell r="S134" t="str">
            <v/>
          </cell>
        </row>
        <row r="135">
          <cell r="F135" t="str">
            <v/>
          </cell>
          <cell r="G135" t="str">
            <v/>
          </cell>
          <cell r="H135" t="str">
            <v/>
          </cell>
          <cell r="I135" t="str">
            <v/>
          </cell>
          <cell r="J135" t="str">
            <v/>
          </cell>
          <cell r="K135" t="str">
            <v/>
          </cell>
          <cell r="L135" t="str">
            <v/>
          </cell>
          <cell r="M135" t="str">
            <v/>
          </cell>
          <cell r="N135" t="str">
            <v/>
          </cell>
          <cell r="O135" t="str">
            <v/>
          </cell>
          <cell r="P135" t="str">
            <v/>
          </cell>
          <cell r="Q135" t="str">
            <v/>
          </cell>
          <cell r="R135" t="str">
            <v/>
          </cell>
          <cell r="S135" t="str">
            <v/>
          </cell>
        </row>
        <row r="136">
          <cell r="F136" t="str">
            <v/>
          </cell>
          <cell r="G136" t="str">
            <v/>
          </cell>
          <cell r="H136" t="str">
            <v/>
          </cell>
          <cell r="I136" t="str">
            <v/>
          </cell>
          <cell r="J136" t="str">
            <v/>
          </cell>
          <cell r="K136" t="str">
            <v/>
          </cell>
          <cell r="L136" t="str">
            <v/>
          </cell>
          <cell r="M136" t="str">
            <v/>
          </cell>
          <cell r="N136" t="str">
            <v/>
          </cell>
          <cell r="O136" t="str">
            <v/>
          </cell>
          <cell r="P136" t="str">
            <v/>
          </cell>
          <cell r="Q136" t="str">
            <v/>
          </cell>
          <cell r="R136" t="str">
            <v/>
          </cell>
          <cell r="S136" t="str">
            <v/>
          </cell>
        </row>
        <row r="137">
          <cell r="F137" t="str">
            <v/>
          </cell>
          <cell r="G137" t="str">
            <v/>
          </cell>
          <cell r="H137" t="str">
            <v/>
          </cell>
          <cell r="I137" t="str">
            <v/>
          </cell>
          <cell r="J137" t="str">
            <v/>
          </cell>
          <cell r="K137" t="str">
            <v/>
          </cell>
          <cell r="L137" t="str">
            <v/>
          </cell>
          <cell r="M137" t="str">
            <v/>
          </cell>
          <cell r="N137" t="str">
            <v/>
          </cell>
          <cell r="O137" t="str">
            <v/>
          </cell>
          <cell r="P137" t="str">
            <v/>
          </cell>
          <cell r="Q137" t="str">
            <v/>
          </cell>
          <cell r="R137" t="str">
            <v/>
          </cell>
          <cell r="S137" t="str">
            <v/>
          </cell>
        </row>
        <row r="138">
          <cell r="F138" t="str">
            <v/>
          </cell>
          <cell r="G138" t="str">
            <v/>
          </cell>
          <cell r="H138" t="str">
            <v/>
          </cell>
          <cell r="I138" t="str">
            <v/>
          </cell>
          <cell r="J138" t="str">
            <v/>
          </cell>
          <cell r="K138" t="str">
            <v/>
          </cell>
          <cell r="L138" t="str">
            <v/>
          </cell>
          <cell r="M138" t="str">
            <v/>
          </cell>
          <cell r="N138" t="str">
            <v/>
          </cell>
          <cell r="O138" t="str">
            <v/>
          </cell>
          <cell r="P138" t="str">
            <v/>
          </cell>
          <cell r="Q138" t="str">
            <v/>
          </cell>
          <cell r="R138" t="str">
            <v/>
          </cell>
          <cell r="S138" t="str">
            <v/>
          </cell>
        </row>
        <row r="139">
          <cell r="F139" t="str">
            <v/>
          </cell>
          <cell r="G139" t="str">
            <v/>
          </cell>
          <cell r="H139" t="str">
            <v/>
          </cell>
          <cell r="I139" t="str">
            <v/>
          </cell>
          <cell r="J139" t="str">
            <v/>
          </cell>
          <cell r="K139" t="str">
            <v/>
          </cell>
          <cell r="L139" t="str">
            <v/>
          </cell>
          <cell r="M139" t="str">
            <v/>
          </cell>
          <cell r="N139" t="str">
            <v/>
          </cell>
          <cell r="O139" t="str">
            <v/>
          </cell>
          <cell r="P139" t="str">
            <v/>
          </cell>
          <cell r="Q139" t="str">
            <v/>
          </cell>
          <cell r="R139" t="str">
            <v/>
          </cell>
          <cell r="S139" t="str">
            <v/>
          </cell>
        </row>
        <row r="140">
          <cell r="F140" t="str">
            <v/>
          </cell>
          <cell r="G140" t="str">
            <v/>
          </cell>
          <cell r="H140" t="str">
            <v/>
          </cell>
          <cell r="I140" t="str">
            <v/>
          </cell>
          <cell r="J140" t="str">
            <v/>
          </cell>
          <cell r="K140" t="str">
            <v/>
          </cell>
          <cell r="L140" t="str">
            <v/>
          </cell>
          <cell r="M140" t="str">
            <v/>
          </cell>
          <cell r="N140" t="str">
            <v/>
          </cell>
          <cell r="O140" t="str">
            <v/>
          </cell>
          <cell r="P140" t="str">
            <v/>
          </cell>
          <cell r="Q140" t="str">
            <v/>
          </cell>
          <cell r="R140" t="str">
            <v/>
          </cell>
          <cell r="S140" t="str">
            <v/>
          </cell>
        </row>
        <row r="141">
          <cell r="F141" t="str">
            <v/>
          </cell>
          <cell r="G141" t="str">
            <v/>
          </cell>
          <cell r="H141" t="str">
            <v/>
          </cell>
          <cell r="I141" t="str">
            <v/>
          </cell>
          <cell r="J141" t="str">
            <v/>
          </cell>
          <cell r="K141" t="str">
            <v/>
          </cell>
          <cell r="L141" t="str">
            <v/>
          </cell>
          <cell r="M141" t="str">
            <v/>
          </cell>
          <cell r="N141" t="str">
            <v/>
          </cell>
          <cell r="O141" t="str">
            <v/>
          </cell>
          <cell r="P141" t="str">
            <v/>
          </cell>
          <cell r="Q141" t="str">
            <v/>
          </cell>
          <cell r="R141" t="str">
            <v/>
          </cell>
          <cell r="S141" t="str">
            <v/>
          </cell>
        </row>
        <row r="142">
          <cell r="F142" t="str">
            <v/>
          </cell>
          <cell r="G142" t="str">
            <v/>
          </cell>
          <cell r="H142" t="str">
            <v/>
          </cell>
          <cell r="I142" t="str">
            <v/>
          </cell>
          <cell r="J142" t="str">
            <v/>
          </cell>
          <cell r="K142" t="str">
            <v/>
          </cell>
          <cell r="L142" t="str">
            <v/>
          </cell>
          <cell r="M142" t="str">
            <v/>
          </cell>
          <cell r="N142" t="str">
            <v/>
          </cell>
          <cell r="O142" t="str">
            <v/>
          </cell>
          <cell r="P142" t="str">
            <v/>
          </cell>
          <cell r="Q142" t="str">
            <v/>
          </cell>
          <cell r="R142" t="str">
            <v/>
          </cell>
          <cell r="S142" t="str">
            <v/>
          </cell>
        </row>
        <row r="143">
          <cell r="F143" t="str">
            <v/>
          </cell>
          <cell r="G143" t="str">
            <v/>
          </cell>
          <cell r="H143" t="str">
            <v/>
          </cell>
          <cell r="I143" t="str">
            <v/>
          </cell>
          <cell r="J143" t="str">
            <v/>
          </cell>
          <cell r="K143" t="str">
            <v/>
          </cell>
          <cell r="L143" t="str">
            <v/>
          </cell>
          <cell r="M143" t="str">
            <v/>
          </cell>
          <cell r="N143" t="str">
            <v/>
          </cell>
          <cell r="O143" t="str">
            <v/>
          </cell>
          <cell r="P143" t="str">
            <v/>
          </cell>
          <cell r="Q143" t="str">
            <v/>
          </cell>
          <cell r="R143" t="str">
            <v/>
          </cell>
          <cell r="S143" t="str">
            <v/>
          </cell>
        </row>
        <row r="144">
          <cell r="F144" t="str">
            <v/>
          </cell>
          <cell r="G144" t="str">
            <v/>
          </cell>
          <cell r="H144" t="str">
            <v/>
          </cell>
          <cell r="I144" t="str">
            <v/>
          </cell>
          <cell r="J144" t="str">
            <v/>
          </cell>
          <cell r="K144" t="str">
            <v/>
          </cell>
          <cell r="L144" t="str">
            <v/>
          </cell>
          <cell r="M144" t="str">
            <v/>
          </cell>
          <cell r="N144" t="str">
            <v/>
          </cell>
          <cell r="O144" t="str">
            <v/>
          </cell>
          <cell r="P144" t="str">
            <v/>
          </cell>
          <cell r="Q144" t="str">
            <v/>
          </cell>
          <cell r="R144" t="str">
            <v/>
          </cell>
          <cell r="S144" t="str">
            <v/>
          </cell>
        </row>
        <row r="145">
          <cell r="F145" t="str">
            <v/>
          </cell>
          <cell r="G145" t="str">
            <v/>
          </cell>
          <cell r="H145" t="str">
            <v/>
          </cell>
          <cell r="I145" t="str">
            <v/>
          </cell>
          <cell r="J145" t="str">
            <v/>
          </cell>
          <cell r="K145" t="str">
            <v/>
          </cell>
          <cell r="L145" t="str">
            <v/>
          </cell>
          <cell r="M145" t="str">
            <v/>
          </cell>
          <cell r="N145" t="str">
            <v/>
          </cell>
          <cell r="O145" t="str">
            <v/>
          </cell>
          <cell r="P145" t="str">
            <v/>
          </cell>
          <cell r="Q145" t="str">
            <v/>
          </cell>
          <cell r="R145" t="str">
            <v/>
          </cell>
          <cell r="S145" t="str">
            <v/>
          </cell>
        </row>
        <row r="146">
          <cell r="F146" t="str">
            <v/>
          </cell>
          <cell r="G146" t="str">
            <v/>
          </cell>
          <cell r="H146" t="str">
            <v/>
          </cell>
          <cell r="I146" t="str">
            <v/>
          </cell>
          <cell r="J146" t="str">
            <v/>
          </cell>
          <cell r="K146" t="str">
            <v/>
          </cell>
          <cell r="L146" t="str">
            <v/>
          </cell>
          <cell r="M146" t="str">
            <v/>
          </cell>
          <cell r="N146" t="str">
            <v/>
          </cell>
          <cell r="O146" t="str">
            <v/>
          </cell>
          <cell r="P146" t="str">
            <v/>
          </cell>
          <cell r="Q146" t="str">
            <v/>
          </cell>
          <cell r="R146" t="str">
            <v/>
          </cell>
          <cell r="S146" t="str">
            <v/>
          </cell>
        </row>
        <row r="147">
          <cell r="F147" t="str">
            <v/>
          </cell>
          <cell r="G147" t="str">
            <v/>
          </cell>
          <cell r="H147" t="str">
            <v/>
          </cell>
          <cell r="I147" t="str">
            <v/>
          </cell>
          <cell r="J147" t="str">
            <v/>
          </cell>
          <cell r="K147" t="str">
            <v/>
          </cell>
          <cell r="L147" t="str">
            <v/>
          </cell>
          <cell r="M147" t="str">
            <v/>
          </cell>
          <cell r="N147" t="str">
            <v/>
          </cell>
          <cell r="O147" t="str">
            <v/>
          </cell>
          <cell r="P147" t="str">
            <v/>
          </cell>
          <cell r="Q147" t="str">
            <v/>
          </cell>
          <cell r="R147" t="str">
            <v/>
          </cell>
          <cell r="S147" t="str">
            <v/>
          </cell>
        </row>
        <row r="148">
          <cell r="F148" t="str">
            <v/>
          </cell>
          <cell r="G148" t="str">
            <v/>
          </cell>
          <cell r="H148" t="str">
            <v/>
          </cell>
          <cell r="I148" t="str">
            <v/>
          </cell>
          <cell r="J148" t="str">
            <v/>
          </cell>
          <cell r="K148" t="str">
            <v/>
          </cell>
          <cell r="L148" t="str">
            <v/>
          </cell>
          <cell r="M148" t="str">
            <v/>
          </cell>
          <cell r="N148" t="str">
            <v/>
          </cell>
          <cell r="O148" t="str">
            <v/>
          </cell>
          <cell r="P148" t="str">
            <v/>
          </cell>
          <cell r="Q148" t="str">
            <v/>
          </cell>
          <cell r="R148" t="str">
            <v/>
          </cell>
          <cell r="S148" t="str">
            <v/>
          </cell>
        </row>
        <row r="149">
          <cell r="F149" t="str">
            <v/>
          </cell>
          <cell r="G149" t="str">
            <v/>
          </cell>
          <cell r="H149" t="str">
            <v/>
          </cell>
          <cell r="I149" t="str">
            <v/>
          </cell>
          <cell r="J149" t="str">
            <v/>
          </cell>
          <cell r="K149" t="str">
            <v/>
          </cell>
          <cell r="L149" t="str">
            <v/>
          </cell>
          <cell r="M149" t="str">
            <v/>
          </cell>
          <cell r="N149" t="str">
            <v/>
          </cell>
          <cell r="O149" t="str">
            <v/>
          </cell>
          <cell r="P149" t="str">
            <v/>
          </cell>
          <cell r="Q149" t="str">
            <v/>
          </cell>
          <cell r="R149" t="str">
            <v/>
          </cell>
          <cell r="S149" t="str">
            <v/>
          </cell>
        </row>
        <row r="150">
          <cell r="F150" t="str">
            <v/>
          </cell>
          <cell r="G150" t="str">
            <v/>
          </cell>
          <cell r="H150" t="str">
            <v/>
          </cell>
          <cell r="I150" t="str">
            <v/>
          </cell>
          <cell r="J150" t="str">
            <v/>
          </cell>
          <cell r="K150" t="str">
            <v/>
          </cell>
          <cell r="L150" t="str">
            <v/>
          </cell>
          <cell r="M150" t="str">
            <v/>
          </cell>
          <cell r="N150" t="str">
            <v/>
          </cell>
          <cell r="O150" t="str">
            <v/>
          </cell>
          <cell r="P150" t="str">
            <v/>
          </cell>
          <cell r="Q150" t="str">
            <v/>
          </cell>
          <cell r="R150" t="str">
            <v/>
          </cell>
          <cell r="S150" t="str">
            <v/>
          </cell>
        </row>
        <row r="151">
          <cell r="F151" t="str">
            <v/>
          </cell>
          <cell r="G151" t="str">
            <v/>
          </cell>
          <cell r="H151" t="str">
            <v/>
          </cell>
          <cell r="I151" t="str">
            <v/>
          </cell>
          <cell r="J151" t="str">
            <v/>
          </cell>
          <cell r="K151" t="str">
            <v/>
          </cell>
          <cell r="L151" t="str">
            <v/>
          </cell>
          <cell r="M151" t="str">
            <v/>
          </cell>
          <cell r="N151" t="str">
            <v/>
          </cell>
          <cell r="O151" t="str">
            <v/>
          </cell>
          <cell r="P151" t="str">
            <v/>
          </cell>
          <cell r="Q151" t="str">
            <v/>
          </cell>
          <cell r="R151" t="str">
            <v/>
          </cell>
          <cell r="S151" t="str">
            <v/>
          </cell>
        </row>
        <row r="152">
          <cell r="F152" t="str">
            <v/>
          </cell>
          <cell r="G152" t="str">
            <v/>
          </cell>
          <cell r="H152" t="str">
            <v/>
          </cell>
          <cell r="I152" t="str">
            <v/>
          </cell>
          <cell r="J152" t="str">
            <v/>
          </cell>
          <cell r="K152" t="str">
            <v/>
          </cell>
          <cell r="L152" t="str">
            <v/>
          </cell>
          <cell r="M152" t="str">
            <v/>
          </cell>
          <cell r="N152" t="str">
            <v/>
          </cell>
          <cell r="O152" t="str">
            <v/>
          </cell>
          <cell r="P152" t="str">
            <v/>
          </cell>
          <cell r="Q152" t="str">
            <v/>
          </cell>
          <cell r="R152" t="str">
            <v/>
          </cell>
          <cell r="S152" t="str">
            <v/>
          </cell>
        </row>
        <row r="153">
          <cell r="F153" t="str">
            <v/>
          </cell>
          <cell r="G153" t="str">
            <v/>
          </cell>
          <cell r="H153" t="str">
            <v/>
          </cell>
          <cell r="I153" t="str">
            <v/>
          </cell>
          <cell r="J153" t="str">
            <v/>
          </cell>
          <cell r="K153" t="str">
            <v/>
          </cell>
          <cell r="L153" t="str">
            <v/>
          </cell>
          <cell r="M153" t="str">
            <v/>
          </cell>
          <cell r="N153" t="str">
            <v/>
          </cell>
          <cell r="O153" t="str">
            <v/>
          </cell>
          <cell r="P153" t="str">
            <v/>
          </cell>
          <cell r="Q153" t="str">
            <v/>
          </cell>
          <cell r="R153" t="str">
            <v/>
          </cell>
          <cell r="S153" t="str">
            <v/>
          </cell>
        </row>
        <row r="154">
          <cell r="F154" t="str">
            <v/>
          </cell>
          <cell r="G154" t="str">
            <v/>
          </cell>
          <cell r="H154" t="str">
            <v/>
          </cell>
          <cell r="I154" t="str">
            <v/>
          </cell>
          <cell r="J154" t="str">
            <v/>
          </cell>
          <cell r="K154" t="str">
            <v/>
          </cell>
          <cell r="L154" t="str">
            <v/>
          </cell>
          <cell r="M154" t="str">
            <v/>
          </cell>
          <cell r="N154" t="str">
            <v/>
          </cell>
          <cell r="O154" t="str">
            <v/>
          </cell>
          <cell r="P154" t="str">
            <v/>
          </cell>
          <cell r="Q154" t="str">
            <v/>
          </cell>
          <cell r="R154" t="str">
            <v/>
          </cell>
          <cell r="S154" t="str">
            <v/>
          </cell>
        </row>
        <row r="155">
          <cell r="F155" t="str">
            <v/>
          </cell>
          <cell r="G155" t="str">
            <v/>
          </cell>
          <cell r="H155" t="str">
            <v/>
          </cell>
          <cell r="I155" t="str">
            <v/>
          </cell>
          <cell r="J155" t="str">
            <v/>
          </cell>
          <cell r="K155" t="str">
            <v/>
          </cell>
          <cell r="L155" t="str">
            <v/>
          </cell>
          <cell r="M155" t="str">
            <v/>
          </cell>
          <cell r="N155" t="str">
            <v/>
          </cell>
          <cell r="O155" t="str">
            <v/>
          </cell>
          <cell r="P155" t="str">
            <v/>
          </cell>
          <cell r="Q155" t="str">
            <v/>
          </cell>
          <cell r="R155" t="str">
            <v/>
          </cell>
          <cell r="S155" t="str">
            <v/>
          </cell>
        </row>
        <row r="156">
          <cell r="F156" t="str">
            <v/>
          </cell>
          <cell r="G156" t="str">
            <v/>
          </cell>
          <cell r="H156" t="str">
            <v/>
          </cell>
          <cell r="I156" t="str">
            <v/>
          </cell>
          <cell r="J156" t="str">
            <v/>
          </cell>
          <cell r="K156" t="str">
            <v/>
          </cell>
          <cell r="L156" t="str">
            <v/>
          </cell>
          <cell r="M156" t="str">
            <v/>
          </cell>
          <cell r="N156" t="str">
            <v/>
          </cell>
          <cell r="O156" t="str">
            <v/>
          </cell>
          <cell r="P156" t="str">
            <v/>
          </cell>
          <cell r="Q156" t="str">
            <v/>
          </cell>
          <cell r="R156" t="str">
            <v/>
          </cell>
          <cell r="S156" t="str">
            <v/>
          </cell>
        </row>
        <row r="157">
          <cell r="F157" t="str">
            <v/>
          </cell>
          <cell r="G157" t="str">
            <v/>
          </cell>
          <cell r="H157" t="str">
            <v/>
          </cell>
          <cell r="I157" t="str">
            <v/>
          </cell>
          <cell r="J157" t="str">
            <v/>
          </cell>
          <cell r="K157" t="str">
            <v/>
          </cell>
          <cell r="L157" t="str">
            <v/>
          </cell>
          <cell r="M157" t="str">
            <v/>
          </cell>
          <cell r="N157" t="str">
            <v/>
          </cell>
          <cell r="O157" t="str">
            <v/>
          </cell>
          <cell r="P157" t="str">
            <v/>
          </cell>
          <cell r="Q157" t="str">
            <v/>
          </cell>
          <cell r="R157" t="str">
            <v/>
          </cell>
          <cell r="S157" t="str">
            <v/>
          </cell>
        </row>
        <row r="158">
          <cell r="F158" t="str">
            <v/>
          </cell>
          <cell r="G158" t="str">
            <v/>
          </cell>
          <cell r="H158" t="str">
            <v/>
          </cell>
          <cell r="I158" t="str">
            <v/>
          </cell>
          <cell r="J158" t="str">
            <v/>
          </cell>
          <cell r="K158" t="str">
            <v/>
          </cell>
          <cell r="L158" t="str">
            <v/>
          </cell>
          <cell r="M158" t="str">
            <v/>
          </cell>
          <cell r="N158" t="str">
            <v/>
          </cell>
          <cell r="O158" t="str">
            <v/>
          </cell>
          <cell r="P158" t="str">
            <v/>
          </cell>
          <cell r="Q158" t="str">
            <v/>
          </cell>
          <cell r="R158" t="str">
            <v/>
          </cell>
          <cell r="S158" t="str">
            <v/>
          </cell>
        </row>
        <row r="159">
          <cell r="F159" t="str">
            <v/>
          </cell>
          <cell r="G159" t="str">
            <v/>
          </cell>
          <cell r="H159" t="str">
            <v/>
          </cell>
          <cell r="I159" t="str">
            <v/>
          </cell>
          <cell r="J159" t="str">
            <v/>
          </cell>
          <cell r="K159" t="str">
            <v/>
          </cell>
          <cell r="L159" t="str">
            <v/>
          </cell>
          <cell r="M159" t="str">
            <v/>
          </cell>
          <cell r="N159" t="str">
            <v/>
          </cell>
          <cell r="O159" t="str">
            <v/>
          </cell>
          <cell r="P159" t="str">
            <v/>
          </cell>
          <cell r="Q159" t="str">
            <v/>
          </cell>
          <cell r="R159" t="str">
            <v/>
          </cell>
          <cell r="S159" t="str">
            <v/>
          </cell>
        </row>
        <row r="160">
          <cell r="F160" t="str">
            <v/>
          </cell>
          <cell r="G160" t="str">
            <v/>
          </cell>
          <cell r="H160" t="str">
            <v/>
          </cell>
          <cell r="I160" t="str">
            <v/>
          </cell>
          <cell r="J160" t="str">
            <v/>
          </cell>
          <cell r="K160" t="str">
            <v/>
          </cell>
          <cell r="L160" t="str">
            <v/>
          </cell>
          <cell r="M160" t="str">
            <v/>
          </cell>
          <cell r="N160" t="str">
            <v/>
          </cell>
          <cell r="O160" t="str">
            <v/>
          </cell>
          <cell r="P160" t="str">
            <v/>
          </cell>
          <cell r="Q160" t="str">
            <v/>
          </cell>
          <cell r="R160" t="str">
            <v/>
          </cell>
          <cell r="S160" t="str">
            <v/>
          </cell>
        </row>
        <row r="161">
          <cell r="F161" t="str">
            <v/>
          </cell>
          <cell r="G161" t="str">
            <v/>
          </cell>
          <cell r="H161" t="str">
            <v/>
          </cell>
          <cell r="I161" t="str">
            <v/>
          </cell>
          <cell r="J161" t="str">
            <v/>
          </cell>
          <cell r="K161" t="str">
            <v/>
          </cell>
          <cell r="L161" t="str">
            <v/>
          </cell>
          <cell r="M161" t="str">
            <v/>
          </cell>
          <cell r="N161" t="str">
            <v/>
          </cell>
          <cell r="O161" t="str">
            <v/>
          </cell>
          <cell r="P161" t="str">
            <v/>
          </cell>
          <cell r="Q161" t="str">
            <v/>
          </cell>
          <cell r="R161" t="str">
            <v/>
          </cell>
          <cell r="S161" t="str">
            <v/>
          </cell>
        </row>
        <row r="162">
          <cell r="F162" t="str">
            <v/>
          </cell>
          <cell r="G162" t="str">
            <v/>
          </cell>
          <cell r="H162" t="str">
            <v/>
          </cell>
          <cell r="I162" t="str">
            <v/>
          </cell>
          <cell r="J162" t="str">
            <v/>
          </cell>
          <cell r="K162" t="str">
            <v/>
          </cell>
          <cell r="L162" t="str">
            <v/>
          </cell>
          <cell r="M162" t="str">
            <v/>
          </cell>
          <cell r="N162" t="str">
            <v/>
          </cell>
          <cell r="O162" t="str">
            <v/>
          </cell>
          <cell r="P162" t="str">
            <v/>
          </cell>
          <cell r="Q162" t="str">
            <v/>
          </cell>
          <cell r="R162" t="str">
            <v/>
          </cell>
          <cell r="S162" t="str">
            <v/>
          </cell>
        </row>
        <row r="163">
          <cell r="F163" t="str">
            <v/>
          </cell>
          <cell r="G163" t="str">
            <v/>
          </cell>
          <cell r="H163" t="str">
            <v/>
          </cell>
          <cell r="I163" t="str">
            <v/>
          </cell>
          <cell r="J163" t="str">
            <v/>
          </cell>
          <cell r="K163" t="str">
            <v/>
          </cell>
          <cell r="L163" t="str">
            <v/>
          </cell>
          <cell r="M163" t="str">
            <v/>
          </cell>
          <cell r="N163" t="str">
            <v/>
          </cell>
          <cell r="O163" t="str">
            <v/>
          </cell>
          <cell r="P163" t="str">
            <v/>
          </cell>
          <cell r="Q163" t="str">
            <v/>
          </cell>
          <cell r="R163" t="str">
            <v/>
          </cell>
          <cell r="S163" t="str">
            <v/>
          </cell>
        </row>
        <row r="164">
          <cell r="F164" t="str">
            <v/>
          </cell>
          <cell r="G164" t="str">
            <v/>
          </cell>
          <cell r="H164" t="str">
            <v/>
          </cell>
          <cell r="I164" t="str">
            <v/>
          </cell>
          <cell r="J164" t="str">
            <v/>
          </cell>
          <cell r="K164" t="str">
            <v/>
          </cell>
          <cell r="L164" t="str">
            <v/>
          </cell>
          <cell r="M164" t="str">
            <v/>
          </cell>
          <cell r="N164" t="str">
            <v/>
          </cell>
          <cell r="O164" t="str">
            <v/>
          </cell>
          <cell r="P164" t="str">
            <v/>
          </cell>
          <cell r="Q164" t="str">
            <v/>
          </cell>
          <cell r="R164" t="str">
            <v/>
          </cell>
          <cell r="S164" t="str">
            <v/>
          </cell>
        </row>
        <row r="165">
          <cell r="F165" t="str">
            <v/>
          </cell>
          <cell r="G165" t="str">
            <v/>
          </cell>
          <cell r="H165" t="str">
            <v/>
          </cell>
          <cell r="I165" t="str">
            <v/>
          </cell>
          <cell r="J165" t="str">
            <v/>
          </cell>
          <cell r="K165" t="str">
            <v/>
          </cell>
          <cell r="L165" t="str">
            <v/>
          </cell>
          <cell r="M165" t="str">
            <v/>
          </cell>
          <cell r="N165" t="str">
            <v/>
          </cell>
          <cell r="O165" t="str">
            <v/>
          </cell>
          <cell r="P165" t="str">
            <v/>
          </cell>
          <cell r="Q165" t="str">
            <v/>
          </cell>
          <cell r="R165" t="str">
            <v/>
          </cell>
          <cell r="S165" t="str">
            <v/>
          </cell>
        </row>
        <row r="166">
          <cell r="F166" t="str">
            <v/>
          </cell>
          <cell r="G166" t="str">
            <v/>
          </cell>
          <cell r="H166" t="str">
            <v/>
          </cell>
          <cell r="I166" t="str">
            <v/>
          </cell>
          <cell r="J166" t="str">
            <v/>
          </cell>
          <cell r="K166" t="str">
            <v/>
          </cell>
          <cell r="L166" t="str">
            <v/>
          </cell>
          <cell r="M166" t="str">
            <v/>
          </cell>
          <cell r="N166" t="str">
            <v/>
          </cell>
          <cell r="O166" t="str">
            <v/>
          </cell>
          <cell r="P166" t="str">
            <v/>
          </cell>
          <cell r="Q166" t="str">
            <v/>
          </cell>
          <cell r="R166" t="str">
            <v/>
          </cell>
          <cell r="S166" t="str">
            <v/>
          </cell>
        </row>
        <row r="167">
          <cell r="F167" t="str">
            <v/>
          </cell>
          <cell r="G167" t="str">
            <v/>
          </cell>
          <cell r="H167" t="str">
            <v/>
          </cell>
          <cell r="I167" t="str">
            <v/>
          </cell>
          <cell r="J167" t="str">
            <v/>
          </cell>
          <cell r="K167" t="str">
            <v/>
          </cell>
          <cell r="L167" t="str">
            <v/>
          </cell>
          <cell r="M167" t="str">
            <v/>
          </cell>
          <cell r="N167" t="str">
            <v/>
          </cell>
          <cell r="O167" t="str">
            <v/>
          </cell>
          <cell r="P167" t="str">
            <v/>
          </cell>
          <cell r="Q167" t="str">
            <v/>
          </cell>
          <cell r="R167" t="str">
            <v/>
          </cell>
          <cell r="S167" t="str">
            <v/>
          </cell>
        </row>
        <row r="168">
          <cell r="F168" t="str">
            <v/>
          </cell>
          <cell r="G168" t="str">
            <v/>
          </cell>
          <cell r="H168" t="str">
            <v/>
          </cell>
          <cell r="I168" t="str">
            <v/>
          </cell>
          <cell r="J168" t="str">
            <v/>
          </cell>
          <cell r="K168" t="str">
            <v/>
          </cell>
          <cell r="L168" t="str">
            <v/>
          </cell>
          <cell r="M168" t="str">
            <v/>
          </cell>
          <cell r="N168" t="str">
            <v/>
          </cell>
          <cell r="O168" t="str">
            <v/>
          </cell>
          <cell r="P168" t="str">
            <v/>
          </cell>
          <cell r="Q168" t="str">
            <v/>
          </cell>
          <cell r="R168" t="str">
            <v/>
          </cell>
          <cell r="S168" t="str">
            <v/>
          </cell>
        </row>
        <row r="169">
          <cell r="F169" t="str">
            <v/>
          </cell>
          <cell r="G169" t="str">
            <v/>
          </cell>
          <cell r="H169" t="str">
            <v/>
          </cell>
          <cell r="I169" t="str">
            <v/>
          </cell>
          <cell r="J169" t="str">
            <v/>
          </cell>
          <cell r="K169" t="str">
            <v/>
          </cell>
          <cell r="L169" t="str">
            <v/>
          </cell>
          <cell r="M169" t="str">
            <v/>
          </cell>
          <cell r="N169" t="str">
            <v/>
          </cell>
          <cell r="O169" t="str">
            <v/>
          </cell>
          <cell r="P169" t="str">
            <v/>
          </cell>
          <cell r="Q169" t="str">
            <v/>
          </cell>
          <cell r="R169" t="str">
            <v/>
          </cell>
          <cell r="S169" t="str">
            <v/>
          </cell>
        </row>
        <row r="170">
          <cell r="F170" t="str">
            <v/>
          </cell>
          <cell r="G170" t="str">
            <v/>
          </cell>
          <cell r="H170" t="str">
            <v/>
          </cell>
          <cell r="I170" t="str">
            <v/>
          </cell>
          <cell r="J170" t="str">
            <v/>
          </cell>
          <cell r="K170" t="str">
            <v/>
          </cell>
          <cell r="L170" t="str">
            <v/>
          </cell>
          <cell r="M170" t="str">
            <v/>
          </cell>
          <cell r="N170" t="str">
            <v/>
          </cell>
          <cell r="O170" t="str">
            <v/>
          </cell>
          <cell r="P170" t="str">
            <v/>
          </cell>
          <cell r="Q170" t="str">
            <v/>
          </cell>
          <cell r="R170" t="str">
            <v/>
          </cell>
          <cell r="S170" t="str">
            <v/>
          </cell>
        </row>
        <row r="171">
          <cell r="F171" t="str">
            <v/>
          </cell>
          <cell r="G171" t="str">
            <v/>
          </cell>
          <cell r="H171" t="str">
            <v/>
          </cell>
          <cell r="I171" t="str">
            <v/>
          </cell>
          <cell r="J171" t="str">
            <v/>
          </cell>
          <cell r="K171" t="str">
            <v/>
          </cell>
          <cell r="L171" t="str">
            <v/>
          </cell>
          <cell r="M171" t="str">
            <v/>
          </cell>
          <cell r="N171" t="str">
            <v/>
          </cell>
          <cell r="O171" t="str">
            <v/>
          </cell>
          <cell r="P171" t="str">
            <v/>
          </cell>
          <cell r="Q171" t="str">
            <v/>
          </cell>
          <cell r="R171" t="str">
            <v/>
          </cell>
          <cell r="S171" t="str">
            <v/>
          </cell>
        </row>
        <row r="172">
          <cell r="F172" t="str">
            <v/>
          </cell>
          <cell r="G172" t="str">
            <v/>
          </cell>
          <cell r="H172" t="str">
            <v/>
          </cell>
          <cell r="I172" t="str">
            <v/>
          </cell>
          <cell r="J172" t="str">
            <v/>
          </cell>
          <cell r="K172" t="str">
            <v/>
          </cell>
          <cell r="L172" t="str">
            <v/>
          </cell>
          <cell r="M172" t="str">
            <v/>
          </cell>
          <cell r="N172" t="str">
            <v/>
          </cell>
          <cell r="O172" t="str">
            <v/>
          </cell>
          <cell r="P172" t="str">
            <v/>
          </cell>
          <cell r="Q172" t="str">
            <v/>
          </cell>
          <cell r="R172" t="str">
            <v/>
          </cell>
          <cell r="S172" t="str">
            <v/>
          </cell>
        </row>
        <row r="173">
          <cell r="F173" t="str">
            <v/>
          </cell>
          <cell r="G173" t="str">
            <v/>
          </cell>
          <cell r="H173" t="str">
            <v/>
          </cell>
          <cell r="I173" t="str">
            <v/>
          </cell>
          <cell r="J173" t="str">
            <v/>
          </cell>
          <cell r="K173" t="str">
            <v/>
          </cell>
          <cell r="L173" t="str">
            <v/>
          </cell>
          <cell r="M173" t="str">
            <v/>
          </cell>
          <cell r="N173" t="str">
            <v/>
          </cell>
          <cell r="O173" t="str">
            <v/>
          </cell>
          <cell r="P173" t="str">
            <v/>
          </cell>
          <cell r="Q173" t="str">
            <v/>
          </cell>
          <cell r="R173" t="str">
            <v/>
          </cell>
          <cell r="S173" t="str">
            <v/>
          </cell>
        </row>
        <row r="174">
          <cell r="F174" t="str">
            <v/>
          </cell>
          <cell r="G174" t="str">
            <v/>
          </cell>
          <cell r="H174" t="str">
            <v/>
          </cell>
          <cell r="I174" t="str">
            <v/>
          </cell>
          <cell r="J174" t="str">
            <v/>
          </cell>
          <cell r="K174" t="str">
            <v/>
          </cell>
          <cell r="L174" t="str">
            <v/>
          </cell>
          <cell r="M174" t="str">
            <v/>
          </cell>
          <cell r="N174" t="str">
            <v/>
          </cell>
          <cell r="O174" t="str">
            <v/>
          </cell>
          <cell r="P174" t="str">
            <v/>
          </cell>
          <cell r="Q174" t="str">
            <v/>
          </cell>
          <cell r="R174" t="str">
            <v/>
          </cell>
          <cell r="S174" t="str">
            <v/>
          </cell>
        </row>
        <row r="175">
          <cell r="F175" t="str">
            <v/>
          </cell>
          <cell r="G175" t="str">
            <v/>
          </cell>
          <cell r="H175" t="str">
            <v/>
          </cell>
          <cell r="I175" t="str">
            <v/>
          </cell>
          <cell r="J175" t="str">
            <v/>
          </cell>
          <cell r="K175" t="str">
            <v/>
          </cell>
          <cell r="L175" t="str">
            <v/>
          </cell>
          <cell r="M175" t="str">
            <v/>
          </cell>
          <cell r="N175" t="str">
            <v/>
          </cell>
          <cell r="O175" t="str">
            <v/>
          </cell>
          <cell r="P175" t="str">
            <v/>
          </cell>
          <cell r="Q175" t="str">
            <v/>
          </cell>
          <cell r="R175" t="str">
            <v/>
          </cell>
          <cell r="S175" t="str">
            <v/>
          </cell>
        </row>
        <row r="176">
          <cell r="F176" t="str">
            <v/>
          </cell>
          <cell r="G176" t="str">
            <v/>
          </cell>
          <cell r="H176" t="str">
            <v/>
          </cell>
          <cell r="I176" t="str">
            <v/>
          </cell>
          <cell r="J176" t="str">
            <v/>
          </cell>
          <cell r="K176" t="str">
            <v/>
          </cell>
          <cell r="L176" t="str">
            <v/>
          </cell>
          <cell r="M176" t="str">
            <v/>
          </cell>
          <cell r="N176" t="str">
            <v/>
          </cell>
          <cell r="O176" t="str">
            <v/>
          </cell>
          <cell r="P176" t="str">
            <v/>
          </cell>
          <cell r="Q176" t="str">
            <v/>
          </cell>
          <cell r="R176" t="str">
            <v/>
          </cell>
          <cell r="S176" t="str">
            <v/>
          </cell>
        </row>
        <row r="177">
          <cell r="F177" t="str">
            <v/>
          </cell>
          <cell r="G177" t="str">
            <v/>
          </cell>
          <cell r="H177" t="str">
            <v/>
          </cell>
          <cell r="I177" t="str">
            <v/>
          </cell>
          <cell r="J177" t="str">
            <v/>
          </cell>
          <cell r="K177" t="str">
            <v/>
          </cell>
          <cell r="L177" t="str">
            <v/>
          </cell>
          <cell r="M177" t="str">
            <v/>
          </cell>
          <cell r="N177" t="str">
            <v/>
          </cell>
          <cell r="O177" t="str">
            <v/>
          </cell>
          <cell r="P177" t="str">
            <v/>
          </cell>
          <cell r="Q177" t="str">
            <v/>
          </cell>
          <cell r="R177" t="str">
            <v/>
          </cell>
          <cell r="S177" t="str">
            <v/>
          </cell>
        </row>
        <row r="178">
          <cell r="F178" t="str">
            <v/>
          </cell>
          <cell r="G178" t="str">
            <v/>
          </cell>
          <cell r="H178" t="str">
            <v/>
          </cell>
          <cell r="I178" t="str">
            <v/>
          </cell>
          <cell r="J178" t="str">
            <v/>
          </cell>
          <cell r="K178" t="str">
            <v/>
          </cell>
          <cell r="L178" t="str">
            <v/>
          </cell>
          <cell r="M178" t="str">
            <v/>
          </cell>
          <cell r="N178" t="str">
            <v/>
          </cell>
          <cell r="O178" t="str">
            <v/>
          </cell>
          <cell r="P178" t="str">
            <v/>
          </cell>
          <cell r="Q178" t="str">
            <v/>
          </cell>
          <cell r="R178" t="str">
            <v/>
          </cell>
          <cell r="S178" t="str">
            <v/>
          </cell>
        </row>
        <row r="179">
          <cell r="F179" t="str">
            <v/>
          </cell>
          <cell r="G179" t="str">
            <v/>
          </cell>
          <cell r="H179" t="str">
            <v/>
          </cell>
          <cell r="I179" t="str">
            <v/>
          </cell>
          <cell r="J179" t="str">
            <v/>
          </cell>
          <cell r="K179" t="str">
            <v/>
          </cell>
          <cell r="L179" t="str">
            <v/>
          </cell>
          <cell r="M179" t="str">
            <v/>
          </cell>
          <cell r="N179" t="str">
            <v/>
          </cell>
          <cell r="O179" t="str">
            <v/>
          </cell>
          <cell r="P179" t="str">
            <v/>
          </cell>
          <cell r="Q179" t="str">
            <v/>
          </cell>
          <cell r="R179" t="str">
            <v/>
          </cell>
          <cell r="S179" t="str">
            <v/>
          </cell>
        </row>
        <row r="180">
          <cell r="F180" t="str">
            <v/>
          </cell>
          <cell r="G180" t="str">
            <v/>
          </cell>
          <cell r="H180" t="str">
            <v/>
          </cell>
          <cell r="I180" t="str">
            <v/>
          </cell>
          <cell r="J180" t="str">
            <v/>
          </cell>
          <cell r="K180" t="str">
            <v/>
          </cell>
          <cell r="L180" t="str">
            <v/>
          </cell>
          <cell r="M180" t="str">
            <v/>
          </cell>
          <cell r="N180" t="str">
            <v/>
          </cell>
          <cell r="O180" t="str">
            <v/>
          </cell>
          <cell r="P180" t="str">
            <v/>
          </cell>
          <cell r="Q180" t="str">
            <v/>
          </cell>
          <cell r="R180" t="str">
            <v/>
          </cell>
          <cell r="S180" t="str">
            <v/>
          </cell>
        </row>
        <row r="181">
          <cell r="F181" t="str">
            <v/>
          </cell>
          <cell r="G181" t="str">
            <v/>
          </cell>
          <cell r="H181" t="str">
            <v/>
          </cell>
          <cell r="I181" t="str">
            <v/>
          </cell>
          <cell r="J181" t="str">
            <v/>
          </cell>
          <cell r="K181" t="str">
            <v/>
          </cell>
          <cell r="L181" t="str">
            <v/>
          </cell>
          <cell r="M181" t="str">
            <v/>
          </cell>
          <cell r="N181" t="str">
            <v/>
          </cell>
          <cell r="O181" t="str">
            <v/>
          </cell>
          <cell r="P181" t="str">
            <v/>
          </cell>
          <cell r="Q181" t="str">
            <v/>
          </cell>
          <cell r="R181" t="str">
            <v/>
          </cell>
          <cell r="S181" t="str">
            <v/>
          </cell>
        </row>
        <row r="182">
          <cell r="F182" t="str">
            <v/>
          </cell>
          <cell r="G182" t="str">
            <v/>
          </cell>
          <cell r="H182" t="str">
            <v/>
          </cell>
          <cell r="I182" t="str">
            <v/>
          </cell>
          <cell r="J182" t="str">
            <v/>
          </cell>
          <cell r="K182" t="str">
            <v/>
          </cell>
          <cell r="L182" t="str">
            <v/>
          </cell>
          <cell r="M182" t="str">
            <v/>
          </cell>
          <cell r="N182" t="str">
            <v/>
          </cell>
          <cell r="O182" t="str">
            <v/>
          </cell>
          <cell r="P182" t="str">
            <v/>
          </cell>
          <cell r="Q182" t="str">
            <v/>
          </cell>
          <cell r="R182" t="str">
            <v/>
          </cell>
          <cell r="S182" t="str">
            <v/>
          </cell>
        </row>
        <row r="183">
          <cell r="F183" t="str">
            <v/>
          </cell>
          <cell r="G183" t="str">
            <v/>
          </cell>
          <cell r="H183" t="str">
            <v/>
          </cell>
          <cell r="I183" t="str">
            <v/>
          </cell>
          <cell r="J183" t="str">
            <v/>
          </cell>
          <cell r="K183" t="str">
            <v/>
          </cell>
          <cell r="L183" t="str">
            <v/>
          </cell>
          <cell r="M183" t="str">
            <v/>
          </cell>
          <cell r="N183" t="str">
            <v/>
          </cell>
          <cell r="O183" t="str">
            <v/>
          </cell>
          <cell r="P183" t="str">
            <v/>
          </cell>
          <cell r="Q183" t="str">
            <v/>
          </cell>
          <cell r="R183" t="str">
            <v/>
          </cell>
          <cell r="S183" t="str">
            <v/>
          </cell>
        </row>
        <row r="184">
          <cell r="F184" t="str">
            <v/>
          </cell>
          <cell r="G184" t="str">
            <v/>
          </cell>
          <cell r="H184" t="str">
            <v/>
          </cell>
          <cell r="I184" t="str">
            <v/>
          </cell>
          <cell r="J184" t="str">
            <v/>
          </cell>
          <cell r="K184" t="str">
            <v/>
          </cell>
          <cell r="L184" t="str">
            <v/>
          </cell>
          <cell r="M184" t="str">
            <v/>
          </cell>
          <cell r="N184" t="str">
            <v/>
          </cell>
          <cell r="O184" t="str">
            <v/>
          </cell>
          <cell r="P184" t="str">
            <v/>
          </cell>
          <cell r="Q184" t="str">
            <v/>
          </cell>
          <cell r="R184" t="str">
            <v/>
          </cell>
          <cell r="S184" t="str">
            <v/>
          </cell>
        </row>
        <row r="185">
          <cell r="F185" t="str">
            <v/>
          </cell>
          <cell r="G185" t="str">
            <v/>
          </cell>
          <cell r="H185" t="str">
            <v/>
          </cell>
          <cell r="I185" t="str">
            <v/>
          </cell>
          <cell r="J185" t="str">
            <v/>
          </cell>
          <cell r="K185" t="str">
            <v/>
          </cell>
          <cell r="L185" t="str">
            <v/>
          </cell>
          <cell r="M185" t="str">
            <v/>
          </cell>
          <cell r="N185" t="str">
            <v/>
          </cell>
          <cell r="O185" t="str">
            <v/>
          </cell>
          <cell r="P185" t="str">
            <v/>
          </cell>
          <cell r="Q185" t="str">
            <v/>
          </cell>
          <cell r="R185" t="str">
            <v/>
          </cell>
          <cell r="S185" t="str">
            <v/>
          </cell>
        </row>
        <row r="186">
          <cell r="F186" t="str">
            <v/>
          </cell>
          <cell r="G186" t="str">
            <v/>
          </cell>
          <cell r="H186" t="str">
            <v/>
          </cell>
          <cell r="I186" t="str">
            <v/>
          </cell>
          <cell r="J186" t="str">
            <v/>
          </cell>
          <cell r="K186" t="str">
            <v/>
          </cell>
          <cell r="L186" t="str">
            <v/>
          </cell>
          <cell r="M186" t="str">
            <v/>
          </cell>
          <cell r="N186" t="str">
            <v/>
          </cell>
          <cell r="O186" t="str">
            <v/>
          </cell>
          <cell r="P186" t="str">
            <v/>
          </cell>
          <cell r="Q186" t="str">
            <v/>
          </cell>
          <cell r="R186" t="str">
            <v/>
          </cell>
          <cell r="S186" t="str">
            <v/>
          </cell>
        </row>
        <row r="187">
          <cell r="F187" t="str">
            <v/>
          </cell>
          <cell r="G187" t="str">
            <v/>
          </cell>
          <cell r="H187" t="str">
            <v/>
          </cell>
          <cell r="I187" t="str">
            <v/>
          </cell>
          <cell r="J187" t="str">
            <v/>
          </cell>
          <cell r="K187" t="str">
            <v/>
          </cell>
          <cell r="L187" t="str">
            <v/>
          </cell>
          <cell r="M187" t="str">
            <v/>
          </cell>
          <cell r="N187" t="str">
            <v/>
          </cell>
          <cell r="O187" t="str">
            <v/>
          </cell>
          <cell r="P187" t="str">
            <v/>
          </cell>
          <cell r="Q187" t="str">
            <v/>
          </cell>
          <cell r="R187" t="str">
            <v/>
          </cell>
          <cell r="S187" t="str">
            <v/>
          </cell>
        </row>
        <row r="188">
          <cell r="F188" t="str">
            <v/>
          </cell>
          <cell r="G188" t="str">
            <v/>
          </cell>
          <cell r="H188" t="str">
            <v/>
          </cell>
          <cell r="I188" t="str">
            <v/>
          </cell>
          <cell r="J188" t="str">
            <v/>
          </cell>
          <cell r="K188" t="str">
            <v/>
          </cell>
          <cell r="L188" t="str">
            <v/>
          </cell>
          <cell r="M188" t="str">
            <v/>
          </cell>
          <cell r="N188" t="str">
            <v/>
          </cell>
          <cell r="O188" t="str">
            <v/>
          </cell>
          <cell r="P188" t="str">
            <v/>
          </cell>
          <cell r="Q188" t="str">
            <v/>
          </cell>
          <cell r="R188" t="str">
            <v/>
          </cell>
          <cell r="S188" t="str">
            <v/>
          </cell>
        </row>
        <row r="189">
          <cell r="F189" t="str">
            <v/>
          </cell>
          <cell r="G189" t="str">
            <v/>
          </cell>
          <cell r="H189" t="str">
            <v/>
          </cell>
          <cell r="I189" t="str">
            <v/>
          </cell>
          <cell r="J189" t="str">
            <v/>
          </cell>
          <cell r="K189" t="str">
            <v/>
          </cell>
          <cell r="L189" t="str">
            <v/>
          </cell>
          <cell r="M189" t="str">
            <v/>
          </cell>
          <cell r="N189" t="str">
            <v/>
          </cell>
          <cell r="O189" t="str">
            <v/>
          </cell>
          <cell r="P189" t="str">
            <v/>
          </cell>
          <cell r="Q189" t="str">
            <v/>
          </cell>
          <cell r="R189" t="str">
            <v/>
          </cell>
          <cell r="S189" t="str">
            <v/>
          </cell>
        </row>
        <row r="190">
          <cell r="F190" t="str">
            <v/>
          </cell>
          <cell r="G190" t="str">
            <v/>
          </cell>
          <cell r="H190" t="str">
            <v/>
          </cell>
          <cell r="I190" t="str">
            <v/>
          </cell>
          <cell r="J190" t="str">
            <v/>
          </cell>
          <cell r="K190" t="str">
            <v/>
          </cell>
          <cell r="L190" t="str">
            <v/>
          </cell>
          <cell r="M190" t="str">
            <v/>
          </cell>
          <cell r="N190" t="str">
            <v/>
          </cell>
          <cell r="O190" t="str">
            <v/>
          </cell>
          <cell r="P190" t="str">
            <v/>
          </cell>
          <cell r="Q190" t="str">
            <v/>
          </cell>
          <cell r="R190" t="str">
            <v/>
          </cell>
          <cell r="S190" t="str">
            <v/>
          </cell>
        </row>
        <row r="191">
          <cell r="F191" t="str">
            <v/>
          </cell>
          <cell r="G191" t="str">
            <v/>
          </cell>
          <cell r="H191" t="str">
            <v/>
          </cell>
          <cell r="I191" t="str">
            <v/>
          </cell>
          <cell r="J191" t="str">
            <v/>
          </cell>
          <cell r="K191" t="str">
            <v/>
          </cell>
          <cell r="L191" t="str">
            <v/>
          </cell>
          <cell r="M191" t="str">
            <v/>
          </cell>
          <cell r="N191" t="str">
            <v/>
          </cell>
          <cell r="O191" t="str">
            <v/>
          </cell>
          <cell r="P191" t="str">
            <v/>
          </cell>
          <cell r="Q191" t="str">
            <v/>
          </cell>
          <cell r="R191" t="str">
            <v/>
          </cell>
          <cell r="S191" t="str">
            <v/>
          </cell>
        </row>
        <row r="192">
          <cell r="F192" t="str">
            <v/>
          </cell>
          <cell r="G192" t="str">
            <v/>
          </cell>
          <cell r="H192" t="str">
            <v/>
          </cell>
          <cell r="I192" t="str">
            <v/>
          </cell>
          <cell r="J192" t="str">
            <v/>
          </cell>
          <cell r="K192" t="str">
            <v/>
          </cell>
          <cell r="L192" t="str">
            <v/>
          </cell>
          <cell r="M192" t="str">
            <v/>
          </cell>
          <cell r="N192" t="str">
            <v/>
          </cell>
          <cell r="O192" t="str">
            <v/>
          </cell>
          <cell r="P192" t="str">
            <v/>
          </cell>
          <cell r="Q192" t="str">
            <v/>
          </cell>
          <cell r="R192" t="str">
            <v/>
          </cell>
          <cell r="S192" t="str">
            <v/>
          </cell>
        </row>
        <row r="193">
          <cell r="F193" t="str">
            <v/>
          </cell>
          <cell r="G193" t="str">
            <v/>
          </cell>
          <cell r="H193" t="str">
            <v/>
          </cell>
          <cell r="I193" t="str">
            <v/>
          </cell>
          <cell r="J193" t="str">
            <v/>
          </cell>
          <cell r="K193" t="str">
            <v/>
          </cell>
          <cell r="L193" t="str">
            <v/>
          </cell>
          <cell r="M193" t="str">
            <v/>
          </cell>
          <cell r="N193" t="str">
            <v/>
          </cell>
          <cell r="O193" t="str">
            <v/>
          </cell>
          <cell r="P193" t="str">
            <v/>
          </cell>
          <cell r="Q193" t="str">
            <v/>
          </cell>
          <cell r="R193" t="str">
            <v/>
          </cell>
          <cell r="S193" t="str">
            <v/>
          </cell>
        </row>
        <row r="194">
          <cell r="F194" t="str">
            <v/>
          </cell>
          <cell r="G194" t="str">
            <v/>
          </cell>
          <cell r="H194" t="str">
            <v/>
          </cell>
          <cell r="I194" t="str">
            <v/>
          </cell>
          <cell r="J194" t="str">
            <v/>
          </cell>
          <cell r="K194" t="str">
            <v/>
          </cell>
          <cell r="L194" t="str">
            <v/>
          </cell>
          <cell r="M194" t="str">
            <v/>
          </cell>
          <cell r="N194" t="str">
            <v/>
          </cell>
          <cell r="O194" t="str">
            <v/>
          </cell>
          <cell r="P194" t="str">
            <v/>
          </cell>
          <cell r="Q194" t="str">
            <v/>
          </cell>
          <cell r="R194" t="str">
            <v/>
          </cell>
          <cell r="S194" t="str">
            <v/>
          </cell>
        </row>
        <row r="195">
          <cell r="F195" t="str">
            <v/>
          </cell>
          <cell r="G195" t="str">
            <v/>
          </cell>
          <cell r="H195" t="str">
            <v/>
          </cell>
          <cell r="I195" t="str">
            <v/>
          </cell>
          <cell r="J195" t="str">
            <v/>
          </cell>
          <cell r="K195" t="str">
            <v/>
          </cell>
          <cell r="L195" t="str">
            <v/>
          </cell>
          <cell r="M195" t="str">
            <v/>
          </cell>
          <cell r="N195" t="str">
            <v/>
          </cell>
          <cell r="O195" t="str">
            <v/>
          </cell>
          <cell r="P195" t="str">
            <v/>
          </cell>
          <cell r="Q195" t="str">
            <v/>
          </cell>
          <cell r="R195" t="str">
            <v/>
          </cell>
          <cell r="S195" t="str">
            <v/>
          </cell>
        </row>
        <row r="196">
          <cell r="F196" t="str">
            <v/>
          </cell>
          <cell r="G196" t="str">
            <v/>
          </cell>
          <cell r="H196" t="str">
            <v/>
          </cell>
          <cell r="I196" t="str">
            <v/>
          </cell>
          <cell r="J196" t="str">
            <v/>
          </cell>
          <cell r="K196" t="str">
            <v/>
          </cell>
          <cell r="L196" t="str">
            <v/>
          </cell>
          <cell r="M196" t="str">
            <v/>
          </cell>
          <cell r="N196" t="str">
            <v/>
          </cell>
          <cell r="O196" t="str">
            <v/>
          </cell>
          <cell r="P196" t="str">
            <v/>
          </cell>
          <cell r="Q196" t="str">
            <v/>
          </cell>
          <cell r="R196" t="str">
            <v/>
          </cell>
          <cell r="S196" t="str">
            <v/>
          </cell>
        </row>
        <row r="197">
          <cell r="F197" t="str">
            <v/>
          </cell>
          <cell r="G197" t="str">
            <v/>
          </cell>
          <cell r="H197" t="str">
            <v/>
          </cell>
          <cell r="I197" t="str">
            <v/>
          </cell>
          <cell r="J197" t="str">
            <v/>
          </cell>
          <cell r="K197" t="str">
            <v/>
          </cell>
          <cell r="L197" t="str">
            <v/>
          </cell>
          <cell r="M197" t="str">
            <v/>
          </cell>
          <cell r="N197" t="str">
            <v/>
          </cell>
          <cell r="O197" t="str">
            <v/>
          </cell>
          <cell r="P197" t="str">
            <v/>
          </cell>
          <cell r="Q197" t="str">
            <v/>
          </cell>
          <cell r="R197" t="str">
            <v/>
          </cell>
          <cell r="S197" t="str">
            <v/>
          </cell>
        </row>
        <row r="198">
          <cell r="F198" t="str">
            <v/>
          </cell>
          <cell r="G198" t="str">
            <v/>
          </cell>
          <cell r="H198" t="str">
            <v/>
          </cell>
          <cell r="I198" t="str">
            <v/>
          </cell>
          <cell r="J198" t="str">
            <v/>
          </cell>
          <cell r="K198" t="str">
            <v/>
          </cell>
          <cell r="L198" t="str">
            <v/>
          </cell>
          <cell r="M198" t="str">
            <v/>
          </cell>
          <cell r="N198" t="str">
            <v/>
          </cell>
          <cell r="O198" t="str">
            <v/>
          </cell>
          <cell r="P198" t="str">
            <v/>
          </cell>
          <cell r="Q198" t="str">
            <v/>
          </cell>
          <cell r="R198" t="str">
            <v/>
          </cell>
          <cell r="S198" t="str">
            <v/>
          </cell>
        </row>
        <row r="199">
          <cell r="F199" t="str">
            <v/>
          </cell>
          <cell r="G199" t="str">
            <v/>
          </cell>
          <cell r="H199" t="str">
            <v/>
          </cell>
          <cell r="I199" t="str">
            <v/>
          </cell>
          <cell r="J199" t="str">
            <v/>
          </cell>
          <cell r="K199" t="str">
            <v/>
          </cell>
          <cell r="L199" t="str">
            <v/>
          </cell>
          <cell r="M199" t="str">
            <v/>
          </cell>
          <cell r="N199" t="str">
            <v/>
          </cell>
          <cell r="O199" t="str">
            <v/>
          </cell>
          <cell r="P199" t="str">
            <v/>
          </cell>
          <cell r="Q199" t="str">
            <v/>
          </cell>
          <cell r="R199" t="str">
            <v/>
          </cell>
          <cell r="S199" t="str">
            <v/>
          </cell>
        </row>
        <row r="200">
          <cell r="F200" t="str">
            <v/>
          </cell>
          <cell r="G200" t="str">
            <v/>
          </cell>
          <cell r="H200" t="str">
            <v/>
          </cell>
          <cell r="I200" t="str">
            <v/>
          </cell>
          <cell r="J200" t="str">
            <v/>
          </cell>
          <cell r="K200" t="str">
            <v/>
          </cell>
          <cell r="L200" t="str">
            <v/>
          </cell>
          <cell r="M200" t="str">
            <v/>
          </cell>
          <cell r="N200" t="str">
            <v/>
          </cell>
          <cell r="O200" t="str">
            <v/>
          </cell>
          <cell r="P200" t="str">
            <v/>
          </cell>
          <cell r="Q200" t="str">
            <v/>
          </cell>
          <cell r="R200" t="str">
            <v/>
          </cell>
          <cell r="S200" t="str">
            <v/>
          </cell>
        </row>
        <row r="201">
          <cell r="F201" t="str">
            <v/>
          </cell>
          <cell r="G201" t="str">
            <v/>
          </cell>
          <cell r="H201" t="str">
            <v/>
          </cell>
          <cell r="I201" t="str">
            <v/>
          </cell>
          <cell r="J201" t="str">
            <v/>
          </cell>
          <cell r="K201" t="str">
            <v/>
          </cell>
          <cell r="L201" t="str">
            <v/>
          </cell>
          <cell r="M201" t="str">
            <v/>
          </cell>
          <cell r="N201" t="str">
            <v/>
          </cell>
          <cell r="O201" t="str">
            <v/>
          </cell>
          <cell r="P201" t="str">
            <v/>
          </cell>
          <cell r="Q201" t="str">
            <v/>
          </cell>
          <cell r="R201" t="str">
            <v/>
          </cell>
          <cell r="S201" t="str">
            <v/>
          </cell>
        </row>
        <row r="202">
          <cell r="F202" t="str">
            <v/>
          </cell>
          <cell r="G202" t="str">
            <v/>
          </cell>
          <cell r="H202" t="str">
            <v/>
          </cell>
          <cell r="I202" t="str">
            <v/>
          </cell>
          <cell r="J202" t="str">
            <v/>
          </cell>
          <cell r="K202" t="str">
            <v/>
          </cell>
          <cell r="L202" t="str">
            <v/>
          </cell>
          <cell r="M202" t="str">
            <v/>
          </cell>
          <cell r="N202" t="str">
            <v/>
          </cell>
          <cell r="O202" t="str">
            <v/>
          </cell>
          <cell r="P202" t="str">
            <v/>
          </cell>
          <cell r="Q202" t="str">
            <v/>
          </cell>
          <cell r="R202" t="str">
            <v/>
          </cell>
          <cell r="S202" t="str">
            <v/>
          </cell>
        </row>
        <row r="203">
          <cell r="F203" t="str">
            <v/>
          </cell>
          <cell r="G203" t="str">
            <v/>
          </cell>
          <cell r="H203" t="str">
            <v/>
          </cell>
          <cell r="I203" t="str">
            <v/>
          </cell>
          <cell r="J203" t="str">
            <v/>
          </cell>
          <cell r="K203" t="str">
            <v/>
          </cell>
          <cell r="L203" t="str">
            <v/>
          </cell>
          <cell r="M203" t="str">
            <v/>
          </cell>
          <cell r="N203" t="str">
            <v/>
          </cell>
          <cell r="O203" t="str">
            <v/>
          </cell>
          <cell r="P203" t="str">
            <v/>
          </cell>
          <cell r="Q203" t="str">
            <v/>
          </cell>
          <cell r="R203" t="str">
            <v/>
          </cell>
          <cell r="S203" t="str">
            <v/>
          </cell>
        </row>
        <row r="204">
          <cell r="F204" t="str">
            <v/>
          </cell>
          <cell r="G204" t="str">
            <v/>
          </cell>
          <cell r="H204" t="str">
            <v/>
          </cell>
          <cell r="I204" t="str">
            <v/>
          </cell>
          <cell r="J204" t="str">
            <v/>
          </cell>
          <cell r="K204" t="str">
            <v/>
          </cell>
          <cell r="L204" t="str">
            <v/>
          </cell>
          <cell r="M204" t="str">
            <v/>
          </cell>
          <cell r="N204" t="str">
            <v/>
          </cell>
          <cell r="O204" t="str">
            <v/>
          </cell>
          <cell r="P204" t="str">
            <v/>
          </cell>
          <cell r="Q204" t="str">
            <v/>
          </cell>
          <cell r="R204" t="str">
            <v/>
          </cell>
          <cell r="S204" t="str">
            <v/>
          </cell>
        </row>
        <row r="205">
          <cell r="F205" t="str">
            <v/>
          </cell>
          <cell r="G205" t="str">
            <v/>
          </cell>
          <cell r="H205" t="str">
            <v/>
          </cell>
          <cell r="I205" t="str">
            <v/>
          </cell>
          <cell r="J205" t="str">
            <v/>
          </cell>
          <cell r="K205" t="str">
            <v/>
          </cell>
          <cell r="L205" t="str">
            <v/>
          </cell>
          <cell r="M205" t="str">
            <v/>
          </cell>
          <cell r="N205" t="str">
            <v/>
          </cell>
          <cell r="O205" t="str">
            <v/>
          </cell>
          <cell r="P205" t="str">
            <v/>
          </cell>
          <cell r="Q205" t="str">
            <v/>
          </cell>
          <cell r="R205" t="str">
            <v/>
          </cell>
          <cell r="S205" t="str">
            <v/>
          </cell>
        </row>
        <row r="206">
          <cell r="F206" t="str">
            <v/>
          </cell>
          <cell r="G206" t="str">
            <v/>
          </cell>
          <cell r="H206" t="str">
            <v/>
          </cell>
          <cell r="I206" t="str">
            <v/>
          </cell>
          <cell r="J206" t="str">
            <v/>
          </cell>
          <cell r="K206" t="str">
            <v/>
          </cell>
          <cell r="L206" t="str">
            <v/>
          </cell>
          <cell r="M206" t="str">
            <v/>
          </cell>
          <cell r="N206" t="str">
            <v/>
          </cell>
          <cell r="O206" t="str">
            <v/>
          </cell>
          <cell r="P206" t="str">
            <v/>
          </cell>
          <cell r="Q206" t="str">
            <v/>
          </cell>
          <cell r="R206" t="str">
            <v/>
          </cell>
          <cell r="S206" t="str">
            <v/>
          </cell>
        </row>
        <row r="207">
          <cell r="F207" t="str">
            <v/>
          </cell>
          <cell r="G207" t="str">
            <v/>
          </cell>
          <cell r="H207" t="str">
            <v/>
          </cell>
          <cell r="I207" t="str">
            <v/>
          </cell>
          <cell r="J207" t="str">
            <v/>
          </cell>
          <cell r="K207" t="str">
            <v/>
          </cell>
          <cell r="L207" t="str">
            <v/>
          </cell>
          <cell r="M207" t="str">
            <v/>
          </cell>
          <cell r="N207" t="str">
            <v/>
          </cell>
          <cell r="O207" t="str">
            <v/>
          </cell>
          <cell r="P207" t="str">
            <v/>
          </cell>
          <cell r="Q207" t="str">
            <v/>
          </cell>
          <cell r="R207" t="str">
            <v/>
          </cell>
          <cell r="S207" t="str">
            <v/>
          </cell>
        </row>
        <row r="208">
          <cell r="F208" t="str">
            <v/>
          </cell>
          <cell r="G208" t="str">
            <v/>
          </cell>
          <cell r="H208" t="str">
            <v/>
          </cell>
          <cell r="I208" t="str">
            <v/>
          </cell>
          <cell r="J208" t="str">
            <v/>
          </cell>
          <cell r="K208" t="str">
            <v/>
          </cell>
          <cell r="L208" t="str">
            <v/>
          </cell>
          <cell r="M208" t="str">
            <v/>
          </cell>
          <cell r="N208" t="str">
            <v/>
          </cell>
          <cell r="O208" t="str">
            <v/>
          </cell>
          <cell r="P208" t="str">
            <v/>
          </cell>
          <cell r="Q208" t="str">
            <v/>
          </cell>
          <cell r="R208" t="str">
            <v/>
          </cell>
          <cell r="S208" t="str">
            <v/>
          </cell>
        </row>
        <row r="209">
          <cell r="F209" t="str">
            <v/>
          </cell>
          <cell r="G209" t="str">
            <v/>
          </cell>
          <cell r="H209" t="str">
            <v/>
          </cell>
          <cell r="I209" t="str">
            <v/>
          </cell>
          <cell r="J209" t="str">
            <v/>
          </cell>
          <cell r="K209" t="str">
            <v/>
          </cell>
          <cell r="L209" t="str">
            <v/>
          </cell>
          <cell r="M209" t="str">
            <v/>
          </cell>
          <cell r="N209" t="str">
            <v/>
          </cell>
          <cell r="O209" t="str">
            <v/>
          </cell>
          <cell r="P209" t="str">
            <v/>
          </cell>
          <cell r="Q209" t="str">
            <v/>
          </cell>
          <cell r="R209" t="str">
            <v/>
          </cell>
          <cell r="S209" t="str">
            <v/>
          </cell>
        </row>
        <row r="210">
          <cell r="F210" t="str">
            <v/>
          </cell>
          <cell r="G210" t="str">
            <v/>
          </cell>
          <cell r="H210" t="str">
            <v/>
          </cell>
          <cell r="I210" t="str">
            <v/>
          </cell>
          <cell r="J210" t="str">
            <v/>
          </cell>
          <cell r="K210" t="str">
            <v/>
          </cell>
          <cell r="L210" t="str">
            <v/>
          </cell>
          <cell r="M210" t="str">
            <v/>
          </cell>
          <cell r="N210" t="str">
            <v/>
          </cell>
          <cell r="O210" t="str">
            <v/>
          </cell>
          <cell r="P210" t="str">
            <v/>
          </cell>
          <cell r="Q210" t="str">
            <v/>
          </cell>
          <cell r="R210" t="str">
            <v/>
          </cell>
          <cell r="S210" t="str">
            <v/>
          </cell>
        </row>
        <row r="211">
          <cell r="F211" t="str">
            <v/>
          </cell>
          <cell r="G211" t="str">
            <v/>
          </cell>
          <cell r="H211" t="str">
            <v/>
          </cell>
          <cell r="I211" t="str">
            <v/>
          </cell>
          <cell r="J211" t="str">
            <v/>
          </cell>
          <cell r="K211" t="str">
            <v/>
          </cell>
          <cell r="L211" t="str">
            <v/>
          </cell>
          <cell r="M211" t="str">
            <v/>
          </cell>
          <cell r="N211" t="str">
            <v/>
          </cell>
          <cell r="O211" t="str">
            <v/>
          </cell>
          <cell r="P211" t="str">
            <v/>
          </cell>
          <cell r="Q211" t="str">
            <v/>
          </cell>
          <cell r="R211" t="str">
            <v/>
          </cell>
          <cell r="S211" t="str">
            <v/>
          </cell>
        </row>
        <row r="212">
          <cell r="F212" t="str">
            <v/>
          </cell>
          <cell r="G212" t="str">
            <v/>
          </cell>
          <cell r="H212" t="str">
            <v/>
          </cell>
          <cell r="I212" t="str">
            <v/>
          </cell>
          <cell r="J212" t="str">
            <v/>
          </cell>
          <cell r="K212" t="str">
            <v/>
          </cell>
          <cell r="L212" t="str">
            <v/>
          </cell>
          <cell r="M212" t="str">
            <v/>
          </cell>
          <cell r="N212" t="str">
            <v/>
          </cell>
          <cell r="O212" t="str">
            <v/>
          </cell>
          <cell r="P212" t="str">
            <v/>
          </cell>
          <cell r="Q212" t="str">
            <v/>
          </cell>
          <cell r="R212" t="str">
            <v/>
          </cell>
          <cell r="S212" t="str">
            <v/>
          </cell>
        </row>
        <row r="213">
          <cell r="F213" t="str">
            <v/>
          </cell>
          <cell r="G213" t="str">
            <v/>
          </cell>
          <cell r="H213" t="str">
            <v/>
          </cell>
          <cell r="I213" t="str">
            <v/>
          </cell>
          <cell r="J213" t="str">
            <v/>
          </cell>
          <cell r="K213" t="str">
            <v/>
          </cell>
          <cell r="L213" t="str">
            <v/>
          </cell>
          <cell r="M213" t="str">
            <v/>
          </cell>
          <cell r="N213" t="str">
            <v/>
          </cell>
          <cell r="O213" t="str">
            <v/>
          </cell>
          <cell r="P213" t="str">
            <v/>
          </cell>
          <cell r="Q213" t="str">
            <v/>
          </cell>
          <cell r="R213" t="str">
            <v/>
          </cell>
          <cell r="S213" t="str">
            <v/>
          </cell>
        </row>
        <row r="214">
          <cell r="F214" t="str">
            <v/>
          </cell>
          <cell r="G214" t="str">
            <v/>
          </cell>
          <cell r="H214" t="str">
            <v/>
          </cell>
          <cell r="I214" t="str">
            <v/>
          </cell>
          <cell r="J214" t="str">
            <v/>
          </cell>
          <cell r="K214" t="str">
            <v/>
          </cell>
          <cell r="L214" t="str">
            <v/>
          </cell>
          <cell r="M214" t="str">
            <v/>
          </cell>
          <cell r="N214" t="str">
            <v/>
          </cell>
          <cell r="O214" t="str">
            <v/>
          </cell>
          <cell r="P214" t="str">
            <v/>
          </cell>
          <cell r="Q214" t="str">
            <v/>
          </cell>
          <cell r="R214" t="str">
            <v/>
          </cell>
          <cell r="S214" t="str">
            <v/>
          </cell>
        </row>
        <row r="215">
          <cell r="F215" t="str">
            <v/>
          </cell>
          <cell r="G215" t="str">
            <v/>
          </cell>
          <cell r="H215" t="str">
            <v/>
          </cell>
          <cell r="I215" t="str">
            <v/>
          </cell>
          <cell r="J215" t="str">
            <v/>
          </cell>
          <cell r="K215" t="str">
            <v/>
          </cell>
          <cell r="L215" t="str">
            <v/>
          </cell>
          <cell r="M215" t="str">
            <v/>
          </cell>
          <cell r="N215" t="str">
            <v/>
          </cell>
          <cell r="O215" t="str">
            <v/>
          </cell>
          <cell r="P215" t="str">
            <v/>
          </cell>
          <cell r="Q215" t="str">
            <v/>
          </cell>
          <cell r="R215" t="str">
            <v/>
          </cell>
          <cell r="S215" t="str">
            <v/>
          </cell>
        </row>
        <row r="216">
          <cell r="F216" t="str">
            <v/>
          </cell>
          <cell r="G216" t="str">
            <v/>
          </cell>
          <cell r="H216" t="str">
            <v/>
          </cell>
          <cell r="I216" t="str">
            <v/>
          </cell>
          <cell r="J216" t="str">
            <v/>
          </cell>
          <cell r="K216" t="str">
            <v/>
          </cell>
          <cell r="L216" t="str">
            <v/>
          </cell>
          <cell r="M216" t="str">
            <v/>
          </cell>
          <cell r="N216" t="str">
            <v/>
          </cell>
          <cell r="O216" t="str">
            <v/>
          </cell>
          <cell r="P216" t="str">
            <v/>
          </cell>
          <cell r="Q216" t="str">
            <v/>
          </cell>
          <cell r="R216" t="str">
            <v/>
          </cell>
          <cell r="S216" t="str">
            <v/>
          </cell>
        </row>
        <row r="217">
          <cell r="F217" t="str">
            <v/>
          </cell>
          <cell r="G217" t="str">
            <v/>
          </cell>
          <cell r="H217" t="str">
            <v/>
          </cell>
          <cell r="I217" t="str">
            <v/>
          </cell>
          <cell r="J217" t="str">
            <v/>
          </cell>
          <cell r="K217" t="str">
            <v/>
          </cell>
          <cell r="L217" t="str">
            <v/>
          </cell>
          <cell r="M217" t="str">
            <v/>
          </cell>
          <cell r="N217" t="str">
            <v/>
          </cell>
          <cell r="O217" t="str">
            <v/>
          </cell>
          <cell r="P217" t="str">
            <v/>
          </cell>
          <cell r="Q217" t="str">
            <v/>
          </cell>
          <cell r="R217" t="str">
            <v/>
          </cell>
          <cell r="S217" t="str">
            <v/>
          </cell>
        </row>
        <row r="218">
          <cell r="F218" t="str">
            <v/>
          </cell>
          <cell r="G218" t="str">
            <v/>
          </cell>
          <cell r="H218" t="str">
            <v/>
          </cell>
          <cell r="I218" t="str">
            <v/>
          </cell>
          <cell r="J218" t="str">
            <v/>
          </cell>
          <cell r="K218" t="str">
            <v/>
          </cell>
          <cell r="L218" t="str">
            <v/>
          </cell>
          <cell r="M218" t="str">
            <v/>
          </cell>
          <cell r="N218" t="str">
            <v/>
          </cell>
          <cell r="O218" t="str">
            <v/>
          </cell>
          <cell r="P218" t="str">
            <v/>
          </cell>
          <cell r="Q218" t="str">
            <v/>
          </cell>
          <cell r="R218" t="str">
            <v/>
          </cell>
          <cell r="S218" t="str">
            <v/>
          </cell>
        </row>
        <row r="219">
          <cell r="F219" t="str">
            <v/>
          </cell>
          <cell r="G219" t="str">
            <v/>
          </cell>
          <cell r="H219" t="str">
            <v/>
          </cell>
          <cell r="I219" t="str">
            <v/>
          </cell>
          <cell r="J219" t="str">
            <v/>
          </cell>
          <cell r="K219" t="str">
            <v/>
          </cell>
          <cell r="L219" t="str">
            <v/>
          </cell>
          <cell r="M219" t="str">
            <v/>
          </cell>
          <cell r="N219" t="str">
            <v/>
          </cell>
          <cell r="O219" t="str">
            <v/>
          </cell>
          <cell r="P219" t="str">
            <v/>
          </cell>
          <cell r="Q219" t="str">
            <v/>
          </cell>
          <cell r="R219" t="str">
            <v/>
          </cell>
          <cell r="S219" t="str">
            <v/>
          </cell>
        </row>
        <row r="220">
          <cell r="F220" t="str">
            <v/>
          </cell>
          <cell r="G220" t="str">
            <v/>
          </cell>
          <cell r="H220" t="str">
            <v/>
          </cell>
          <cell r="I220" t="str">
            <v/>
          </cell>
          <cell r="J220" t="str">
            <v/>
          </cell>
          <cell r="K220" t="str">
            <v/>
          </cell>
          <cell r="L220" t="str">
            <v/>
          </cell>
          <cell r="M220" t="str">
            <v/>
          </cell>
          <cell r="N220" t="str">
            <v/>
          </cell>
          <cell r="O220" t="str">
            <v/>
          </cell>
          <cell r="P220" t="str">
            <v/>
          </cell>
          <cell r="Q220" t="str">
            <v/>
          </cell>
          <cell r="R220" t="str">
            <v/>
          </cell>
          <cell r="S220" t="str">
            <v/>
          </cell>
        </row>
        <row r="221">
          <cell r="F221" t="str">
            <v/>
          </cell>
          <cell r="G221" t="str">
            <v/>
          </cell>
          <cell r="H221" t="str">
            <v/>
          </cell>
          <cell r="I221" t="str">
            <v/>
          </cell>
          <cell r="J221" t="str">
            <v/>
          </cell>
          <cell r="K221" t="str">
            <v/>
          </cell>
          <cell r="L221" t="str">
            <v/>
          </cell>
          <cell r="M221" t="str">
            <v/>
          </cell>
          <cell r="N221" t="str">
            <v/>
          </cell>
          <cell r="O221" t="str">
            <v/>
          </cell>
          <cell r="P221" t="str">
            <v/>
          </cell>
          <cell r="Q221" t="str">
            <v/>
          </cell>
          <cell r="R221" t="str">
            <v/>
          </cell>
          <cell r="S221" t="str">
            <v/>
          </cell>
        </row>
        <row r="222">
          <cell r="F222" t="str">
            <v/>
          </cell>
          <cell r="G222" t="str">
            <v/>
          </cell>
          <cell r="H222" t="str">
            <v/>
          </cell>
          <cell r="I222" t="str">
            <v/>
          </cell>
          <cell r="J222" t="str">
            <v/>
          </cell>
          <cell r="K222" t="str">
            <v/>
          </cell>
          <cell r="L222" t="str">
            <v/>
          </cell>
          <cell r="M222" t="str">
            <v/>
          </cell>
          <cell r="N222" t="str">
            <v/>
          </cell>
          <cell r="O222" t="str">
            <v/>
          </cell>
          <cell r="P222" t="str">
            <v/>
          </cell>
          <cell r="Q222" t="str">
            <v/>
          </cell>
          <cell r="R222" t="str">
            <v/>
          </cell>
          <cell r="S222" t="str">
            <v/>
          </cell>
        </row>
        <row r="223">
          <cell r="F223" t="str">
            <v/>
          </cell>
          <cell r="G223" t="str">
            <v/>
          </cell>
          <cell r="H223" t="str">
            <v/>
          </cell>
          <cell r="I223" t="str">
            <v/>
          </cell>
          <cell r="J223" t="str">
            <v/>
          </cell>
          <cell r="K223" t="str">
            <v/>
          </cell>
          <cell r="L223" t="str">
            <v/>
          </cell>
          <cell r="M223" t="str">
            <v/>
          </cell>
          <cell r="N223" t="str">
            <v/>
          </cell>
          <cell r="O223" t="str">
            <v/>
          </cell>
          <cell r="P223" t="str">
            <v/>
          </cell>
          <cell r="Q223" t="str">
            <v/>
          </cell>
          <cell r="R223" t="str">
            <v/>
          </cell>
          <cell r="S223" t="str">
            <v/>
          </cell>
        </row>
        <row r="224">
          <cell r="F224" t="str">
            <v/>
          </cell>
          <cell r="G224" t="str">
            <v/>
          </cell>
          <cell r="H224" t="str">
            <v/>
          </cell>
          <cell r="I224" t="str">
            <v/>
          </cell>
          <cell r="J224" t="str">
            <v/>
          </cell>
          <cell r="K224" t="str">
            <v/>
          </cell>
          <cell r="L224" t="str">
            <v/>
          </cell>
          <cell r="M224" t="str">
            <v/>
          </cell>
          <cell r="N224" t="str">
            <v/>
          </cell>
          <cell r="O224" t="str">
            <v/>
          </cell>
          <cell r="P224" t="str">
            <v/>
          </cell>
          <cell r="Q224" t="str">
            <v/>
          </cell>
          <cell r="R224" t="str">
            <v/>
          </cell>
          <cell r="S224" t="str">
            <v/>
          </cell>
        </row>
        <row r="225">
          <cell r="F225" t="str">
            <v/>
          </cell>
          <cell r="G225" t="str">
            <v/>
          </cell>
          <cell r="H225" t="str">
            <v/>
          </cell>
          <cell r="I225" t="str">
            <v/>
          </cell>
          <cell r="J225" t="str">
            <v/>
          </cell>
          <cell r="K225" t="str">
            <v/>
          </cell>
          <cell r="L225" t="str">
            <v/>
          </cell>
          <cell r="M225" t="str">
            <v/>
          </cell>
          <cell r="N225" t="str">
            <v/>
          </cell>
          <cell r="O225" t="str">
            <v/>
          </cell>
          <cell r="P225" t="str">
            <v/>
          </cell>
          <cell r="Q225" t="str">
            <v/>
          </cell>
          <cell r="R225" t="str">
            <v/>
          </cell>
          <cell r="S225" t="str">
            <v/>
          </cell>
        </row>
        <row r="226">
          <cell r="F226" t="str">
            <v/>
          </cell>
          <cell r="G226" t="str">
            <v/>
          </cell>
          <cell r="H226" t="str">
            <v/>
          </cell>
          <cell r="I226" t="str">
            <v/>
          </cell>
          <cell r="J226" t="str">
            <v/>
          </cell>
          <cell r="K226" t="str">
            <v/>
          </cell>
          <cell r="L226" t="str">
            <v/>
          </cell>
          <cell r="M226" t="str">
            <v/>
          </cell>
          <cell r="N226" t="str">
            <v/>
          </cell>
          <cell r="O226" t="str">
            <v/>
          </cell>
          <cell r="P226" t="str">
            <v/>
          </cell>
          <cell r="Q226" t="str">
            <v/>
          </cell>
          <cell r="R226" t="str">
            <v/>
          </cell>
          <cell r="S226" t="str">
            <v/>
          </cell>
        </row>
        <row r="227">
          <cell r="F227" t="str">
            <v/>
          </cell>
          <cell r="G227" t="str">
            <v/>
          </cell>
          <cell r="H227" t="str">
            <v/>
          </cell>
          <cell r="I227" t="str">
            <v/>
          </cell>
          <cell r="J227" t="str">
            <v/>
          </cell>
          <cell r="K227" t="str">
            <v/>
          </cell>
          <cell r="L227" t="str">
            <v/>
          </cell>
          <cell r="M227" t="str">
            <v/>
          </cell>
          <cell r="N227" t="str">
            <v/>
          </cell>
          <cell r="O227" t="str">
            <v/>
          </cell>
          <cell r="P227" t="str">
            <v/>
          </cell>
          <cell r="Q227" t="str">
            <v/>
          </cell>
          <cell r="R227" t="str">
            <v/>
          </cell>
          <cell r="S227" t="str">
            <v/>
          </cell>
        </row>
        <row r="228">
          <cell r="F228" t="str">
            <v/>
          </cell>
          <cell r="G228" t="str">
            <v/>
          </cell>
          <cell r="H228" t="str">
            <v/>
          </cell>
          <cell r="I228" t="str">
            <v/>
          </cell>
          <cell r="J228" t="str">
            <v/>
          </cell>
          <cell r="K228" t="str">
            <v/>
          </cell>
          <cell r="L228" t="str">
            <v/>
          </cell>
          <cell r="M228" t="str">
            <v/>
          </cell>
          <cell r="N228" t="str">
            <v/>
          </cell>
          <cell r="O228" t="str">
            <v/>
          </cell>
          <cell r="P228" t="str">
            <v/>
          </cell>
          <cell r="Q228" t="str">
            <v/>
          </cell>
          <cell r="R228" t="str">
            <v/>
          </cell>
          <cell r="S228" t="str">
            <v/>
          </cell>
        </row>
        <row r="229">
          <cell r="F229" t="str">
            <v/>
          </cell>
          <cell r="G229" t="str">
            <v/>
          </cell>
          <cell r="H229" t="str">
            <v/>
          </cell>
          <cell r="I229" t="str">
            <v/>
          </cell>
          <cell r="J229" t="str">
            <v/>
          </cell>
          <cell r="K229" t="str">
            <v/>
          </cell>
          <cell r="L229" t="str">
            <v/>
          </cell>
          <cell r="M229" t="str">
            <v/>
          </cell>
          <cell r="N229" t="str">
            <v/>
          </cell>
          <cell r="O229" t="str">
            <v/>
          </cell>
          <cell r="P229" t="str">
            <v/>
          </cell>
          <cell r="Q229" t="str">
            <v/>
          </cell>
          <cell r="R229" t="str">
            <v/>
          </cell>
          <cell r="S229" t="str">
            <v/>
          </cell>
        </row>
        <row r="230">
          <cell r="F230" t="str">
            <v/>
          </cell>
          <cell r="G230" t="str">
            <v/>
          </cell>
          <cell r="H230" t="str">
            <v/>
          </cell>
          <cell r="I230" t="str">
            <v/>
          </cell>
          <cell r="J230" t="str">
            <v/>
          </cell>
          <cell r="K230" t="str">
            <v/>
          </cell>
          <cell r="L230" t="str">
            <v/>
          </cell>
          <cell r="M230" t="str">
            <v/>
          </cell>
          <cell r="N230" t="str">
            <v/>
          </cell>
          <cell r="O230" t="str">
            <v/>
          </cell>
          <cell r="P230" t="str">
            <v/>
          </cell>
          <cell r="Q230" t="str">
            <v/>
          </cell>
          <cell r="R230" t="str">
            <v/>
          </cell>
          <cell r="S230" t="str">
            <v/>
          </cell>
        </row>
        <row r="231">
          <cell r="F231" t="str">
            <v/>
          </cell>
          <cell r="G231" t="str">
            <v/>
          </cell>
          <cell r="H231" t="str">
            <v/>
          </cell>
          <cell r="I231" t="str">
            <v/>
          </cell>
          <cell r="J231" t="str">
            <v/>
          </cell>
          <cell r="K231" t="str">
            <v/>
          </cell>
          <cell r="L231" t="str">
            <v/>
          </cell>
          <cell r="M231" t="str">
            <v/>
          </cell>
          <cell r="N231" t="str">
            <v/>
          </cell>
          <cell r="O231" t="str">
            <v/>
          </cell>
          <cell r="P231" t="str">
            <v/>
          </cell>
          <cell r="Q231" t="str">
            <v/>
          </cell>
          <cell r="R231" t="str">
            <v/>
          </cell>
          <cell r="S231" t="str">
            <v/>
          </cell>
        </row>
        <row r="232">
          <cell r="F232" t="str">
            <v/>
          </cell>
          <cell r="G232" t="str">
            <v/>
          </cell>
          <cell r="H232" t="str">
            <v/>
          </cell>
          <cell r="I232" t="str">
            <v/>
          </cell>
          <cell r="J232" t="str">
            <v/>
          </cell>
          <cell r="K232" t="str">
            <v/>
          </cell>
          <cell r="L232" t="str">
            <v/>
          </cell>
          <cell r="M232" t="str">
            <v/>
          </cell>
          <cell r="N232" t="str">
            <v/>
          </cell>
          <cell r="O232" t="str">
            <v/>
          </cell>
          <cell r="P232" t="str">
            <v/>
          </cell>
          <cell r="Q232" t="str">
            <v/>
          </cell>
          <cell r="R232" t="str">
            <v/>
          </cell>
          <cell r="S232" t="str">
            <v/>
          </cell>
        </row>
        <row r="233">
          <cell r="F233" t="str">
            <v/>
          </cell>
          <cell r="G233" t="str">
            <v/>
          </cell>
          <cell r="H233" t="str">
            <v/>
          </cell>
          <cell r="I233" t="str">
            <v/>
          </cell>
          <cell r="J233" t="str">
            <v/>
          </cell>
          <cell r="K233" t="str">
            <v/>
          </cell>
          <cell r="L233" t="str">
            <v/>
          </cell>
          <cell r="M233" t="str">
            <v/>
          </cell>
          <cell r="N233" t="str">
            <v/>
          </cell>
          <cell r="O233" t="str">
            <v/>
          </cell>
          <cell r="P233" t="str">
            <v/>
          </cell>
          <cell r="Q233" t="str">
            <v/>
          </cell>
          <cell r="R233" t="str">
            <v/>
          </cell>
          <cell r="S233" t="str">
            <v/>
          </cell>
        </row>
        <row r="234">
          <cell r="F234" t="str">
            <v/>
          </cell>
          <cell r="G234" t="str">
            <v/>
          </cell>
          <cell r="H234" t="str">
            <v/>
          </cell>
          <cell r="I234" t="str">
            <v/>
          </cell>
          <cell r="J234" t="str">
            <v/>
          </cell>
          <cell r="K234" t="str">
            <v/>
          </cell>
          <cell r="L234" t="str">
            <v/>
          </cell>
          <cell r="M234" t="str">
            <v/>
          </cell>
          <cell r="N234" t="str">
            <v/>
          </cell>
          <cell r="O234" t="str">
            <v/>
          </cell>
          <cell r="P234" t="str">
            <v/>
          </cell>
          <cell r="Q234" t="str">
            <v/>
          </cell>
          <cell r="R234" t="str">
            <v/>
          </cell>
          <cell r="S234" t="str">
            <v/>
          </cell>
        </row>
        <row r="235">
          <cell r="F235" t="str">
            <v/>
          </cell>
          <cell r="G235" t="str">
            <v/>
          </cell>
          <cell r="H235" t="str">
            <v/>
          </cell>
          <cell r="I235" t="str">
            <v/>
          </cell>
          <cell r="J235" t="str">
            <v/>
          </cell>
          <cell r="K235" t="str">
            <v/>
          </cell>
          <cell r="L235" t="str">
            <v/>
          </cell>
          <cell r="M235" t="str">
            <v/>
          </cell>
          <cell r="N235" t="str">
            <v/>
          </cell>
          <cell r="O235" t="str">
            <v/>
          </cell>
          <cell r="P235" t="str">
            <v/>
          </cell>
          <cell r="Q235" t="str">
            <v/>
          </cell>
          <cell r="R235" t="str">
            <v/>
          </cell>
          <cell r="S235" t="str">
            <v/>
          </cell>
        </row>
        <row r="236">
          <cell r="F236" t="str">
            <v/>
          </cell>
          <cell r="G236" t="str">
            <v/>
          </cell>
          <cell r="H236" t="str">
            <v/>
          </cell>
          <cell r="I236" t="str">
            <v/>
          </cell>
          <cell r="J236" t="str">
            <v/>
          </cell>
          <cell r="K236" t="str">
            <v/>
          </cell>
          <cell r="L236" t="str">
            <v/>
          </cell>
          <cell r="M236" t="str">
            <v/>
          </cell>
          <cell r="N236" t="str">
            <v/>
          </cell>
          <cell r="O236" t="str">
            <v/>
          </cell>
          <cell r="P236" t="str">
            <v/>
          </cell>
          <cell r="Q236" t="str">
            <v/>
          </cell>
          <cell r="R236" t="str">
            <v/>
          </cell>
          <cell r="S236" t="str">
            <v/>
          </cell>
        </row>
        <row r="237">
          <cell r="F237" t="str">
            <v/>
          </cell>
          <cell r="G237" t="str">
            <v/>
          </cell>
          <cell r="H237" t="str">
            <v/>
          </cell>
          <cell r="I237" t="str">
            <v/>
          </cell>
          <cell r="J237" t="str">
            <v/>
          </cell>
          <cell r="K237" t="str">
            <v/>
          </cell>
          <cell r="L237" t="str">
            <v/>
          </cell>
          <cell r="M237" t="str">
            <v/>
          </cell>
          <cell r="N237" t="str">
            <v/>
          </cell>
          <cell r="O237" t="str">
            <v/>
          </cell>
          <cell r="P237" t="str">
            <v/>
          </cell>
          <cell r="Q237" t="str">
            <v/>
          </cell>
          <cell r="R237" t="str">
            <v/>
          </cell>
          <cell r="S237" t="str">
            <v/>
          </cell>
        </row>
        <row r="238">
          <cell r="F238" t="str">
            <v/>
          </cell>
          <cell r="G238" t="str">
            <v/>
          </cell>
          <cell r="H238" t="str">
            <v/>
          </cell>
          <cell r="I238" t="str">
            <v/>
          </cell>
          <cell r="J238" t="str">
            <v/>
          </cell>
          <cell r="K238" t="str">
            <v/>
          </cell>
          <cell r="L238" t="str">
            <v/>
          </cell>
          <cell r="M238" t="str">
            <v/>
          </cell>
          <cell r="N238" t="str">
            <v/>
          </cell>
          <cell r="O238" t="str">
            <v/>
          </cell>
          <cell r="P238" t="str">
            <v/>
          </cell>
          <cell r="Q238" t="str">
            <v/>
          </cell>
          <cell r="R238" t="str">
            <v/>
          </cell>
          <cell r="S238" t="str">
            <v/>
          </cell>
        </row>
        <row r="239">
          <cell r="F239" t="str">
            <v/>
          </cell>
          <cell r="G239" t="str">
            <v/>
          </cell>
          <cell r="H239" t="str">
            <v/>
          </cell>
          <cell r="I239" t="str">
            <v/>
          </cell>
          <cell r="J239" t="str">
            <v/>
          </cell>
          <cell r="K239" t="str">
            <v/>
          </cell>
          <cell r="L239" t="str">
            <v/>
          </cell>
          <cell r="M239" t="str">
            <v/>
          </cell>
          <cell r="N239" t="str">
            <v/>
          </cell>
          <cell r="O239" t="str">
            <v/>
          </cell>
          <cell r="P239" t="str">
            <v/>
          </cell>
          <cell r="Q239" t="str">
            <v/>
          </cell>
          <cell r="R239" t="str">
            <v/>
          </cell>
          <cell r="S239" t="str">
            <v/>
          </cell>
        </row>
        <row r="240">
          <cell r="F240" t="str">
            <v/>
          </cell>
          <cell r="G240" t="str">
            <v/>
          </cell>
          <cell r="H240" t="str">
            <v/>
          </cell>
          <cell r="I240" t="str">
            <v/>
          </cell>
          <cell r="J240" t="str">
            <v/>
          </cell>
          <cell r="K240" t="str">
            <v/>
          </cell>
          <cell r="L240" t="str">
            <v/>
          </cell>
          <cell r="M240" t="str">
            <v/>
          </cell>
          <cell r="N240" t="str">
            <v/>
          </cell>
          <cell r="O240" t="str">
            <v/>
          </cell>
          <cell r="P240" t="str">
            <v/>
          </cell>
          <cell r="Q240" t="str">
            <v/>
          </cell>
          <cell r="R240" t="str">
            <v/>
          </cell>
          <cell r="S240" t="str">
            <v/>
          </cell>
        </row>
        <row r="241">
          <cell r="F241" t="str">
            <v/>
          </cell>
          <cell r="G241" t="str">
            <v/>
          </cell>
          <cell r="H241" t="str">
            <v/>
          </cell>
          <cell r="I241" t="str">
            <v/>
          </cell>
          <cell r="J241" t="str">
            <v/>
          </cell>
          <cell r="K241" t="str">
            <v/>
          </cell>
          <cell r="L241" t="str">
            <v/>
          </cell>
          <cell r="M241" t="str">
            <v/>
          </cell>
          <cell r="N241" t="str">
            <v/>
          </cell>
          <cell r="O241" t="str">
            <v/>
          </cell>
          <cell r="P241" t="str">
            <v/>
          </cell>
          <cell r="Q241" t="str">
            <v/>
          </cell>
          <cell r="R241" t="str">
            <v/>
          </cell>
          <cell r="S241" t="str">
            <v/>
          </cell>
        </row>
        <row r="242">
          <cell r="F242" t="str">
            <v/>
          </cell>
          <cell r="G242" t="str">
            <v/>
          </cell>
          <cell r="H242" t="str">
            <v/>
          </cell>
          <cell r="I242" t="str">
            <v/>
          </cell>
          <cell r="J242" t="str">
            <v/>
          </cell>
          <cell r="K242" t="str">
            <v/>
          </cell>
          <cell r="L242" t="str">
            <v/>
          </cell>
          <cell r="M242" t="str">
            <v/>
          </cell>
          <cell r="N242" t="str">
            <v/>
          </cell>
          <cell r="O242" t="str">
            <v/>
          </cell>
          <cell r="P242" t="str">
            <v/>
          </cell>
          <cell r="Q242" t="str">
            <v/>
          </cell>
          <cell r="R242" t="str">
            <v/>
          </cell>
          <cell r="S242" t="str">
            <v/>
          </cell>
        </row>
        <row r="243">
          <cell r="F243" t="str">
            <v/>
          </cell>
          <cell r="G243" t="str">
            <v/>
          </cell>
          <cell r="H243" t="str">
            <v/>
          </cell>
          <cell r="I243" t="str">
            <v/>
          </cell>
          <cell r="J243" t="str">
            <v/>
          </cell>
          <cell r="K243" t="str">
            <v/>
          </cell>
          <cell r="L243" t="str">
            <v/>
          </cell>
          <cell r="M243" t="str">
            <v/>
          </cell>
          <cell r="N243" t="str">
            <v/>
          </cell>
          <cell r="O243" t="str">
            <v/>
          </cell>
          <cell r="P243" t="str">
            <v/>
          </cell>
          <cell r="Q243" t="str">
            <v/>
          </cell>
          <cell r="R243" t="str">
            <v/>
          </cell>
          <cell r="S243" t="str">
            <v/>
          </cell>
        </row>
        <row r="244">
          <cell r="F244" t="str">
            <v/>
          </cell>
          <cell r="G244" t="str">
            <v/>
          </cell>
          <cell r="H244" t="str">
            <v/>
          </cell>
          <cell r="I244" t="str">
            <v/>
          </cell>
          <cell r="J244" t="str">
            <v/>
          </cell>
          <cell r="K244" t="str">
            <v/>
          </cell>
          <cell r="L244" t="str">
            <v/>
          </cell>
          <cell r="M244" t="str">
            <v/>
          </cell>
          <cell r="N244" t="str">
            <v/>
          </cell>
          <cell r="O244" t="str">
            <v/>
          </cell>
          <cell r="P244" t="str">
            <v/>
          </cell>
          <cell r="Q244" t="str">
            <v/>
          </cell>
          <cell r="R244" t="str">
            <v/>
          </cell>
          <cell r="S244" t="str">
            <v/>
          </cell>
        </row>
        <row r="245">
          <cell r="F245" t="str">
            <v/>
          </cell>
          <cell r="G245" t="str">
            <v/>
          </cell>
          <cell r="H245" t="str">
            <v/>
          </cell>
          <cell r="I245" t="str">
            <v/>
          </cell>
          <cell r="J245" t="str">
            <v/>
          </cell>
          <cell r="K245" t="str">
            <v/>
          </cell>
          <cell r="L245" t="str">
            <v/>
          </cell>
          <cell r="M245" t="str">
            <v/>
          </cell>
          <cell r="N245" t="str">
            <v/>
          </cell>
          <cell r="O245" t="str">
            <v/>
          </cell>
          <cell r="P245" t="str">
            <v/>
          </cell>
          <cell r="Q245" t="str">
            <v/>
          </cell>
          <cell r="R245" t="str">
            <v/>
          </cell>
          <cell r="S245" t="str">
            <v/>
          </cell>
        </row>
        <row r="246">
          <cell r="F246" t="str">
            <v/>
          </cell>
          <cell r="G246" t="str">
            <v/>
          </cell>
          <cell r="H246" t="str">
            <v/>
          </cell>
          <cell r="I246" t="str">
            <v/>
          </cell>
          <cell r="J246" t="str">
            <v/>
          </cell>
          <cell r="K246" t="str">
            <v/>
          </cell>
          <cell r="L246" t="str">
            <v/>
          </cell>
          <cell r="M246" t="str">
            <v/>
          </cell>
          <cell r="N246" t="str">
            <v/>
          </cell>
          <cell r="O246" t="str">
            <v/>
          </cell>
          <cell r="P246" t="str">
            <v/>
          </cell>
          <cell r="Q246" t="str">
            <v/>
          </cell>
          <cell r="R246" t="str">
            <v/>
          </cell>
          <cell r="S246" t="str">
            <v/>
          </cell>
        </row>
        <row r="247">
          <cell r="F247" t="str">
            <v/>
          </cell>
          <cell r="G247" t="str">
            <v/>
          </cell>
          <cell r="H247" t="str">
            <v/>
          </cell>
          <cell r="I247" t="str">
            <v/>
          </cell>
          <cell r="J247" t="str">
            <v/>
          </cell>
          <cell r="K247" t="str">
            <v/>
          </cell>
          <cell r="L247" t="str">
            <v/>
          </cell>
          <cell r="M247" t="str">
            <v/>
          </cell>
          <cell r="N247" t="str">
            <v/>
          </cell>
          <cell r="O247" t="str">
            <v/>
          </cell>
          <cell r="P247" t="str">
            <v/>
          </cell>
          <cell r="Q247" t="str">
            <v/>
          </cell>
          <cell r="R247" t="str">
            <v/>
          </cell>
          <cell r="S247" t="str">
            <v/>
          </cell>
        </row>
        <row r="248">
          <cell r="F248" t="str">
            <v/>
          </cell>
          <cell r="G248" t="str">
            <v/>
          </cell>
          <cell r="H248" t="str">
            <v/>
          </cell>
          <cell r="I248" t="str">
            <v/>
          </cell>
          <cell r="J248" t="str">
            <v/>
          </cell>
          <cell r="K248" t="str">
            <v/>
          </cell>
          <cell r="L248" t="str">
            <v/>
          </cell>
          <cell r="M248" t="str">
            <v/>
          </cell>
          <cell r="N248" t="str">
            <v/>
          </cell>
          <cell r="O248" t="str">
            <v/>
          </cell>
          <cell r="P248" t="str">
            <v/>
          </cell>
          <cell r="Q248" t="str">
            <v/>
          </cell>
          <cell r="R248" t="str">
            <v/>
          </cell>
          <cell r="S248" t="str">
            <v/>
          </cell>
        </row>
        <row r="249">
          <cell r="F249" t="str">
            <v/>
          </cell>
          <cell r="G249" t="str">
            <v/>
          </cell>
          <cell r="H249" t="str">
            <v/>
          </cell>
          <cell r="I249" t="str">
            <v/>
          </cell>
          <cell r="J249" t="str">
            <v/>
          </cell>
          <cell r="K249" t="str">
            <v/>
          </cell>
          <cell r="L249" t="str">
            <v/>
          </cell>
          <cell r="M249" t="str">
            <v/>
          </cell>
          <cell r="N249" t="str">
            <v/>
          </cell>
          <cell r="O249" t="str">
            <v/>
          </cell>
          <cell r="P249" t="str">
            <v/>
          </cell>
          <cell r="Q249" t="str">
            <v/>
          </cell>
          <cell r="R249" t="str">
            <v/>
          </cell>
          <cell r="S249" t="str">
            <v/>
          </cell>
        </row>
        <row r="250">
          <cell r="F250" t="str">
            <v/>
          </cell>
          <cell r="G250" t="str">
            <v/>
          </cell>
          <cell r="H250" t="str">
            <v/>
          </cell>
          <cell r="I250" t="str">
            <v/>
          </cell>
          <cell r="J250" t="str">
            <v/>
          </cell>
          <cell r="K250" t="str">
            <v/>
          </cell>
          <cell r="L250" t="str">
            <v/>
          </cell>
          <cell r="M250" t="str">
            <v/>
          </cell>
          <cell r="N250" t="str">
            <v/>
          </cell>
          <cell r="O250" t="str">
            <v/>
          </cell>
          <cell r="P250" t="str">
            <v/>
          </cell>
          <cell r="Q250" t="str">
            <v/>
          </cell>
          <cell r="R250" t="str">
            <v/>
          </cell>
          <cell r="S250" t="str">
            <v/>
          </cell>
        </row>
        <row r="251">
          <cell r="F251" t="str">
            <v/>
          </cell>
          <cell r="G251" t="str">
            <v/>
          </cell>
          <cell r="H251" t="str">
            <v/>
          </cell>
          <cell r="I251" t="str">
            <v/>
          </cell>
          <cell r="J251" t="str">
            <v/>
          </cell>
          <cell r="K251" t="str">
            <v/>
          </cell>
          <cell r="L251" t="str">
            <v/>
          </cell>
          <cell r="M251" t="str">
            <v/>
          </cell>
          <cell r="N251" t="str">
            <v/>
          </cell>
          <cell r="O251" t="str">
            <v/>
          </cell>
          <cell r="P251" t="str">
            <v/>
          </cell>
          <cell r="Q251" t="str">
            <v/>
          </cell>
          <cell r="R251" t="str">
            <v/>
          </cell>
          <cell r="S251" t="str">
            <v/>
          </cell>
        </row>
      </sheetData>
      <sheetData sheetId="8"/>
      <sheetData sheetId="9"/>
      <sheetData sheetId="10"/>
      <sheetData sheetId="11">
        <row r="11">
          <cell r="A11">
            <v>39872</v>
          </cell>
        </row>
        <row r="12">
          <cell r="A12">
            <v>39903</v>
          </cell>
        </row>
        <row r="13">
          <cell r="A13">
            <v>39933</v>
          </cell>
        </row>
        <row r="14">
          <cell r="A14">
            <v>39964</v>
          </cell>
        </row>
        <row r="15">
          <cell r="A15">
            <v>39994</v>
          </cell>
        </row>
        <row r="16">
          <cell r="A16">
            <v>40025</v>
          </cell>
        </row>
        <row r="17">
          <cell r="A17">
            <v>40056</v>
          </cell>
        </row>
        <row r="18">
          <cell r="A18">
            <v>40086</v>
          </cell>
        </row>
        <row r="19">
          <cell r="A19">
            <v>40117</v>
          </cell>
        </row>
        <row r="20">
          <cell r="A20">
            <v>40147</v>
          </cell>
        </row>
        <row r="21">
          <cell r="A21">
            <v>40178</v>
          </cell>
        </row>
        <row r="22">
          <cell r="A22">
            <v>40209</v>
          </cell>
        </row>
        <row r="23">
          <cell r="A23">
            <v>40237</v>
          </cell>
        </row>
        <row r="24">
          <cell r="A24">
            <v>40268</v>
          </cell>
        </row>
        <row r="25">
          <cell r="A25">
            <v>40298</v>
          </cell>
        </row>
        <row r="26">
          <cell r="A26">
            <v>40329</v>
          </cell>
        </row>
        <row r="27">
          <cell r="A27">
            <v>40359</v>
          </cell>
        </row>
        <row r="28">
          <cell r="A28">
            <v>40390</v>
          </cell>
        </row>
        <row r="29">
          <cell r="A29">
            <v>40421</v>
          </cell>
        </row>
        <row r="30">
          <cell r="A30" t="str">
            <v/>
          </cell>
        </row>
        <row r="31">
          <cell r="A31" t="str">
            <v/>
          </cell>
        </row>
        <row r="32">
          <cell r="A32" t="str">
            <v/>
          </cell>
        </row>
        <row r="33">
          <cell r="A33" t="str">
            <v/>
          </cell>
        </row>
        <row r="34">
          <cell r="A34" t="str">
            <v/>
          </cell>
        </row>
        <row r="35">
          <cell r="A35" t="str">
            <v/>
          </cell>
        </row>
      </sheetData>
      <sheetData sheetId="12"/>
      <sheetData sheetId="13"/>
    </sheetDataSet>
  </externalBook>
</externalLink>
</file>

<file path=xl/externalLinks/externalLink2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mprunt (2)"/>
      <sheetName val="COROSSOL"/>
      <sheetName val="Sub COROSSOL"/>
      <sheetName val="Surfaces Corossol"/>
      <sheetName val="Hypothèses Investissement"/>
      <sheetName val="Données Exploitation"/>
      <sheetName val="Invest"/>
      <sheetName val="Loyers SCI"/>
      <sheetName val="SCI"/>
      <sheetName val="SCI bis"/>
      <sheetName val="Emprunt"/>
      <sheetName val="Rém Compte séquestre CPI"/>
      <sheetName val="Plans de Financement"/>
      <sheetName val="Schéma"/>
    </sheetNames>
    <sheetDataSet>
      <sheetData sheetId="0"/>
      <sheetData sheetId="1"/>
      <sheetData sheetId="2"/>
      <sheetData sheetId="3">
        <row r="15">
          <cell r="BC15">
            <v>0</v>
          </cell>
        </row>
      </sheetData>
      <sheetData sheetId="4">
        <row r="26">
          <cell r="I26">
            <v>4</v>
          </cell>
        </row>
      </sheetData>
      <sheetData sheetId="5"/>
      <sheetData sheetId="6"/>
      <sheetData sheetId="7">
        <row r="1">
          <cell r="A1" t="str">
            <v>Annuel</v>
          </cell>
        </row>
        <row r="11">
          <cell r="H11">
            <v>2009</v>
          </cell>
        </row>
        <row r="12">
          <cell r="H12">
            <v>2010</v>
          </cell>
        </row>
        <row r="13">
          <cell r="H13">
            <v>2010</v>
          </cell>
        </row>
        <row r="14">
          <cell r="H14">
            <v>2011</v>
          </cell>
        </row>
        <row r="15">
          <cell r="H15">
            <v>2011</v>
          </cell>
        </row>
        <row r="16">
          <cell r="H16">
            <v>2012</v>
          </cell>
        </row>
        <row r="17">
          <cell r="H17">
            <v>2012</v>
          </cell>
        </row>
        <row r="18">
          <cell r="H18">
            <v>2013</v>
          </cell>
        </row>
        <row r="19">
          <cell r="H19">
            <v>2013</v>
          </cell>
        </row>
        <row r="20">
          <cell r="H20">
            <v>2014</v>
          </cell>
        </row>
        <row r="21">
          <cell r="H21">
            <v>2014</v>
          </cell>
        </row>
        <row r="22">
          <cell r="H22">
            <v>2015</v>
          </cell>
        </row>
        <row r="23">
          <cell r="H23">
            <v>2015</v>
          </cell>
        </row>
        <row r="24">
          <cell r="H24">
            <v>2016</v>
          </cell>
        </row>
        <row r="25">
          <cell r="H25">
            <v>2016</v>
          </cell>
        </row>
        <row r="26">
          <cell r="H26">
            <v>2017</v>
          </cell>
        </row>
        <row r="27">
          <cell r="H27">
            <v>2017</v>
          </cell>
        </row>
        <row r="28">
          <cell r="H28">
            <v>2018</v>
          </cell>
        </row>
        <row r="29">
          <cell r="H29">
            <v>2018</v>
          </cell>
        </row>
        <row r="30">
          <cell r="H30">
            <v>2019</v>
          </cell>
        </row>
        <row r="31">
          <cell r="H31">
            <v>2019</v>
          </cell>
        </row>
        <row r="32">
          <cell r="H32">
            <v>2020</v>
          </cell>
        </row>
        <row r="33">
          <cell r="H33">
            <v>2020</v>
          </cell>
        </row>
        <row r="34">
          <cell r="H34">
            <v>2021</v>
          </cell>
        </row>
        <row r="35">
          <cell r="H35">
            <v>2021</v>
          </cell>
        </row>
        <row r="36">
          <cell r="H36">
            <v>2022</v>
          </cell>
        </row>
        <row r="37">
          <cell r="H37">
            <v>2022</v>
          </cell>
        </row>
        <row r="38">
          <cell r="H38">
            <v>2023</v>
          </cell>
        </row>
        <row r="39">
          <cell r="H39">
            <v>2023</v>
          </cell>
        </row>
        <row r="40">
          <cell r="H40">
            <v>2024</v>
          </cell>
        </row>
        <row r="41">
          <cell r="H41">
            <v>2024</v>
          </cell>
        </row>
        <row r="42">
          <cell r="H42">
            <v>2025</v>
          </cell>
        </row>
        <row r="43">
          <cell r="H43">
            <v>2025</v>
          </cell>
        </row>
        <row r="44">
          <cell r="H44">
            <v>2026</v>
          </cell>
        </row>
        <row r="45">
          <cell r="H45">
            <v>2026</v>
          </cell>
        </row>
        <row r="46">
          <cell r="H46">
            <v>2027</v>
          </cell>
        </row>
        <row r="47">
          <cell r="H47">
            <v>2027</v>
          </cell>
        </row>
        <row r="48">
          <cell r="H48">
            <v>2028</v>
          </cell>
        </row>
        <row r="49">
          <cell r="H49">
            <v>2028</v>
          </cell>
        </row>
        <row r="50">
          <cell r="H50">
            <v>2029</v>
          </cell>
        </row>
        <row r="51">
          <cell r="H51">
            <v>2029</v>
          </cell>
        </row>
        <row r="52">
          <cell r="H52">
            <v>2030</v>
          </cell>
        </row>
        <row r="53">
          <cell r="H53">
            <v>2030</v>
          </cell>
        </row>
        <row r="54">
          <cell r="H54">
            <v>2031</v>
          </cell>
        </row>
        <row r="55">
          <cell r="H55">
            <v>2031</v>
          </cell>
        </row>
        <row r="56">
          <cell r="H56">
            <v>2032</v>
          </cell>
        </row>
        <row r="57">
          <cell r="H57">
            <v>2032</v>
          </cell>
        </row>
        <row r="58">
          <cell r="H58">
            <v>2033</v>
          </cell>
        </row>
        <row r="59">
          <cell r="H59">
            <v>2033</v>
          </cell>
        </row>
        <row r="60">
          <cell r="H60">
            <v>2034</v>
          </cell>
        </row>
        <row r="61">
          <cell r="H61">
            <v>2034</v>
          </cell>
        </row>
        <row r="62">
          <cell r="H62">
            <v>2035</v>
          </cell>
        </row>
        <row r="63">
          <cell r="H63">
            <v>2035</v>
          </cell>
        </row>
        <row r="64">
          <cell r="H64">
            <v>2036</v>
          </cell>
        </row>
        <row r="65">
          <cell r="H65">
            <v>2036</v>
          </cell>
        </row>
        <row r="66">
          <cell r="H66">
            <v>2037</v>
          </cell>
        </row>
        <row r="67">
          <cell r="H67">
            <v>2037</v>
          </cell>
        </row>
        <row r="68">
          <cell r="H68">
            <v>2038</v>
          </cell>
        </row>
        <row r="69">
          <cell r="H69">
            <v>2038</v>
          </cell>
        </row>
        <row r="70">
          <cell r="H70">
            <v>2039</v>
          </cell>
        </row>
        <row r="71">
          <cell r="H71">
            <v>2039</v>
          </cell>
        </row>
        <row r="72">
          <cell r="H72">
            <v>2040</v>
          </cell>
        </row>
        <row r="73">
          <cell r="H73">
            <v>2040</v>
          </cell>
        </row>
        <row r="74">
          <cell r="H74">
            <v>2041</v>
          </cell>
        </row>
        <row r="75">
          <cell r="H75">
            <v>2041</v>
          </cell>
        </row>
        <row r="76">
          <cell r="H76">
            <v>2042</v>
          </cell>
        </row>
        <row r="77">
          <cell r="H77">
            <v>2042</v>
          </cell>
        </row>
        <row r="78">
          <cell r="H78">
            <v>2043</v>
          </cell>
        </row>
        <row r="79">
          <cell r="H79">
            <v>2043</v>
          </cell>
        </row>
        <row r="80">
          <cell r="H80">
            <v>2044</v>
          </cell>
        </row>
        <row r="81">
          <cell r="H81">
            <v>2044</v>
          </cell>
        </row>
        <row r="82">
          <cell r="H82">
            <v>2045</v>
          </cell>
        </row>
        <row r="83">
          <cell r="H83">
            <v>2045</v>
          </cell>
        </row>
        <row r="84">
          <cell r="H84">
            <v>2046</v>
          </cell>
        </row>
        <row r="85">
          <cell r="H85">
            <v>2046</v>
          </cell>
        </row>
        <row r="86">
          <cell r="H86">
            <v>2047</v>
          </cell>
        </row>
        <row r="87">
          <cell r="H87">
            <v>2047</v>
          </cell>
        </row>
        <row r="88">
          <cell r="H88">
            <v>2048</v>
          </cell>
        </row>
        <row r="89">
          <cell r="H89">
            <v>2048</v>
          </cell>
        </row>
        <row r="90">
          <cell r="H90">
            <v>2049</v>
          </cell>
        </row>
        <row r="91">
          <cell r="H91">
            <v>2049</v>
          </cell>
        </row>
        <row r="92">
          <cell r="H92">
            <v>2050</v>
          </cell>
        </row>
        <row r="93">
          <cell r="H93">
            <v>2050</v>
          </cell>
        </row>
        <row r="94">
          <cell r="H94">
            <v>2051</v>
          </cell>
        </row>
        <row r="95">
          <cell r="H95">
            <v>2051</v>
          </cell>
        </row>
        <row r="96">
          <cell r="H96">
            <v>2052</v>
          </cell>
        </row>
        <row r="97">
          <cell r="H97">
            <v>2052</v>
          </cell>
        </row>
        <row r="98">
          <cell r="H98">
            <v>2053</v>
          </cell>
        </row>
        <row r="99">
          <cell r="H99">
            <v>2053</v>
          </cell>
        </row>
        <row r="100">
          <cell r="H100">
            <v>2054</v>
          </cell>
        </row>
        <row r="101">
          <cell r="H101">
            <v>2054</v>
          </cell>
        </row>
        <row r="102">
          <cell r="H102">
            <v>2055</v>
          </cell>
        </row>
        <row r="103">
          <cell r="H103">
            <v>2055</v>
          </cell>
        </row>
        <row r="104">
          <cell r="H104">
            <v>2056</v>
          </cell>
        </row>
        <row r="105">
          <cell r="H105">
            <v>2056</v>
          </cell>
        </row>
        <row r="106">
          <cell r="H106">
            <v>2057</v>
          </cell>
        </row>
        <row r="107">
          <cell r="H107">
            <v>2057</v>
          </cell>
        </row>
        <row r="108">
          <cell r="H108">
            <v>2058</v>
          </cell>
        </row>
        <row r="109">
          <cell r="H109">
            <v>2058</v>
          </cell>
        </row>
        <row r="110">
          <cell r="H110">
            <v>2059</v>
          </cell>
        </row>
        <row r="111">
          <cell r="H111">
            <v>2059</v>
          </cell>
        </row>
        <row r="112">
          <cell r="H112">
            <v>2060</v>
          </cell>
        </row>
        <row r="113">
          <cell r="H113">
            <v>2060</v>
          </cell>
        </row>
        <row r="114">
          <cell r="H114">
            <v>2061</v>
          </cell>
        </row>
        <row r="115">
          <cell r="H115" t="str">
            <v/>
          </cell>
        </row>
        <row r="116">
          <cell r="H116" t="str">
            <v/>
          </cell>
        </row>
        <row r="117">
          <cell r="H117" t="str">
            <v/>
          </cell>
        </row>
        <row r="118">
          <cell r="H118" t="str">
            <v/>
          </cell>
        </row>
        <row r="119">
          <cell r="H119" t="str">
            <v/>
          </cell>
        </row>
        <row r="120">
          <cell r="H120" t="str">
            <v/>
          </cell>
        </row>
        <row r="121">
          <cell r="H121" t="str">
            <v/>
          </cell>
        </row>
        <row r="122">
          <cell r="H122" t="str">
            <v/>
          </cell>
        </row>
        <row r="123">
          <cell r="H123" t="str">
            <v/>
          </cell>
        </row>
        <row r="124">
          <cell r="H124" t="str">
            <v/>
          </cell>
        </row>
        <row r="125">
          <cell r="H125" t="str">
            <v/>
          </cell>
        </row>
        <row r="126">
          <cell r="H126" t="str">
            <v/>
          </cell>
        </row>
        <row r="127">
          <cell r="H127" t="str">
            <v/>
          </cell>
        </row>
        <row r="128">
          <cell r="H128" t="str">
            <v/>
          </cell>
        </row>
        <row r="129">
          <cell r="H129" t="str">
            <v/>
          </cell>
        </row>
        <row r="130">
          <cell r="H130" t="str">
            <v/>
          </cell>
        </row>
        <row r="131">
          <cell r="H131" t="str">
            <v/>
          </cell>
        </row>
        <row r="132">
          <cell r="H132" t="str">
            <v/>
          </cell>
        </row>
        <row r="133">
          <cell r="H133" t="str">
            <v/>
          </cell>
        </row>
        <row r="134">
          <cell r="H134" t="str">
            <v/>
          </cell>
        </row>
        <row r="135">
          <cell r="H135" t="str">
            <v/>
          </cell>
        </row>
        <row r="136">
          <cell r="H136" t="str">
            <v/>
          </cell>
        </row>
        <row r="137">
          <cell r="H137" t="str">
            <v/>
          </cell>
        </row>
        <row r="138">
          <cell r="H138" t="str">
            <v/>
          </cell>
        </row>
        <row r="139">
          <cell r="H139" t="str">
            <v/>
          </cell>
        </row>
        <row r="140">
          <cell r="H140" t="str">
            <v/>
          </cell>
        </row>
        <row r="141">
          <cell r="H141" t="str">
            <v/>
          </cell>
        </row>
        <row r="142">
          <cell r="H142" t="str">
            <v/>
          </cell>
        </row>
        <row r="143">
          <cell r="H143" t="str">
            <v/>
          </cell>
        </row>
        <row r="144">
          <cell r="H144" t="str">
            <v/>
          </cell>
        </row>
        <row r="145">
          <cell r="H145" t="str">
            <v/>
          </cell>
        </row>
        <row r="146">
          <cell r="H146" t="str">
            <v/>
          </cell>
        </row>
        <row r="147">
          <cell r="H147" t="str">
            <v/>
          </cell>
        </row>
        <row r="148">
          <cell r="H148" t="str">
            <v/>
          </cell>
        </row>
        <row r="149">
          <cell r="H149" t="str">
            <v/>
          </cell>
        </row>
        <row r="150">
          <cell r="H150" t="str">
            <v/>
          </cell>
        </row>
        <row r="151">
          <cell r="H151" t="str">
            <v/>
          </cell>
        </row>
        <row r="152">
          <cell r="H152" t="str">
            <v/>
          </cell>
        </row>
        <row r="153">
          <cell r="H153" t="str">
            <v/>
          </cell>
        </row>
        <row r="154">
          <cell r="H154" t="str">
            <v/>
          </cell>
        </row>
        <row r="155">
          <cell r="H155" t="str">
            <v/>
          </cell>
        </row>
        <row r="156">
          <cell r="H156" t="str">
            <v/>
          </cell>
        </row>
        <row r="157">
          <cell r="H157" t="str">
            <v/>
          </cell>
        </row>
        <row r="158">
          <cell r="H158" t="str">
            <v/>
          </cell>
        </row>
        <row r="159">
          <cell r="H159" t="str">
            <v/>
          </cell>
        </row>
        <row r="160">
          <cell r="H160" t="str">
            <v/>
          </cell>
        </row>
        <row r="161">
          <cell r="H161" t="str">
            <v/>
          </cell>
        </row>
        <row r="162">
          <cell r="H162" t="str">
            <v/>
          </cell>
        </row>
        <row r="163">
          <cell r="H163" t="str">
            <v/>
          </cell>
        </row>
        <row r="164">
          <cell r="H164" t="str">
            <v/>
          </cell>
        </row>
        <row r="165">
          <cell r="H165" t="str">
            <v/>
          </cell>
        </row>
        <row r="166">
          <cell r="H166" t="str">
            <v/>
          </cell>
        </row>
        <row r="167">
          <cell r="H167" t="str">
            <v/>
          </cell>
        </row>
        <row r="168">
          <cell r="H168" t="str">
            <v/>
          </cell>
        </row>
        <row r="169">
          <cell r="H169" t="str">
            <v/>
          </cell>
        </row>
        <row r="170">
          <cell r="H170" t="str">
            <v/>
          </cell>
        </row>
        <row r="171">
          <cell r="H171" t="str">
            <v/>
          </cell>
        </row>
        <row r="172">
          <cell r="H172" t="str">
            <v/>
          </cell>
        </row>
        <row r="173">
          <cell r="H173" t="str">
            <v/>
          </cell>
        </row>
        <row r="174">
          <cell r="H174" t="str">
            <v/>
          </cell>
        </row>
        <row r="175">
          <cell r="H175" t="str">
            <v/>
          </cell>
        </row>
        <row r="176">
          <cell r="H176" t="str">
            <v/>
          </cell>
        </row>
        <row r="177">
          <cell r="H177" t="str">
            <v/>
          </cell>
        </row>
        <row r="178">
          <cell r="H178" t="str">
            <v/>
          </cell>
        </row>
        <row r="179">
          <cell r="H179" t="str">
            <v/>
          </cell>
        </row>
        <row r="180">
          <cell r="H180" t="str">
            <v/>
          </cell>
        </row>
        <row r="181">
          <cell r="H181" t="str">
            <v/>
          </cell>
        </row>
        <row r="182">
          <cell r="H182" t="str">
            <v/>
          </cell>
        </row>
        <row r="183">
          <cell r="H183" t="str">
            <v/>
          </cell>
        </row>
        <row r="184">
          <cell r="H184" t="str">
            <v/>
          </cell>
        </row>
        <row r="185">
          <cell r="H185" t="str">
            <v/>
          </cell>
        </row>
        <row r="186">
          <cell r="H186" t="str">
            <v/>
          </cell>
        </row>
        <row r="187">
          <cell r="H187" t="str">
            <v/>
          </cell>
        </row>
        <row r="188">
          <cell r="H188" t="str">
            <v/>
          </cell>
        </row>
        <row r="189">
          <cell r="H189" t="str">
            <v/>
          </cell>
        </row>
        <row r="190">
          <cell r="H190" t="str">
            <v/>
          </cell>
        </row>
        <row r="191">
          <cell r="H191" t="str">
            <v/>
          </cell>
        </row>
        <row r="192">
          <cell r="H192" t="str">
            <v/>
          </cell>
        </row>
        <row r="193">
          <cell r="H193" t="str">
            <v/>
          </cell>
        </row>
        <row r="194">
          <cell r="H194" t="str">
            <v/>
          </cell>
        </row>
        <row r="195">
          <cell r="H195" t="str">
            <v/>
          </cell>
        </row>
        <row r="196">
          <cell r="H196" t="str">
            <v/>
          </cell>
        </row>
        <row r="197">
          <cell r="H197" t="str">
            <v/>
          </cell>
        </row>
        <row r="198">
          <cell r="H198" t="str">
            <v/>
          </cell>
        </row>
        <row r="199">
          <cell r="H199" t="str">
            <v/>
          </cell>
        </row>
        <row r="200">
          <cell r="H200" t="str">
            <v/>
          </cell>
        </row>
        <row r="201">
          <cell r="H201" t="str">
            <v/>
          </cell>
        </row>
        <row r="202">
          <cell r="H202" t="str">
            <v/>
          </cell>
        </row>
        <row r="203">
          <cell r="H203" t="str">
            <v/>
          </cell>
        </row>
        <row r="204">
          <cell r="H204" t="str">
            <v/>
          </cell>
        </row>
        <row r="205">
          <cell r="H205" t="str">
            <v/>
          </cell>
        </row>
        <row r="206">
          <cell r="H206" t="str">
            <v/>
          </cell>
        </row>
        <row r="207">
          <cell r="H207" t="str">
            <v/>
          </cell>
        </row>
        <row r="208">
          <cell r="H208" t="str">
            <v/>
          </cell>
        </row>
        <row r="209">
          <cell r="H209" t="str">
            <v/>
          </cell>
        </row>
        <row r="210">
          <cell r="H210" t="str">
            <v/>
          </cell>
        </row>
        <row r="211">
          <cell r="H211" t="str">
            <v/>
          </cell>
        </row>
        <row r="212">
          <cell r="H212" t="str">
            <v/>
          </cell>
        </row>
        <row r="213">
          <cell r="H213" t="str">
            <v/>
          </cell>
        </row>
        <row r="214">
          <cell r="H214" t="str">
            <v/>
          </cell>
        </row>
        <row r="215">
          <cell r="H215" t="str">
            <v/>
          </cell>
        </row>
        <row r="216">
          <cell r="H216" t="str">
            <v/>
          </cell>
        </row>
        <row r="217">
          <cell r="H217" t="str">
            <v/>
          </cell>
        </row>
        <row r="218">
          <cell r="H218" t="str">
            <v/>
          </cell>
        </row>
        <row r="219">
          <cell r="H219" t="str">
            <v/>
          </cell>
        </row>
        <row r="220">
          <cell r="H220" t="str">
            <v/>
          </cell>
        </row>
        <row r="221">
          <cell r="H221" t="str">
            <v/>
          </cell>
        </row>
        <row r="222">
          <cell r="H222" t="str">
            <v/>
          </cell>
        </row>
        <row r="223">
          <cell r="H223" t="str">
            <v/>
          </cell>
        </row>
        <row r="224">
          <cell r="H224" t="str">
            <v/>
          </cell>
        </row>
        <row r="225">
          <cell r="H225" t="str">
            <v/>
          </cell>
        </row>
        <row r="226">
          <cell r="H226" t="str">
            <v/>
          </cell>
        </row>
        <row r="227">
          <cell r="H227" t="str">
            <v/>
          </cell>
        </row>
        <row r="228">
          <cell r="H228" t="str">
            <v/>
          </cell>
        </row>
        <row r="229">
          <cell r="H229" t="str">
            <v/>
          </cell>
        </row>
        <row r="230">
          <cell r="H230" t="str">
            <v/>
          </cell>
        </row>
        <row r="231">
          <cell r="H231" t="str">
            <v/>
          </cell>
        </row>
        <row r="232">
          <cell r="H232" t="str">
            <v/>
          </cell>
        </row>
        <row r="233">
          <cell r="H233" t="str">
            <v/>
          </cell>
        </row>
        <row r="234">
          <cell r="H234" t="str">
            <v/>
          </cell>
        </row>
        <row r="235">
          <cell r="H235" t="str">
            <v/>
          </cell>
        </row>
        <row r="236">
          <cell r="H236" t="str">
            <v/>
          </cell>
        </row>
        <row r="237">
          <cell r="H237" t="str">
            <v/>
          </cell>
        </row>
        <row r="238">
          <cell r="H238" t="str">
            <v/>
          </cell>
        </row>
        <row r="239">
          <cell r="H239" t="str">
            <v/>
          </cell>
        </row>
        <row r="240">
          <cell r="H240" t="str">
            <v/>
          </cell>
        </row>
        <row r="241">
          <cell r="H241" t="str">
            <v/>
          </cell>
        </row>
        <row r="242">
          <cell r="H242" t="str">
            <v/>
          </cell>
        </row>
        <row r="243">
          <cell r="H243" t="str">
            <v/>
          </cell>
        </row>
        <row r="244">
          <cell r="H244" t="str">
            <v/>
          </cell>
        </row>
        <row r="245">
          <cell r="H245" t="str">
            <v/>
          </cell>
        </row>
        <row r="246">
          <cell r="H246" t="str">
            <v/>
          </cell>
        </row>
        <row r="247">
          <cell r="H247" t="str">
            <v/>
          </cell>
        </row>
        <row r="248">
          <cell r="H248" t="str">
            <v/>
          </cell>
        </row>
        <row r="249">
          <cell r="H249" t="str">
            <v/>
          </cell>
        </row>
        <row r="250">
          <cell r="H250" t="str">
            <v/>
          </cell>
        </row>
        <row r="251">
          <cell r="H251" t="str">
            <v/>
          </cell>
        </row>
      </sheetData>
      <sheetData sheetId="8"/>
      <sheetData sheetId="9"/>
      <sheetData sheetId="10"/>
      <sheetData sheetId="11">
        <row r="11">
          <cell r="A11">
            <v>39872</v>
          </cell>
        </row>
      </sheetData>
      <sheetData sheetId="12"/>
      <sheetData sheetId="13"/>
    </sheetDataSet>
  </externalBook>
</externalLink>
</file>

<file path=xl/externalLinks/externalLink2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rfaces et loyers Malte"/>
      <sheetName val="Surfaces"/>
      <sheetName val="Data"/>
      <sheetName val="Loyers SCI"/>
    </sheetNames>
    <sheetDataSet>
      <sheetData sheetId="0" refreshError="1"/>
      <sheetData sheetId="1" refreshError="1"/>
      <sheetData sheetId="2" refreshError="1"/>
      <sheetData sheetId="3" refreshError="1"/>
    </sheetDataSet>
  </externalBook>
</externalLink>
</file>

<file path=xl/externalLinks/externalLink2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rfaces et loyers Malte"/>
      <sheetName val="Surfaces"/>
      <sheetName val="Data"/>
      <sheetName val="Loyers SCI"/>
    </sheetNames>
    <sheetDataSet>
      <sheetData sheetId="0" refreshError="1"/>
      <sheetData sheetId="1" refreshError="1"/>
      <sheetData sheetId="2" refreshError="1"/>
      <sheetData sheetId="3" refreshError="1"/>
    </sheetDataSet>
  </externalBook>
</externalLink>
</file>

<file path=xl/externalLinks/externalLink2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ssumptions"/>
      <sheetName val="Model Semestriel"/>
      <sheetName val="RBT"/>
      <sheetName val="return on equity"/>
      <sheetName val="DF"/>
      <sheetName val="Synthese"/>
    </sheetNames>
    <sheetDataSet>
      <sheetData sheetId="0">
        <row r="5">
          <cell r="B5">
            <v>37</v>
          </cell>
        </row>
        <row r="8">
          <cell r="B8">
            <v>0.185</v>
          </cell>
        </row>
        <row r="14">
          <cell r="B14">
            <v>2.2199999999999998</v>
          </cell>
        </row>
        <row r="21">
          <cell r="B21">
            <v>5.0000000000000001E-4</v>
          </cell>
        </row>
        <row r="51">
          <cell r="B51">
            <v>0.74</v>
          </cell>
        </row>
      </sheetData>
      <sheetData sheetId="1"/>
      <sheetData sheetId="2"/>
      <sheetData sheetId="3" refreshError="1"/>
      <sheetData sheetId="4" refreshError="1"/>
      <sheetData sheetId="5" refreshError="1"/>
    </sheetDataSet>
  </externalBook>
</externalLink>
</file>

<file path=xl/externalLinks/externalLink2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ée d'entrée"/>
      <sheetName val="première page"/>
      <sheetName val="GUIDE DEAL"/>
      <sheetName val="1"/>
      <sheetName val="2"/>
      <sheetName val="3"/>
      <sheetName val="4"/>
      <sheetName val="5"/>
      <sheetName val="6"/>
      <sheetName val="7"/>
      <sheetName val="8"/>
      <sheetName val="9"/>
      <sheetName val="Test de compensation"/>
      <sheetName val="Notice explicative"/>
      <sheetName val="FFD LLS"/>
      <sheetName val="FFD LLTS"/>
      <sheetName val="Calculs détaillés"/>
      <sheetName val="PRZA "/>
      <sheetName val="FRAFU AVS + LESG"/>
      <sheetName val="Bdgt"/>
      <sheetName val="Feuil1"/>
      <sheetName val="pièces 3.2 et 3.3"/>
      <sheetName val="Prgr. 2017"/>
      <sheetName val="DPR LLS"/>
      <sheetName val="DPR LLTS"/>
      <sheetName val="5.6 plafond aides"/>
      <sheetName val="FFD LLTS (2)"/>
    </sheetNames>
    <sheetDataSet>
      <sheetData sheetId="0">
        <row r="8">
          <cell r="D8">
            <v>0</v>
          </cell>
        </row>
      </sheetData>
      <sheetData sheetId="1"/>
      <sheetData sheetId="2"/>
      <sheetData sheetId="3">
        <row r="104">
          <cell r="O104">
            <v>0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>
        <row r="1">
          <cell r="D1" t="str">
            <v>LES FOURRAGERES</v>
          </cell>
        </row>
        <row r="62">
          <cell r="AA62">
            <v>1211796.500729053</v>
          </cell>
        </row>
      </sheetData>
      <sheetData sheetId="23">
        <row r="62">
          <cell r="E62">
            <v>0</v>
          </cell>
        </row>
      </sheetData>
      <sheetData sheetId="24">
        <row r="62">
          <cell r="E62">
            <v>3795231.9782937495</v>
          </cell>
        </row>
      </sheetData>
      <sheetData sheetId="25">
        <row r="8">
          <cell r="C8">
            <v>0</v>
          </cell>
        </row>
      </sheetData>
      <sheetData sheetId="26"/>
    </sheetDataSet>
  </externalBook>
</externalLink>
</file>

<file path=xl/externalLinks/externalLink2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ommaire"/>
      <sheetName val="Par. com."/>
      <sheetName val="Par. glob."/>
      <sheetName val="Par. prêt"/>
      <sheetName val="Par. Op."/>
      <sheetName val="Surf."/>
      <sheetName val="Prés."/>
      <sheetName val="CA"/>
      <sheetName val="DDE - B simpl."/>
      <sheetName val="DDE - B détail."/>
      <sheetName val="DDE - Attest."/>
      <sheetName val="DDE - Cont."/>
      <sheetName val="Prix rev.CE"/>
      <sheetName val="CEX - Recap"/>
      <sheetName val="CEX - Graph."/>
      <sheetName val="CEX - Résult."/>
      <sheetName val="ODSDataSheet"/>
      <sheetName val="ODSTempDataSheet"/>
    </sheetNames>
    <sheetDataSet>
      <sheetData sheetId="0" refreshError="1">
        <row r="10">
          <cell r="C10" t="str">
            <v>Simulation VEFA</v>
          </cell>
        </row>
      </sheetData>
      <sheetData sheetId="1"/>
      <sheetData sheetId="2" refreshError="1">
        <row r="27">
          <cell r="K27">
            <v>246</v>
          </cell>
        </row>
        <row r="37">
          <cell r="K37">
            <v>8000</v>
          </cell>
        </row>
        <row r="38">
          <cell r="K38">
            <v>9500</v>
          </cell>
        </row>
        <row r="39">
          <cell r="K39">
            <v>15000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 refreshError="1">
        <row r="23">
          <cell r="D23">
            <v>0</v>
          </cell>
          <cell r="E23">
            <v>0</v>
          </cell>
        </row>
        <row r="24">
          <cell r="D24">
            <v>0</v>
          </cell>
          <cell r="E24">
            <v>0</v>
          </cell>
        </row>
        <row r="25">
          <cell r="D25">
            <v>0</v>
          </cell>
        </row>
        <row r="37">
          <cell r="E37">
            <v>0</v>
          </cell>
        </row>
        <row r="56">
          <cell r="E56">
            <v>0</v>
          </cell>
        </row>
      </sheetData>
      <sheetData sheetId="13"/>
      <sheetData sheetId="14" refreshError="1"/>
      <sheetData sheetId="15"/>
      <sheetData sheetId="16"/>
      <sheetData sheetId="17"/>
    </sheetDataSet>
  </externalBook>
</externalLink>
</file>

<file path=xl/externalLinks/externalLink2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DMINISTRATIF"/>
      <sheetName val="Tableau de surface"/>
      <sheetName val="Tableau financier"/>
      <sheetName val="Exemple Tableau de surface"/>
      <sheetName val="Listes"/>
    </sheetNames>
    <sheetDataSet>
      <sheetData sheetId="0"/>
      <sheetData sheetId="1"/>
      <sheetData sheetId="2"/>
      <sheetData sheetId="3"/>
      <sheetData sheetId="4">
        <row r="4">
          <cell r="A4" t="str">
            <v>COP</v>
          </cell>
        </row>
      </sheetData>
    </sheetDataSet>
  </externalBook>
</externalLink>
</file>

<file path=xl/externalLinks/externalLink3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 communaux"/>
      <sheetName val="Param globaux"/>
      <sheetName val="Param opération"/>
      <sheetName val="Surfaces"/>
      <sheetName val="Présentations"/>
      <sheetName val="Fiche CA"/>
      <sheetName val="Prix rev.CE"/>
      <sheetName val="Bilan Simplifié DDE"/>
      <sheetName val="Bilan Détaillé DDE"/>
      <sheetName val="Attestations DDE"/>
      <sheetName val="Contingent DDE"/>
      <sheetName val="ODSDataSheet"/>
      <sheetName val="ODSTempDataSheet"/>
    </sheetNames>
    <sheetDataSet>
      <sheetData sheetId="0" refreshError="1"/>
      <sheetData sheetId="1" refreshError="1">
        <row r="45">
          <cell r="J45">
            <v>0.31</v>
          </cell>
        </row>
        <row r="46">
          <cell r="J46">
            <v>0.84</v>
          </cell>
        </row>
      </sheetData>
      <sheetData sheetId="2" refreshError="1">
        <row r="9">
          <cell r="F9" t="str">
            <v>Collectif sans ascenseur</v>
          </cell>
        </row>
        <row r="36">
          <cell r="F36" t="str">
            <v/>
          </cell>
        </row>
        <row r="110">
          <cell r="F110">
            <v>0.84</v>
          </cell>
        </row>
      </sheetData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</sheetDataSet>
  </externalBook>
</externalLink>
</file>

<file path=xl/externalLinks/externalLink3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ynthèse"/>
      <sheetName val="OS 2008 + Réhabilitation"/>
      <sheetName val="OS 2009"/>
      <sheetName val="VEFA OS 2009_2010-2011"/>
      <sheetName val="Graphique"/>
      <sheetName val="Suivi décaissement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>
        <row r="11">
          <cell r="G11">
            <v>1</v>
          </cell>
          <cell r="CM11">
            <v>465000</v>
          </cell>
          <cell r="CO11">
            <v>0</v>
          </cell>
          <cell r="CP11">
            <v>0</v>
          </cell>
          <cell r="CQ11">
            <v>0</v>
          </cell>
          <cell r="CR11">
            <v>0</v>
          </cell>
          <cell r="CU11">
            <v>0</v>
          </cell>
          <cell r="CV11">
            <v>2790000</v>
          </cell>
          <cell r="CW11">
            <v>0</v>
          </cell>
          <cell r="CX11">
            <v>0</v>
          </cell>
          <cell r="DE11">
            <v>6045000</v>
          </cell>
          <cell r="DK11">
            <v>0</v>
          </cell>
          <cell r="EB11">
            <v>0</v>
          </cell>
          <cell r="ED11">
            <v>0</v>
          </cell>
          <cell r="EE11">
            <v>0</v>
          </cell>
          <cell r="EF11">
            <v>0</v>
          </cell>
          <cell r="EG11">
            <v>0</v>
          </cell>
          <cell r="EJ11">
            <v>0</v>
          </cell>
          <cell r="EK11">
            <v>0</v>
          </cell>
          <cell r="EL11">
            <v>6045000</v>
          </cell>
          <cell r="EM11">
            <v>0</v>
          </cell>
          <cell r="ET11">
            <v>3255000</v>
          </cell>
          <cell r="EZ11">
            <v>0</v>
          </cell>
        </row>
        <row r="12">
          <cell r="G12">
            <v>2</v>
          </cell>
          <cell r="CM12">
            <v>2415000</v>
          </cell>
          <cell r="CO12">
            <v>2070000</v>
          </cell>
          <cell r="CP12">
            <v>0</v>
          </cell>
          <cell r="CQ12">
            <v>0</v>
          </cell>
          <cell r="CR12">
            <v>0</v>
          </cell>
          <cell r="CU12">
            <v>345000</v>
          </cell>
          <cell r="CV12">
            <v>2070000</v>
          </cell>
          <cell r="CW12">
            <v>0</v>
          </cell>
          <cell r="CX12">
            <v>0</v>
          </cell>
          <cell r="DE12">
            <v>0</v>
          </cell>
          <cell r="DK12">
            <v>0</v>
          </cell>
          <cell r="EB12">
            <v>0</v>
          </cell>
          <cell r="ED12">
            <v>0</v>
          </cell>
          <cell r="EE12">
            <v>0</v>
          </cell>
          <cell r="EF12">
            <v>0</v>
          </cell>
          <cell r="EG12">
            <v>0</v>
          </cell>
          <cell r="EJ12">
            <v>0</v>
          </cell>
          <cell r="EK12">
            <v>0</v>
          </cell>
          <cell r="EL12">
            <v>4485000</v>
          </cell>
          <cell r="EM12">
            <v>2415000</v>
          </cell>
          <cell r="ET12">
            <v>0</v>
          </cell>
          <cell r="EZ12">
            <v>0</v>
          </cell>
        </row>
        <row r="13">
          <cell r="G13">
            <v>3</v>
          </cell>
          <cell r="CM13">
            <v>0</v>
          </cell>
          <cell r="CO13">
            <v>0</v>
          </cell>
          <cell r="CP13">
            <v>0</v>
          </cell>
          <cell r="CQ13">
            <v>0</v>
          </cell>
          <cell r="CR13">
            <v>1155733.2</v>
          </cell>
          <cell r="CU13">
            <v>866799.9</v>
          </cell>
          <cell r="CV13">
            <v>0</v>
          </cell>
          <cell r="CW13">
            <v>0</v>
          </cell>
          <cell r="CX13">
            <v>2022533.1</v>
          </cell>
          <cell r="DE13">
            <v>1733599.8</v>
          </cell>
          <cell r="DK13">
            <v>0</v>
          </cell>
          <cell r="EB13">
            <v>0</v>
          </cell>
          <cell r="ED13">
            <v>0</v>
          </cell>
          <cell r="EE13">
            <v>0</v>
          </cell>
          <cell r="EF13">
            <v>0</v>
          </cell>
          <cell r="EG13">
            <v>0</v>
          </cell>
          <cell r="EJ13">
            <v>0</v>
          </cell>
          <cell r="EK13">
            <v>0</v>
          </cell>
          <cell r="EL13">
            <v>0</v>
          </cell>
          <cell r="EM13">
            <v>3756132.9</v>
          </cell>
          <cell r="ET13">
            <v>2022533.0999999999</v>
          </cell>
          <cell r="EZ13">
            <v>0</v>
          </cell>
        </row>
        <row r="14">
          <cell r="G14">
            <v>4</v>
          </cell>
          <cell r="CM14">
            <v>0</v>
          </cell>
          <cell r="CO14">
            <v>0</v>
          </cell>
          <cell r="CP14">
            <v>0</v>
          </cell>
          <cell r="CQ14">
            <v>0</v>
          </cell>
          <cell r="CR14">
            <v>1878066.8</v>
          </cell>
          <cell r="CU14">
            <v>1408550.0999999999</v>
          </cell>
          <cell r="CV14">
            <v>0</v>
          </cell>
          <cell r="CW14">
            <v>0</v>
          </cell>
          <cell r="CX14">
            <v>3286616.9</v>
          </cell>
          <cell r="DE14">
            <v>2817100.2</v>
          </cell>
          <cell r="DK14">
            <v>0</v>
          </cell>
          <cell r="EB14">
            <v>0</v>
          </cell>
          <cell r="ED14">
            <v>0</v>
          </cell>
          <cell r="EE14">
            <v>0</v>
          </cell>
          <cell r="EF14">
            <v>0</v>
          </cell>
          <cell r="EG14">
            <v>0</v>
          </cell>
          <cell r="EJ14">
            <v>0</v>
          </cell>
          <cell r="EK14">
            <v>0</v>
          </cell>
          <cell r="EL14">
            <v>0</v>
          </cell>
          <cell r="EM14">
            <v>6103717.1000000006</v>
          </cell>
          <cell r="ET14">
            <v>3286616.9</v>
          </cell>
          <cell r="EZ14">
            <v>0</v>
          </cell>
        </row>
        <row r="15">
          <cell r="G15">
            <v>5</v>
          </cell>
          <cell r="CM15">
            <v>0</v>
          </cell>
          <cell r="CO15">
            <v>0</v>
          </cell>
          <cell r="CP15">
            <v>91079.38</v>
          </cell>
          <cell r="CQ15">
            <v>0</v>
          </cell>
          <cell r="CR15">
            <v>592015.97</v>
          </cell>
          <cell r="CU15">
            <v>683095.35</v>
          </cell>
          <cell r="CV15">
            <v>0</v>
          </cell>
          <cell r="CW15">
            <v>0</v>
          </cell>
          <cell r="CX15">
            <v>1593889.15</v>
          </cell>
          <cell r="DE15">
            <v>1593889.15</v>
          </cell>
          <cell r="DK15">
            <v>0</v>
          </cell>
          <cell r="EB15">
            <v>0</v>
          </cell>
          <cell r="ED15">
            <v>0</v>
          </cell>
          <cell r="EE15">
            <v>0</v>
          </cell>
          <cell r="EF15">
            <v>0</v>
          </cell>
          <cell r="EG15">
            <v>0</v>
          </cell>
          <cell r="EJ15">
            <v>0</v>
          </cell>
          <cell r="EK15">
            <v>0</v>
          </cell>
          <cell r="EL15">
            <v>0</v>
          </cell>
          <cell r="EM15">
            <v>2960079.85</v>
          </cell>
          <cell r="ET15">
            <v>1593889.15</v>
          </cell>
          <cell r="EZ15">
            <v>0</v>
          </cell>
        </row>
        <row r="16">
          <cell r="G16">
            <v>6</v>
          </cell>
          <cell r="CM16">
            <v>0</v>
          </cell>
          <cell r="CO16">
            <v>0</v>
          </cell>
          <cell r="CP16">
            <v>0</v>
          </cell>
          <cell r="CQ16">
            <v>73623</v>
          </cell>
          <cell r="CR16">
            <v>478549.5</v>
          </cell>
          <cell r="CU16">
            <v>552172.5</v>
          </cell>
          <cell r="CV16">
            <v>0</v>
          </cell>
          <cell r="CW16">
            <v>0</v>
          </cell>
          <cell r="CX16">
            <v>1472460</v>
          </cell>
          <cell r="DE16">
            <v>1104345</v>
          </cell>
          <cell r="DK16">
            <v>0</v>
          </cell>
          <cell r="EB16">
            <v>0</v>
          </cell>
          <cell r="ED16">
            <v>0</v>
          </cell>
          <cell r="EE16">
            <v>0</v>
          </cell>
          <cell r="EF16">
            <v>0</v>
          </cell>
          <cell r="EG16">
            <v>0</v>
          </cell>
          <cell r="EJ16">
            <v>0</v>
          </cell>
          <cell r="EK16">
            <v>0</v>
          </cell>
          <cell r="EL16">
            <v>0</v>
          </cell>
          <cell r="EM16">
            <v>2392747.5</v>
          </cell>
          <cell r="ET16">
            <v>1288402.5</v>
          </cell>
          <cell r="EZ16">
            <v>0</v>
          </cell>
        </row>
        <row r="17">
          <cell r="G17">
            <v>7</v>
          </cell>
          <cell r="CM17">
            <v>0</v>
          </cell>
          <cell r="CO17">
            <v>0</v>
          </cell>
          <cell r="CP17">
            <v>0</v>
          </cell>
          <cell r="CQ17">
            <v>118680</v>
          </cell>
          <cell r="CR17">
            <v>771420</v>
          </cell>
          <cell r="CU17">
            <v>890100</v>
          </cell>
          <cell r="CV17">
            <v>0</v>
          </cell>
          <cell r="CW17">
            <v>0</v>
          </cell>
          <cell r="CX17">
            <v>2373600</v>
          </cell>
          <cell r="DE17">
            <v>1780200</v>
          </cell>
          <cell r="DK17">
            <v>0</v>
          </cell>
          <cell r="EB17">
            <v>0</v>
          </cell>
          <cell r="ED17">
            <v>0</v>
          </cell>
          <cell r="EE17">
            <v>0</v>
          </cell>
          <cell r="EF17">
            <v>0</v>
          </cell>
          <cell r="EG17">
            <v>0</v>
          </cell>
          <cell r="EJ17">
            <v>0</v>
          </cell>
          <cell r="EK17">
            <v>0</v>
          </cell>
          <cell r="EL17">
            <v>0</v>
          </cell>
          <cell r="EM17">
            <v>3857100</v>
          </cell>
          <cell r="ET17">
            <v>2076899.9999999998</v>
          </cell>
          <cell r="EZ17">
            <v>0</v>
          </cell>
        </row>
        <row r="18">
          <cell r="G18">
            <v>8</v>
          </cell>
          <cell r="CM18">
            <v>0</v>
          </cell>
          <cell r="CO18">
            <v>0</v>
          </cell>
          <cell r="CP18">
            <v>0</v>
          </cell>
          <cell r="CQ18">
            <v>148600</v>
          </cell>
          <cell r="CR18">
            <v>965900</v>
          </cell>
          <cell r="CU18">
            <v>0</v>
          </cell>
          <cell r="CV18">
            <v>1114500</v>
          </cell>
          <cell r="CW18">
            <v>0</v>
          </cell>
          <cell r="CX18">
            <v>2972000</v>
          </cell>
          <cell r="DE18">
            <v>2229000</v>
          </cell>
          <cell r="DK18">
            <v>0</v>
          </cell>
          <cell r="EB18">
            <v>0</v>
          </cell>
          <cell r="ED18">
            <v>0</v>
          </cell>
          <cell r="EE18">
            <v>0</v>
          </cell>
          <cell r="EF18">
            <v>0</v>
          </cell>
          <cell r="EG18">
            <v>0</v>
          </cell>
          <cell r="EJ18">
            <v>0</v>
          </cell>
          <cell r="EK18">
            <v>0</v>
          </cell>
          <cell r="EL18">
            <v>0</v>
          </cell>
          <cell r="EM18">
            <v>4829500</v>
          </cell>
          <cell r="ET18">
            <v>2600500</v>
          </cell>
          <cell r="EZ18">
            <v>0</v>
          </cell>
        </row>
        <row r="19">
          <cell r="G19">
            <v>9</v>
          </cell>
          <cell r="CM19">
            <v>0</v>
          </cell>
          <cell r="CO19">
            <v>0</v>
          </cell>
          <cell r="CP19">
            <v>0</v>
          </cell>
          <cell r="CQ19">
            <v>142144.80000000002</v>
          </cell>
          <cell r="CR19">
            <v>923941.20000000007</v>
          </cell>
          <cell r="CU19">
            <v>1066086</v>
          </cell>
          <cell r="CV19">
            <v>0</v>
          </cell>
          <cell r="CW19">
            <v>0</v>
          </cell>
          <cell r="CX19">
            <v>2487534</v>
          </cell>
          <cell r="DE19">
            <v>2487534</v>
          </cell>
          <cell r="DK19">
            <v>0</v>
          </cell>
          <cell r="EB19">
            <v>0</v>
          </cell>
          <cell r="ED19">
            <v>0</v>
          </cell>
          <cell r="EE19">
            <v>0</v>
          </cell>
          <cell r="EF19">
            <v>0</v>
          </cell>
          <cell r="EG19">
            <v>0</v>
          </cell>
          <cell r="EJ19">
            <v>0</v>
          </cell>
          <cell r="EK19">
            <v>0</v>
          </cell>
          <cell r="EL19">
            <v>0</v>
          </cell>
          <cell r="EM19">
            <v>4619706</v>
          </cell>
          <cell r="ET19">
            <v>2487534</v>
          </cell>
          <cell r="EZ19">
            <v>0</v>
          </cell>
        </row>
        <row r="20">
          <cell r="G20">
            <v>10</v>
          </cell>
          <cell r="CM20">
            <v>0</v>
          </cell>
          <cell r="CO20">
            <v>0</v>
          </cell>
          <cell r="CP20">
            <v>0</v>
          </cell>
          <cell r="CQ20">
            <v>274831.30160000001</v>
          </cell>
          <cell r="CR20">
            <v>1786403.4604</v>
          </cell>
          <cell r="CU20">
            <v>0</v>
          </cell>
          <cell r="CV20">
            <v>2061234.7619999999</v>
          </cell>
          <cell r="CW20">
            <v>0</v>
          </cell>
          <cell r="CX20">
            <v>2748313.0160000003</v>
          </cell>
          <cell r="DE20">
            <v>6870782.5399999991</v>
          </cell>
          <cell r="DK20">
            <v>0</v>
          </cell>
          <cell r="EB20">
            <v>0</v>
          </cell>
          <cell r="ED20">
            <v>0</v>
          </cell>
          <cell r="EE20">
            <v>0</v>
          </cell>
          <cell r="EF20">
            <v>0</v>
          </cell>
          <cell r="EG20">
            <v>0</v>
          </cell>
          <cell r="EJ20">
            <v>0</v>
          </cell>
          <cell r="EK20">
            <v>0</v>
          </cell>
          <cell r="EL20">
            <v>0</v>
          </cell>
          <cell r="EM20">
            <v>8932017.3020000011</v>
          </cell>
          <cell r="ET20">
            <v>4809547.7779999999</v>
          </cell>
          <cell r="EZ20">
            <v>0</v>
          </cell>
        </row>
        <row r="21">
          <cell r="G21">
            <v>11</v>
          </cell>
          <cell r="CM21">
            <v>0</v>
          </cell>
          <cell r="CO21">
            <v>0</v>
          </cell>
          <cell r="CP21">
            <v>0</v>
          </cell>
          <cell r="CQ21">
            <v>101430.9754</v>
          </cell>
          <cell r="CR21">
            <v>659301.34009999991</v>
          </cell>
          <cell r="CU21">
            <v>0</v>
          </cell>
          <cell r="CV21">
            <v>760732.31549999991</v>
          </cell>
          <cell r="CW21">
            <v>0</v>
          </cell>
          <cell r="CX21">
            <v>1775042.0694999998</v>
          </cell>
          <cell r="DE21">
            <v>1775042.0694999998</v>
          </cell>
          <cell r="DK21">
            <v>0</v>
          </cell>
          <cell r="EB21">
            <v>0</v>
          </cell>
          <cell r="ED21">
            <v>0</v>
          </cell>
          <cell r="EE21">
            <v>0</v>
          </cell>
          <cell r="EF21">
            <v>0</v>
          </cell>
          <cell r="EG21">
            <v>0</v>
          </cell>
          <cell r="EJ21">
            <v>0</v>
          </cell>
          <cell r="EK21">
            <v>0</v>
          </cell>
          <cell r="EL21">
            <v>0</v>
          </cell>
          <cell r="EM21">
            <v>3296506.7004999998</v>
          </cell>
          <cell r="ET21">
            <v>1775042.0694999998</v>
          </cell>
          <cell r="EZ21">
            <v>0</v>
          </cell>
        </row>
        <row r="22">
          <cell r="G22">
            <v>12</v>
          </cell>
          <cell r="CM22">
            <v>0</v>
          </cell>
          <cell r="CO22">
            <v>0</v>
          </cell>
          <cell r="CP22">
            <v>0</v>
          </cell>
          <cell r="CQ22">
            <v>97238.375800000009</v>
          </cell>
          <cell r="CR22">
            <v>632049.44270000001</v>
          </cell>
          <cell r="CU22">
            <v>0</v>
          </cell>
          <cell r="CV22">
            <v>729287.81849999994</v>
          </cell>
          <cell r="CW22">
            <v>0</v>
          </cell>
          <cell r="CX22">
            <v>1701671.5765</v>
          </cell>
          <cell r="DE22">
            <v>1701671.5765</v>
          </cell>
          <cell r="DK22">
            <v>0</v>
          </cell>
          <cell r="EB22">
            <v>0</v>
          </cell>
          <cell r="ED22">
            <v>0</v>
          </cell>
          <cell r="EE22">
            <v>0</v>
          </cell>
          <cell r="EF22">
            <v>0</v>
          </cell>
          <cell r="EG22">
            <v>0</v>
          </cell>
          <cell r="EJ22">
            <v>0</v>
          </cell>
          <cell r="EK22">
            <v>0</v>
          </cell>
          <cell r="EL22">
            <v>0</v>
          </cell>
          <cell r="EM22">
            <v>3160247.2135000001</v>
          </cell>
          <cell r="ET22">
            <v>1701671.5765</v>
          </cell>
          <cell r="EZ22">
            <v>0</v>
          </cell>
        </row>
        <row r="23">
          <cell r="G23">
            <v>13</v>
          </cell>
          <cell r="CM23">
            <v>0</v>
          </cell>
          <cell r="CO23">
            <v>0</v>
          </cell>
          <cell r="CP23">
            <v>0</v>
          </cell>
          <cell r="CQ23">
            <v>113719.5266</v>
          </cell>
          <cell r="CR23">
            <v>739176.92290000001</v>
          </cell>
          <cell r="CU23">
            <v>0</v>
          </cell>
          <cell r="CV23">
            <v>852896.44949999999</v>
          </cell>
          <cell r="CW23">
            <v>0</v>
          </cell>
          <cell r="CX23">
            <v>1137195.2660000001</v>
          </cell>
          <cell r="DE23">
            <v>2842988.165</v>
          </cell>
          <cell r="DK23">
            <v>0</v>
          </cell>
          <cell r="EB23">
            <v>0</v>
          </cell>
          <cell r="ED23">
            <v>0</v>
          </cell>
          <cell r="EE23">
            <v>0</v>
          </cell>
          <cell r="EF23">
            <v>0</v>
          </cell>
          <cell r="EG23">
            <v>0</v>
          </cell>
          <cell r="EJ23">
            <v>0</v>
          </cell>
          <cell r="EK23">
            <v>0</v>
          </cell>
          <cell r="EL23">
            <v>0</v>
          </cell>
          <cell r="EM23">
            <v>3695884.6145000001</v>
          </cell>
          <cell r="ET23">
            <v>1990091.7154999999</v>
          </cell>
          <cell r="EZ23">
            <v>0</v>
          </cell>
        </row>
        <row r="24">
          <cell r="G24">
            <v>14</v>
          </cell>
          <cell r="CM24">
            <v>0</v>
          </cell>
          <cell r="CO24">
            <v>0</v>
          </cell>
          <cell r="CP24">
            <v>0</v>
          </cell>
          <cell r="CQ24">
            <v>68763.661999999997</v>
          </cell>
          <cell r="CR24">
            <v>446963.80300000001</v>
          </cell>
          <cell r="CU24">
            <v>0</v>
          </cell>
          <cell r="CV24">
            <v>515727.46499999997</v>
          </cell>
          <cell r="CW24">
            <v>0</v>
          </cell>
          <cell r="CX24">
            <v>687636.62000000011</v>
          </cell>
          <cell r="DE24">
            <v>1719091.55</v>
          </cell>
          <cell r="DK24">
            <v>0</v>
          </cell>
          <cell r="EB24">
            <v>0</v>
          </cell>
          <cell r="ED24">
            <v>0</v>
          </cell>
          <cell r="EE24">
            <v>0</v>
          </cell>
          <cell r="EF24">
            <v>0</v>
          </cell>
          <cell r="EG24">
            <v>0</v>
          </cell>
          <cell r="EJ24">
            <v>0</v>
          </cell>
          <cell r="EK24">
            <v>0</v>
          </cell>
          <cell r="EL24">
            <v>0</v>
          </cell>
          <cell r="EM24">
            <v>2234819.0150000001</v>
          </cell>
          <cell r="ET24">
            <v>1203364.085</v>
          </cell>
          <cell r="EZ24">
            <v>0</v>
          </cell>
        </row>
        <row r="25">
          <cell r="G25">
            <v>15</v>
          </cell>
          <cell r="CM25">
            <v>0</v>
          </cell>
          <cell r="CO25">
            <v>0</v>
          </cell>
          <cell r="CP25">
            <v>0</v>
          </cell>
          <cell r="CQ25">
            <v>171160.44</v>
          </cell>
          <cell r="CR25">
            <v>1112542.8600000001</v>
          </cell>
          <cell r="CU25">
            <v>0</v>
          </cell>
          <cell r="CV25">
            <v>1283703.3</v>
          </cell>
          <cell r="CW25">
            <v>0</v>
          </cell>
          <cell r="CX25">
            <v>1711604.4000000001</v>
          </cell>
          <cell r="DE25">
            <v>4279011</v>
          </cell>
          <cell r="DK25">
            <v>0</v>
          </cell>
          <cell r="EB25">
            <v>0</v>
          </cell>
          <cell r="ED25">
            <v>0</v>
          </cell>
          <cell r="EE25">
            <v>0</v>
          </cell>
          <cell r="EF25">
            <v>0</v>
          </cell>
          <cell r="EG25">
            <v>0</v>
          </cell>
          <cell r="EJ25">
            <v>0</v>
          </cell>
          <cell r="EK25">
            <v>0</v>
          </cell>
          <cell r="EL25">
            <v>0</v>
          </cell>
          <cell r="EM25">
            <v>5562714.2999999998</v>
          </cell>
          <cell r="ET25">
            <v>2995307.6999999997</v>
          </cell>
          <cell r="EZ25">
            <v>0</v>
          </cell>
        </row>
        <row r="26">
          <cell r="G26">
            <v>16</v>
          </cell>
          <cell r="CM26">
            <v>0</v>
          </cell>
          <cell r="CO26">
            <v>0</v>
          </cell>
          <cell r="CP26">
            <v>0</v>
          </cell>
          <cell r="CQ26">
            <v>48021.700000000004</v>
          </cell>
          <cell r="CR26">
            <v>312141.05</v>
          </cell>
          <cell r="CU26">
            <v>360162.75</v>
          </cell>
          <cell r="CV26">
            <v>480217</v>
          </cell>
          <cell r="CW26">
            <v>0</v>
          </cell>
          <cell r="CX26">
            <v>1200542.5</v>
          </cell>
          <cell r="DE26">
            <v>0</v>
          </cell>
          <cell r="DK26">
            <v>0</v>
          </cell>
          <cell r="EB26">
            <v>0</v>
          </cell>
          <cell r="ED26">
            <v>0</v>
          </cell>
          <cell r="EE26">
            <v>0</v>
          </cell>
          <cell r="EF26">
            <v>0</v>
          </cell>
          <cell r="EG26">
            <v>0</v>
          </cell>
          <cell r="EJ26">
            <v>0</v>
          </cell>
          <cell r="EK26">
            <v>0</v>
          </cell>
          <cell r="EL26">
            <v>0</v>
          </cell>
          <cell r="EM26">
            <v>2401085</v>
          </cell>
          <cell r="ET26">
            <v>0</v>
          </cell>
          <cell r="EZ26">
            <v>0</v>
          </cell>
        </row>
        <row r="27">
          <cell r="G27">
            <v>17</v>
          </cell>
          <cell r="CM27">
            <v>0</v>
          </cell>
          <cell r="CO27">
            <v>0</v>
          </cell>
          <cell r="CP27">
            <v>0</v>
          </cell>
          <cell r="CQ27">
            <v>74941.400000000009</v>
          </cell>
          <cell r="CR27">
            <v>487119.10000000003</v>
          </cell>
          <cell r="CU27">
            <v>0</v>
          </cell>
          <cell r="CV27">
            <v>562060.5</v>
          </cell>
          <cell r="CW27">
            <v>749414</v>
          </cell>
          <cell r="CX27">
            <v>1873535</v>
          </cell>
          <cell r="DE27">
            <v>0</v>
          </cell>
          <cell r="DK27">
            <v>0</v>
          </cell>
          <cell r="EB27">
            <v>0</v>
          </cell>
          <cell r="ED27">
            <v>0</v>
          </cell>
          <cell r="EE27">
            <v>0</v>
          </cell>
          <cell r="EF27">
            <v>0</v>
          </cell>
          <cell r="EG27">
            <v>0</v>
          </cell>
          <cell r="EJ27">
            <v>0</v>
          </cell>
          <cell r="EK27">
            <v>0</v>
          </cell>
          <cell r="EL27">
            <v>0</v>
          </cell>
          <cell r="EM27">
            <v>3747070</v>
          </cell>
          <cell r="ET27">
            <v>0</v>
          </cell>
          <cell r="EZ27">
            <v>0</v>
          </cell>
        </row>
        <row r="28">
          <cell r="G28">
            <v>18</v>
          </cell>
          <cell r="CM28">
            <v>0</v>
          </cell>
          <cell r="CO28">
            <v>0</v>
          </cell>
          <cell r="CP28">
            <v>107375.36</v>
          </cell>
          <cell r="CQ28">
            <v>0</v>
          </cell>
          <cell r="CR28">
            <v>697939.84</v>
          </cell>
          <cell r="CU28">
            <v>0</v>
          </cell>
          <cell r="CV28">
            <v>805315.2</v>
          </cell>
          <cell r="CW28">
            <v>1073753.6000000001</v>
          </cell>
          <cell r="CX28">
            <v>1879068.7999999998</v>
          </cell>
          <cell r="DE28">
            <v>805315.2</v>
          </cell>
          <cell r="DK28">
            <v>0</v>
          </cell>
          <cell r="EB28">
            <v>0</v>
          </cell>
          <cell r="ED28">
            <v>0</v>
          </cell>
          <cell r="EE28">
            <v>0</v>
          </cell>
          <cell r="EF28">
            <v>0</v>
          </cell>
          <cell r="EG28">
            <v>0</v>
          </cell>
          <cell r="EJ28">
            <v>0</v>
          </cell>
          <cell r="EK28">
            <v>0</v>
          </cell>
          <cell r="EL28">
            <v>0</v>
          </cell>
          <cell r="EM28">
            <v>5368768</v>
          </cell>
          <cell r="ET28">
            <v>0</v>
          </cell>
          <cell r="EZ28">
            <v>0</v>
          </cell>
        </row>
        <row r="29">
          <cell r="G29">
            <v>19</v>
          </cell>
          <cell r="CM29">
            <v>0</v>
          </cell>
          <cell r="CO29">
            <v>0</v>
          </cell>
          <cell r="CP29">
            <v>89286.040000000008</v>
          </cell>
          <cell r="CQ29">
            <v>0</v>
          </cell>
          <cell r="CR29">
            <v>580359.26</v>
          </cell>
          <cell r="CU29">
            <v>669645.29999999993</v>
          </cell>
          <cell r="CV29">
            <v>0</v>
          </cell>
          <cell r="CW29">
            <v>892860.4</v>
          </cell>
          <cell r="CX29">
            <v>2232151</v>
          </cell>
          <cell r="DE29">
            <v>0</v>
          </cell>
          <cell r="DK29">
            <v>0</v>
          </cell>
          <cell r="EB29">
            <v>0</v>
          </cell>
          <cell r="ED29">
            <v>0</v>
          </cell>
          <cell r="EE29">
            <v>0</v>
          </cell>
          <cell r="EF29">
            <v>0</v>
          </cell>
          <cell r="EG29">
            <v>0</v>
          </cell>
          <cell r="EJ29">
            <v>0</v>
          </cell>
          <cell r="EK29">
            <v>0</v>
          </cell>
          <cell r="EL29">
            <v>0</v>
          </cell>
          <cell r="EM29">
            <v>4464302</v>
          </cell>
          <cell r="ET29">
            <v>0</v>
          </cell>
          <cell r="EZ29">
            <v>0</v>
          </cell>
        </row>
        <row r="30">
          <cell r="G30">
            <v>20</v>
          </cell>
          <cell r="CM30">
            <v>0</v>
          </cell>
          <cell r="CO30">
            <v>0</v>
          </cell>
          <cell r="CP30">
            <v>130232.36</v>
          </cell>
          <cell r="CQ30">
            <v>0</v>
          </cell>
          <cell r="CR30">
            <v>846510.34000000008</v>
          </cell>
          <cell r="CU30">
            <v>976742.7</v>
          </cell>
          <cell r="CV30">
            <v>0</v>
          </cell>
          <cell r="CW30">
            <v>1302323.6000000001</v>
          </cell>
          <cell r="CX30">
            <v>3255809</v>
          </cell>
          <cell r="DE30">
            <v>0</v>
          </cell>
          <cell r="DK30">
            <v>0</v>
          </cell>
          <cell r="EB30">
            <v>0</v>
          </cell>
          <cell r="ED30">
            <v>0</v>
          </cell>
          <cell r="EE30">
            <v>0</v>
          </cell>
          <cell r="EF30">
            <v>0</v>
          </cell>
          <cell r="EG30">
            <v>0</v>
          </cell>
          <cell r="EJ30">
            <v>0</v>
          </cell>
          <cell r="EK30">
            <v>0</v>
          </cell>
          <cell r="EL30">
            <v>0</v>
          </cell>
          <cell r="EM30">
            <v>6511618</v>
          </cell>
          <cell r="ET30">
            <v>0</v>
          </cell>
          <cell r="EZ30">
            <v>0</v>
          </cell>
        </row>
        <row r="31">
          <cell r="G31">
            <v>21</v>
          </cell>
          <cell r="CM31">
            <v>0</v>
          </cell>
          <cell r="CO31">
            <v>0</v>
          </cell>
          <cell r="CP31">
            <v>74836.14</v>
          </cell>
          <cell r="CQ31">
            <v>0</v>
          </cell>
          <cell r="CR31">
            <v>486434.91000000003</v>
          </cell>
          <cell r="CU31">
            <v>561271.04999999993</v>
          </cell>
          <cell r="CV31">
            <v>0</v>
          </cell>
          <cell r="CW31">
            <v>748361.4</v>
          </cell>
          <cell r="CX31">
            <v>1870903.5</v>
          </cell>
          <cell r="DE31">
            <v>0</v>
          </cell>
          <cell r="DK31">
            <v>0</v>
          </cell>
          <cell r="EB31">
            <v>0</v>
          </cell>
          <cell r="ED31">
            <v>0</v>
          </cell>
          <cell r="EE31">
            <v>0</v>
          </cell>
          <cell r="EF31">
            <v>0</v>
          </cell>
          <cell r="EG31">
            <v>0</v>
          </cell>
          <cell r="EJ31">
            <v>0</v>
          </cell>
          <cell r="EK31">
            <v>0</v>
          </cell>
          <cell r="EL31">
            <v>0</v>
          </cell>
          <cell r="EM31">
            <v>3741807</v>
          </cell>
          <cell r="ET31">
            <v>0</v>
          </cell>
          <cell r="EZ31">
            <v>0</v>
          </cell>
        </row>
        <row r="32">
          <cell r="G32">
            <v>22</v>
          </cell>
          <cell r="CM32">
            <v>0</v>
          </cell>
          <cell r="CO32">
            <v>0</v>
          </cell>
          <cell r="CP32">
            <v>0</v>
          </cell>
          <cell r="CQ32">
            <v>85644.747200000013</v>
          </cell>
          <cell r="CR32">
            <v>556690.85680000007</v>
          </cell>
          <cell r="CU32">
            <v>642335.60400000005</v>
          </cell>
          <cell r="CV32">
            <v>0</v>
          </cell>
          <cell r="CW32">
            <v>0</v>
          </cell>
          <cell r="CX32">
            <v>2997566.1520000002</v>
          </cell>
          <cell r="DE32">
            <v>0</v>
          </cell>
          <cell r="DK32">
            <v>0</v>
          </cell>
          <cell r="EB32">
            <v>0</v>
          </cell>
          <cell r="ED32">
            <v>0</v>
          </cell>
          <cell r="EE32">
            <v>0</v>
          </cell>
          <cell r="EF32">
            <v>0</v>
          </cell>
          <cell r="EG32">
            <v>0</v>
          </cell>
          <cell r="EJ32">
            <v>0</v>
          </cell>
          <cell r="EK32">
            <v>0</v>
          </cell>
          <cell r="EL32">
            <v>0</v>
          </cell>
          <cell r="EM32">
            <v>4282237.3600000003</v>
          </cell>
          <cell r="ET32">
            <v>0</v>
          </cell>
          <cell r="EZ32">
            <v>0</v>
          </cell>
        </row>
        <row r="33">
          <cell r="G33">
            <v>23</v>
          </cell>
          <cell r="CM33">
            <v>0</v>
          </cell>
          <cell r="CO33">
            <v>0</v>
          </cell>
          <cell r="CP33">
            <v>0</v>
          </cell>
          <cell r="CQ33">
            <v>54569.489200000004</v>
          </cell>
          <cell r="CR33">
            <v>354701.67979999998</v>
          </cell>
          <cell r="CU33">
            <v>409271.16899999999</v>
          </cell>
          <cell r="CV33">
            <v>0</v>
          </cell>
          <cell r="CW33">
            <v>0</v>
          </cell>
          <cell r="CX33">
            <v>1909932.122</v>
          </cell>
          <cell r="DE33">
            <v>0</v>
          </cell>
          <cell r="DK33">
            <v>0</v>
          </cell>
          <cell r="EB33">
            <v>0</v>
          </cell>
          <cell r="ED33">
            <v>0</v>
          </cell>
          <cell r="EE33">
            <v>0</v>
          </cell>
          <cell r="EF33">
            <v>0</v>
          </cell>
          <cell r="EG33">
            <v>0</v>
          </cell>
          <cell r="EJ33">
            <v>0</v>
          </cell>
          <cell r="EK33">
            <v>0</v>
          </cell>
          <cell r="EL33">
            <v>0</v>
          </cell>
          <cell r="EM33">
            <v>2728474.46</v>
          </cell>
          <cell r="ET33">
            <v>0</v>
          </cell>
          <cell r="EZ33">
            <v>0</v>
          </cell>
        </row>
        <row r="34">
          <cell r="G34">
            <v>24</v>
          </cell>
          <cell r="CM34">
            <v>0</v>
          </cell>
          <cell r="CO34">
            <v>0</v>
          </cell>
          <cell r="CP34">
            <v>0</v>
          </cell>
          <cell r="CQ34">
            <v>58814.700000000004</v>
          </cell>
          <cell r="CR34">
            <v>382295.55</v>
          </cell>
          <cell r="CU34">
            <v>441110.25</v>
          </cell>
          <cell r="CV34">
            <v>0</v>
          </cell>
          <cell r="CW34">
            <v>588147</v>
          </cell>
          <cell r="CX34">
            <v>1470367.5</v>
          </cell>
          <cell r="DE34">
            <v>0</v>
          </cell>
          <cell r="DK34">
            <v>0</v>
          </cell>
          <cell r="EB34">
            <v>0</v>
          </cell>
          <cell r="ED34">
            <v>0</v>
          </cell>
          <cell r="EE34">
            <v>0</v>
          </cell>
          <cell r="EF34">
            <v>0</v>
          </cell>
          <cell r="EG34">
            <v>0</v>
          </cell>
          <cell r="EJ34">
            <v>0</v>
          </cell>
          <cell r="EK34">
            <v>0</v>
          </cell>
          <cell r="EL34">
            <v>0</v>
          </cell>
          <cell r="EM34">
            <v>2940735</v>
          </cell>
          <cell r="ET34">
            <v>0</v>
          </cell>
          <cell r="EZ34">
            <v>0</v>
          </cell>
        </row>
        <row r="35">
          <cell r="G35">
            <v>25</v>
          </cell>
          <cell r="CM35">
            <v>0</v>
          </cell>
          <cell r="CO35">
            <v>0</v>
          </cell>
          <cell r="CP35">
            <v>0</v>
          </cell>
          <cell r="CQ35">
            <v>0</v>
          </cell>
          <cell r="CR35">
            <v>641203.05000000005</v>
          </cell>
          <cell r="CU35">
            <v>641203.04999999993</v>
          </cell>
          <cell r="CV35">
            <v>0</v>
          </cell>
          <cell r="CW35">
            <v>854937.4</v>
          </cell>
          <cell r="CX35">
            <v>2137343.5</v>
          </cell>
          <cell r="DE35">
            <v>0</v>
          </cell>
          <cell r="DK35">
            <v>0</v>
          </cell>
          <cell r="EB35">
            <v>0</v>
          </cell>
          <cell r="ED35">
            <v>0</v>
          </cell>
          <cell r="EE35">
            <v>0</v>
          </cell>
          <cell r="EF35">
            <v>0</v>
          </cell>
          <cell r="EG35">
            <v>0</v>
          </cell>
          <cell r="EJ35">
            <v>0</v>
          </cell>
          <cell r="EK35">
            <v>0</v>
          </cell>
          <cell r="EL35">
            <v>0</v>
          </cell>
          <cell r="EM35">
            <v>4274687</v>
          </cell>
          <cell r="ET35">
            <v>0</v>
          </cell>
          <cell r="EZ35">
            <v>0</v>
          </cell>
        </row>
        <row r="36">
          <cell r="G36">
            <v>26</v>
          </cell>
          <cell r="CM36">
            <v>0</v>
          </cell>
          <cell r="CO36">
            <v>0</v>
          </cell>
          <cell r="CP36">
            <v>0</v>
          </cell>
          <cell r="CQ36">
            <v>0</v>
          </cell>
          <cell r="CR36">
            <v>0</v>
          </cell>
          <cell r="CU36">
            <v>181087.52</v>
          </cell>
          <cell r="CV36">
            <v>0</v>
          </cell>
          <cell r="CW36">
            <v>1177068.8800000001</v>
          </cell>
          <cell r="CX36">
            <v>1358156.4</v>
          </cell>
          <cell r="DE36">
            <v>6338063.1999999993</v>
          </cell>
          <cell r="DK36">
            <v>0</v>
          </cell>
          <cell r="EB36">
            <v>0</v>
          </cell>
          <cell r="ED36">
            <v>0</v>
          </cell>
          <cell r="EE36">
            <v>0</v>
          </cell>
          <cell r="EF36">
            <v>0</v>
          </cell>
          <cell r="EG36">
            <v>0</v>
          </cell>
          <cell r="EJ36">
            <v>0</v>
          </cell>
          <cell r="EK36">
            <v>0</v>
          </cell>
          <cell r="EL36">
            <v>0</v>
          </cell>
          <cell r="EM36">
            <v>0</v>
          </cell>
          <cell r="ET36">
            <v>9054376</v>
          </cell>
          <cell r="EZ36">
            <v>0</v>
          </cell>
        </row>
        <row r="37">
          <cell r="G37">
            <v>27</v>
          </cell>
          <cell r="CM37">
            <v>0</v>
          </cell>
          <cell r="CO37">
            <v>0</v>
          </cell>
          <cell r="CP37">
            <v>0</v>
          </cell>
          <cell r="CQ37">
            <v>0</v>
          </cell>
          <cell r="CR37">
            <v>0</v>
          </cell>
          <cell r="CU37">
            <v>312755.31063829787</v>
          </cell>
          <cell r="CV37">
            <v>0</v>
          </cell>
          <cell r="CW37">
            <v>2032909.5191489363</v>
          </cell>
          <cell r="CX37">
            <v>2345664.8297872338</v>
          </cell>
          <cell r="DE37">
            <v>5473217.9361702129</v>
          </cell>
          <cell r="DK37">
            <v>5473217.9361702129</v>
          </cell>
          <cell r="EB37">
            <v>0</v>
          </cell>
          <cell r="ED37">
            <v>0</v>
          </cell>
          <cell r="EE37">
            <v>0</v>
          </cell>
          <cell r="EF37">
            <v>0</v>
          </cell>
          <cell r="EG37">
            <v>0</v>
          </cell>
          <cell r="EJ37">
            <v>0</v>
          </cell>
          <cell r="EK37">
            <v>0</v>
          </cell>
          <cell r="EL37">
            <v>0</v>
          </cell>
          <cell r="EM37">
            <v>0</v>
          </cell>
          <cell r="ET37">
            <v>10164547.595744681</v>
          </cell>
          <cell r="EZ37">
            <v>5473217.936170212</v>
          </cell>
        </row>
        <row r="38">
          <cell r="G38">
            <v>28</v>
          </cell>
          <cell r="CM38">
            <v>0</v>
          </cell>
          <cell r="CO38">
            <v>0</v>
          </cell>
          <cell r="CP38">
            <v>0</v>
          </cell>
          <cell r="CQ38">
            <v>0</v>
          </cell>
          <cell r="CR38">
            <v>0</v>
          </cell>
          <cell r="CU38">
            <v>177228.00936170213</v>
          </cell>
          <cell r="CV38">
            <v>0</v>
          </cell>
          <cell r="CW38">
            <v>1151982.0608510638</v>
          </cell>
          <cell r="CX38">
            <v>1329210.0702127658</v>
          </cell>
          <cell r="DE38">
            <v>3101490.1638297872</v>
          </cell>
          <cell r="DK38">
            <v>3101490.1638297872</v>
          </cell>
          <cell r="EB38">
            <v>0</v>
          </cell>
          <cell r="ED38">
            <v>0</v>
          </cell>
          <cell r="EE38">
            <v>0</v>
          </cell>
          <cell r="EF38">
            <v>0</v>
          </cell>
          <cell r="EG38">
            <v>0</v>
          </cell>
          <cell r="EJ38">
            <v>0</v>
          </cell>
          <cell r="EK38">
            <v>0</v>
          </cell>
          <cell r="EL38">
            <v>0</v>
          </cell>
          <cell r="EM38">
            <v>0</v>
          </cell>
          <cell r="ET38">
            <v>5759910.3042553198</v>
          </cell>
          <cell r="EZ38">
            <v>3101490.1638297872</v>
          </cell>
        </row>
        <row r="39">
          <cell r="G39">
            <v>29</v>
          </cell>
          <cell r="CM39">
            <v>0</v>
          </cell>
          <cell r="CO39">
            <v>0</v>
          </cell>
          <cell r="CP39">
            <v>0</v>
          </cell>
          <cell r="CQ39">
            <v>0</v>
          </cell>
          <cell r="CR39">
            <v>0</v>
          </cell>
          <cell r="CU39">
            <v>187247.82</v>
          </cell>
          <cell r="CV39">
            <v>0</v>
          </cell>
          <cell r="CW39">
            <v>1217110.83</v>
          </cell>
          <cell r="CX39">
            <v>1404358.65</v>
          </cell>
          <cell r="DE39">
            <v>6553673.6999999993</v>
          </cell>
          <cell r="DK39">
            <v>0</v>
          </cell>
          <cell r="EB39">
            <v>0</v>
          </cell>
          <cell r="ED39">
            <v>0</v>
          </cell>
          <cell r="EE39">
            <v>0</v>
          </cell>
          <cell r="EF39">
            <v>0</v>
          </cell>
          <cell r="EG39">
            <v>0</v>
          </cell>
          <cell r="EJ39">
            <v>0</v>
          </cell>
          <cell r="EK39">
            <v>0</v>
          </cell>
          <cell r="EL39">
            <v>0</v>
          </cell>
          <cell r="EM39">
            <v>0</v>
          </cell>
          <cell r="ET39">
            <v>9362391</v>
          </cell>
          <cell r="EZ39">
            <v>0</v>
          </cell>
        </row>
        <row r="40">
          <cell r="G40">
            <v>30</v>
          </cell>
          <cell r="CM40">
            <v>0</v>
          </cell>
          <cell r="CO40">
            <v>0</v>
          </cell>
          <cell r="CP40">
            <v>0</v>
          </cell>
          <cell r="CQ40">
            <v>0</v>
          </cell>
          <cell r="CR40">
            <v>0</v>
          </cell>
          <cell r="CU40">
            <v>192540.02</v>
          </cell>
          <cell r="CV40">
            <v>0</v>
          </cell>
          <cell r="CW40">
            <v>1251510.1300000001</v>
          </cell>
          <cell r="CX40">
            <v>1444050.15</v>
          </cell>
          <cell r="DE40">
            <v>6738900.6999999993</v>
          </cell>
          <cell r="DK40">
            <v>0</v>
          </cell>
          <cell r="EB40">
            <v>0</v>
          </cell>
          <cell r="ED40">
            <v>0</v>
          </cell>
          <cell r="EE40">
            <v>0</v>
          </cell>
          <cell r="EF40">
            <v>0</v>
          </cell>
          <cell r="EG40">
            <v>0</v>
          </cell>
          <cell r="EJ40">
            <v>0</v>
          </cell>
          <cell r="EK40">
            <v>0</v>
          </cell>
          <cell r="EL40">
            <v>0</v>
          </cell>
          <cell r="EM40">
            <v>0</v>
          </cell>
          <cell r="ET40">
            <v>9627001</v>
          </cell>
          <cell r="EZ40">
            <v>0</v>
          </cell>
        </row>
        <row r="41">
          <cell r="G41">
            <v>31</v>
          </cell>
          <cell r="CM41">
            <v>0</v>
          </cell>
          <cell r="CO41">
            <v>0</v>
          </cell>
          <cell r="CP41">
            <v>0</v>
          </cell>
          <cell r="CQ41">
            <v>0</v>
          </cell>
          <cell r="CR41">
            <v>0</v>
          </cell>
          <cell r="CU41">
            <v>190600</v>
          </cell>
          <cell r="CV41">
            <v>0</v>
          </cell>
          <cell r="CW41">
            <v>1238900</v>
          </cell>
          <cell r="CX41">
            <v>1429500</v>
          </cell>
          <cell r="DE41">
            <v>6671000</v>
          </cell>
          <cell r="DK41">
            <v>0</v>
          </cell>
          <cell r="EB41">
            <v>0</v>
          </cell>
          <cell r="ED41">
            <v>0</v>
          </cell>
          <cell r="EE41">
            <v>0</v>
          </cell>
          <cell r="EF41">
            <v>0</v>
          </cell>
          <cell r="EG41">
            <v>0</v>
          </cell>
          <cell r="EJ41">
            <v>0</v>
          </cell>
          <cell r="EK41">
            <v>0</v>
          </cell>
          <cell r="EL41">
            <v>0</v>
          </cell>
          <cell r="EM41">
            <v>0</v>
          </cell>
          <cell r="ET41">
            <v>9530000</v>
          </cell>
          <cell r="EZ41">
            <v>0</v>
          </cell>
        </row>
        <row r="42">
          <cell r="G42">
            <v>32</v>
          </cell>
          <cell r="CM42">
            <v>0</v>
          </cell>
          <cell r="CO42">
            <v>0</v>
          </cell>
          <cell r="CP42">
            <v>0</v>
          </cell>
          <cell r="CQ42">
            <v>0</v>
          </cell>
          <cell r="CR42">
            <v>0</v>
          </cell>
          <cell r="CU42">
            <v>112524.42</v>
          </cell>
          <cell r="CV42">
            <v>0</v>
          </cell>
          <cell r="CW42">
            <v>731408.73</v>
          </cell>
          <cell r="CX42">
            <v>843933.15</v>
          </cell>
          <cell r="DE42">
            <v>3938354.6999999997</v>
          </cell>
          <cell r="DK42">
            <v>0</v>
          </cell>
          <cell r="EB42">
            <v>0</v>
          </cell>
          <cell r="ED42">
            <v>0</v>
          </cell>
          <cell r="EE42">
            <v>0</v>
          </cell>
          <cell r="EF42">
            <v>0</v>
          </cell>
          <cell r="EG42">
            <v>0</v>
          </cell>
          <cell r="EJ42">
            <v>0</v>
          </cell>
          <cell r="EK42">
            <v>0</v>
          </cell>
          <cell r="EL42">
            <v>0</v>
          </cell>
          <cell r="EM42">
            <v>0</v>
          </cell>
          <cell r="ET42">
            <v>5626221</v>
          </cell>
          <cell r="EZ42">
            <v>0</v>
          </cell>
        </row>
        <row r="43">
          <cell r="G43">
            <v>33</v>
          </cell>
          <cell r="CM43">
            <v>0</v>
          </cell>
          <cell r="CO43">
            <v>0</v>
          </cell>
          <cell r="CP43">
            <v>0</v>
          </cell>
          <cell r="CQ43">
            <v>0</v>
          </cell>
          <cell r="CR43">
            <v>0</v>
          </cell>
          <cell r="CU43">
            <v>113221.34</v>
          </cell>
          <cell r="CV43">
            <v>0</v>
          </cell>
          <cell r="CW43">
            <v>735938.71000000008</v>
          </cell>
          <cell r="CX43">
            <v>849160.04999999993</v>
          </cell>
          <cell r="DE43">
            <v>3962746.9000000004</v>
          </cell>
          <cell r="DK43">
            <v>0</v>
          </cell>
          <cell r="EB43">
            <v>0</v>
          </cell>
          <cell r="ED43">
            <v>0</v>
          </cell>
          <cell r="EE43">
            <v>0</v>
          </cell>
          <cell r="EF43">
            <v>0</v>
          </cell>
          <cell r="EG43">
            <v>0</v>
          </cell>
          <cell r="EJ43">
            <v>0</v>
          </cell>
          <cell r="EK43">
            <v>0</v>
          </cell>
          <cell r="EL43">
            <v>0</v>
          </cell>
          <cell r="EM43">
            <v>0</v>
          </cell>
          <cell r="ET43">
            <v>5661067</v>
          </cell>
          <cell r="EZ43">
            <v>0</v>
          </cell>
        </row>
        <row r="44">
          <cell r="G44">
            <v>34</v>
          </cell>
          <cell r="CM44">
            <v>0</v>
          </cell>
          <cell r="CO44">
            <v>0</v>
          </cell>
          <cell r="CP44">
            <v>0</v>
          </cell>
          <cell r="CQ44">
            <v>0</v>
          </cell>
          <cell r="CR44">
            <v>0</v>
          </cell>
          <cell r="CU44">
            <v>315475</v>
          </cell>
          <cell r="CV44">
            <v>0</v>
          </cell>
          <cell r="CW44">
            <v>2050587.5</v>
          </cell>
          <cell r="CX44">
            <v>2366062.5</v>
          </cell>
          <cell r="DE44">
            <v>11041625</v>
          </cell>
          <cell r="DK44">
            <v>0</v>
          </cell>
          <cell r="EB44">
            <v>0</v>
          </cell>
          <cell r="ED44">
            <v>0</v>
          </cell>
          <cell r="EE44">
            <v>0</v>
          </cell>
          <cell r="EF44">
            <v>0</v>
          </cell>
          <cell r="EG44">
            <v>0</v>
          </cell>
          <cell r="EJ44">
            <v>0</v>
          </cell>
          <cell r="EK44">
            <v>0</v>
          </cell>
          <cell r="EL44">
            <v>0</v>
          </cell>
          <cell r="EM44">
            <v>0</v>
          </cell>
          <cell r="ET44">
            <v>15773750</v>
          </cell>
          <cell r="EZ44">
            <v>0</v>
          </cell>
        </row>
        <row r="45">
          <cell r="G45">
            <v>35</v>
          </cell>
          <cell r="CM45">
            <v>0</v>
          </cell>
          <cell r="CO45">
            <v>0</v>
          </cell>
          <cell r="CP45">
            <v>0</v>
          </cell>
          <cell r="CQ45">
            <v>0</v>
          </cell>
          <cell r="CR45">
            <v>0</v>
          </cell>
          <cell r="CU45">
            <v>296723.06</v>
          </cell>
          <cell r="CV45">
            <v>0</v>
          </cell>
          <cell r="CW45">
            <v>1928699.8900000001</v>
          </cell>
          <cell r="CX45">
            <v>2225422.9499999997</v>
          </cell>
          <cell r="DE45">
            <v>10385307.099999998</v>
          </cell>
          <cell r="DK45">
            <v>0</v>
          </cell>
          <cell r="EB45">
            <v>0</v>
          </cell>
          <cell r="ED45">
            <v>0</v>
          </cell>
          <cell r="EE45">
            <v>0</v>
          </cell>
          <cell r="EF45">
            <v>0</v>
          </cell>
          <cell r="EG45">
            <v>0</v>
          </cell>
          <cell r="EJ45">
            <v>0</v>
          </cell>
          <cell r="EK45">
            <v>0</v>
          </cell>
          <cell r="EL45">
            <v>0</v>
          </cell>
          <cell r="EM45">
            <v>0</v>
          </cell>
          <cell r="ET45">
            <v>14836153</v>
          </cell>
          <cell r="EZ45">
            <v>0</v>
          </cell>
        </row>
        <row r="46">
          <cell r="G46">
            <v>36</v>
          </cell>
          <cell r="CM46">
            <v>0</v>
          </cell>
          <cell r="CO46">
            <v>0</v>
          </cell>
          <cell r="CP46">
            <v>0</v>
          </cell>
          <cell r="CQ46">
            <v>0</v>
          </cell>
          <cell r="CR46">
            <v>0</v>
          </cell>
          <cell r="CU46">
            <v>84609.84</v>
          </cell>
          <cell r="CV46">
            <v>0</v>
          </cell>
          <cell r="CW46">
            <v>549963.96</v>
          </cell>
          <cell r="CX46">
            <v>634573.79999999993</v>
          </cell>
          <cell r="DE46">
            <v>2961344.3999999994</v>
          </cell>
          <cell r="DK46">
            <v>0</v>
          </cell>
          <cell r="EB46">
            <v>0</v>
          </cell>
          <cell r="ED46">
            <v>0</v>
          </cell>
          <cell r="EE46">
            <v>0</v>
          </cell>
          <cell r="EF46">
            <v>0</v>
          </cell>
          <cell r="EG46">
            <v>0</v>
          </cell>
          <cell r="EJ46">
            <v>0</v>
          </cell>
          <cell r="EK46">
            <v>0</v>
          </cell>
          <cell r="EL46">
            <v>0</v>
          </cell>
          <cell r="EM46">
            <v>0</v>
          </cell>
          <cell r="ET46">
            <v>4230492</v>
          </cell>
          <cell r="EZ46">
            <v>0</v>
          </cell>
        </row>
        <row r="47">
          <cell r="G47">
            <v>37</v>
          </cell>
          <cell r="CM47">
            <v>0</v>
          </cell>
          <cell r="CO47">
            <v>0</v>
          </cell>
          <cell r="CP47">
            <v>0</v>
          </cell>
          <cell r="CQ47">
            <v>0</v>
          </cell>
          <cell r="CR47">
            <v>0</v>
          </cell>
          <cell r="CU47">
            <v>97086.48</v>
          </cell>
          <cell r="CV47">
            <v>0</v>
          </cell>
          <cell r="CW47">
            <v>631062.12</v>
          </cell>
          <cell r="CX47">
            <v>728148.6</v>
          </cell>
          <cell r="DE47">
            <v>3398026.8000000003</v>
          </cell>
          <cell r="DK47">
            <v>0</v>
          </cell>
          <cell r="EB47">
            <v>0</v>
          </cell>
          <cell r="ED47">
            <v>0</v>
          </cell>
          <cell r="EE47">
            <v>0</v>
          </cell>
          <cell r="EF47">
            <v>0</v>
          </cell>
          <cell r="EG47">
            <v>0</v>
          </cell>
          <cell r="EJ47">
            <v>0</v>
          </cell>
          <cell r="EK47">
            <v>0</v>
          </cell>
          <cell r="EL47">
            <v>0</v>
          </cell>
          <cell r="EM47">
            <v>0</v>
          </cell>
          <cell r="ET47">
            <v>4854324</v>
          </cell>
          <cell r="EZ47">
            <v>0</v>
          </cell>
        </row>
        <row r="48">
          <cell r="G48">
            <v>38</v>
          </cell>
          <cell r="CM48">
            <v>0</v>
          </cell>
          <cell r="CO48">
            <v>0</v>
          </cell>
          <cell r="CP48">
            <v>0</v>
          </cell>
          <cell r="CQ48">
            <v>0</v>
          </cell>
          <cell r="CR48">
            <v>0</v>
          </cell>
          <cell r="CU48">
            <v>96985</v>
          </cell>
          <cell r="CV48">
            <v>0</v>
          </cell>
          <cell r="CW48">
            <v>630402.5</v>
          </cell>
          <cell r="CX48">
            <v>727387.5</v>
          </cell>
          <cell r="DE48">
            <v>3394475</v>
          </cell>
          <cell r="DK48">
            <v>0</v>
          </cell>
          <cell r="EB48">
            <v>0</v>
          </cell>
          <cell r="ED48">
            <v>0</v>
          </cell>
          <cell r="EE48">
            <v>0</v>
          </cell>
          <cell r="EF48">
            <v>0</v>
          </cell>
          <cell r="EG48">
            <v>0</v>
          </cell>
          <cell r="EJ48">
            <v>0</v>
          </cell>
          <cell r="EK48">
            <v>0</v>
          </cell>
          <cell r="EL48">
            <v>0</v>
          </cell>
          <cell r="EM48">
            <v>0</v>
          </cell>
          <cell r="ET48">
            <v>4849250</v>
          </cell>
          <cell r="EZ48">
            <v>0</v>
          </cell>
        </row>
        <row r="49">
          <cell r="G49">
            <v>39</v>
          </cell>
          <cell r="CM49">
            <v>0</v>
          </cell>
          <cell r="CO49">
            <v>0</v>
          </cell>
          <cell r="CP49">
            <v>0</v>
          </cell>
          <cell r="CQ49">
            <v>0</v>
          </cell>
          <cell r="CR49">
            <v>0</v>
          </cell>
          <cell r="CU49">
            <v>34241.08</v>
          </cell>
          <cell r="CV49">
            <v>0</v>
          </cell>
          <cell r="CW49">
            <v>222567.02000000002</v>
          </cell>
          <cell r="CX49">
            <v>256808.09999999998</v>
          </cell>
          <cell r="DE49">
            <v>1198437.8</v>
          </cell>
          <cell r="DK49">
            <v>0</v>
          </cell>
          <cell r="EB49">
            <v>0</v>
          </cell>
          <cell r="ED49">
            <v>0</v>
          </cell>
          <cell r="EE49">
            <v>0</v>
          </cell>
          <cell r="EF49">
            <v>0</v>
          </cell>
          <cell r="EG49">
            <v>0</v>
          </cell>
          <cell r="EJ49">
            <v>0</v>
          </cell>
          <cell r="EK49">
            <v>0</v>
          </cell>
          <cell r="EL49">
            <v>0</v>
          </cell>
          <cell r="EM49">
            <v>0</v>
          </cell>
          <cell r="ET49">
            <v>1712054</v>
          </cell>
          <cell r="EZ49">
            <v>0</v>
          </cell>
        </row>
        <row r="50">
          <cell r="G50">
            <v>40</v>
          </cell>
          <cell r="CM50">
            <v>0</v>
          </cell>
          <cell r="CO50">
            <v>0</v>
          </cell>
          <cell r="CP50">
            <v>0</v>
          </cell>
          <cell r="CQ50">
            <v>0</v>
          </cell>
          <cell r="CR50">
            <v>0</v>
          </cell>
          <cell r="CU50">
            <v>47149.78</v>
          </cell>
          <cell r="CV50">
            <v>0</v>
          </cell>
          <cell r="CW50">
            <v>2310339.2199999997</v>
          </cell>
          <cell r="CX50">
            <v>0</v>
          </cell>
          <cell r="DE50">
            <v>0</v>
          </cell>
          <cell r="DK50">
            <v>0</v>
          </cell>
          <cell r="EB50">
            <v>0</v>
          </cell>
          <cell r="ED50">
            <v>0</v>
          </cell>
          <cell r="EE50">
            <v>0</v>
          </cell>
          <cell r="EF50">
            <v>0</v>
          </cell>
          <cell r="EG50">
            <v>0</v>
          </cell>
          <cell r="EJ50">
            <v>0</v>
          </cell>
          <cell r="EK50">
            <v>0</v>
          </cell>
          <cell r="EL50">
            <v>825121.14999999991</v>
          </cell>
          <cell r="EM50">
            <v>0</v>
          </cell>
          <cell r="ET50">
            <v>1532367.85</v>
          </cell>
          <cell r="EZ50">
            <v>0</v>
          </cell>
        </row>
        <row r="51">
          <cell r="G51">
            <v>41</v>
          </cell>
          <cell r="CM51">
            <v>0</v>
          </cell>
          <cell r="CO51">
            <v>0</v>
          </cell>
          <cell r="CP51">
            <v>0</v>
          </cell>
          <cell r="CQ51">
            <v>0</v>
          </cell>
          <cell r="CR51">
            <v>0</v>
          </cell>
          <cell r="CU51">
            <v>68620.960000000006</v>
          </cell>
          <cell r="CV51">
            <v>0</v>
          </cell>
          <cell r="CW51">
            <v>446036.24</v>
          </cell>
          <cell r="CX51">
            <v>514657.19999999995</v>
          </cell>
          <cell r="DE51">
            <v>2401733.6</v>
          </cell>
          <cell r="DK51">
            <v>0</v>
          </cell>
          <cell r="EB51">
            <v>0</v>
          </cell>
          <cell r="ED51">
            <v>0</v>
          </cell>
          <cell r="EE51">
            <v>0</v>
          </cell>
          <cell r="EF51">
            <v>0</v>
          </cell>
          <cell r="EG51">
            <v>0</v>
          </cell>
          <cell r="EJ51">
            <v>0</v>
          </cell>
          <cell r="EK51">
            <v>0</v>
          </cell>
          <cell r="EL51">
            <v>0</v>
          </cell>
          <cell r="EM51">
            <v>0</v>
          </cell>
          <cell r="ET51">
            <v>3431048</v>
          </cell>
          <cell r="EZ51">
            <v>0</v>
          </cell>
        </row>
        <row r="52">
          <cell r="G52">
            <v>42</v>
          </cell>
          <cell r="CM52">
            <v>0</v>
          </cell>
          <cell r="CO52">
            <v>0</v>
          </cell>
          <cell r="CP52">
            <v>0</v>
          </cell>
          <cell r="CQ52">
            <v>0</v>
          </cell>
          <cell r="CR52">
            <v>0</v>
          </cell>
          <cell r="CU52">
            <v>28506.32</v>
          </cell>
          <cell r="CV52">
            <v>0</v>
          </cell>
          <cell r="CW52">
            <v>0</v>
          </cell>
          <cell r="CX52">
            <v>185291.08000000002</v>
          </cell>
          <cell r="DE52">
            <v>1211518.6000000001</v>
          </cell>
          <cell r="DK52">
            <v>0</v>
          </cell>
          <cell r="EB52">
            <v>0</v>
          </cell>
          <cell r="ED52">
            <v>0</v>
          </cell>
          <cell r="EE52">
            <v>0</v>
          </cell>
          <cell r="EF52">
            <v>0</v>
          </cell>
          <cell r="EG52">
            <v>0</v>
          </cell>
          <cell r="EJ52">
            <v>0</v>
          </cell>
          <cell r="EK52">
            <v>0</v>
          </cell>
          <cell r="EL52">
            <v>0</v>
          </cell>
          <cell r="EM52">
            <v>0</v>
          </cell>
          <cell r="ET52">
            <v>1425316</v>
          </cell>
          <cell r="EZ52">
            <v>0</v>
          </cell>
        </row>
        <row r="53">
          <cell r="G53">
            <v>43</v>
          </cell>
          <cell r="CM53">
            <v>0</v>
          </cell>
          <cell r="CO53">
            <v>0</v>
          </cell>
          <cell r="CP53">
            <v>0</v>
          </cell>
          <cell r="CQ53">
            <v>0</v>
          </cell>
          <cell r="CR53">
            <v>0</v>
          </cell>
          <cell r="CU53">
            <v>406478.98</v>
          </cell>
          <cell r="CV53">
            <v>0</v>
          </cell>
          <cell r="CW53">
            <v>0</v>
          </cell>
          <cell r="CX53">
            <v>2642113.37</v>
          </cell>
          <cell r="DE53">
            <v>10161974.5</v>
          </cell>
          <cell r="DK53">
            <v>7113382.1500000004</v>
          </cell>
          <cell r="EB53">
            <v>0</v>
          </cell>
          <cell r="ED53">
            <v>0</v>
          </cell>
          <cell r="EE53">
            <v>0</v>
          </cell>
          <cell r="EF53">
            <v>0</v>
          </cell>
          <cell r="EG53">
            <v>0</v>
          </cell>
          <cell r="EJ53">
            <v>0</v>
          </cell>
          <cell r="EK53">
            <v>0</v>
          </cell>
          <cell r="EL53">
            <v>0</v>
          </cell>
          <cell r="EM53">
            <v>0</v>
          </cell>
          <cell r="ET53">
            <v>13210566.85</v>
          </cell>
          <cell r="EZ53">
            <v>7113382.1499999994</v>
          </cell>
        </row>
        <row r="54">
          <cell r="G54">
            <v>44</v>
          </cell>
          <cell r="CM54">
            <v>0</v>
          </cell>
          <cell r="CO54">
            <v>0</v>
          </cell>
          <cell r="CP54">
            <v>0</v>
          </cell>
          <cell r="CQ54">
            <v>0</v>
          </cell>
          <cell r="CR54">
            <v>0</v>
          </cell>
          <cell r="CU54">
            <v>47713</v>
          </cell>
          <cell r="CV54">
            <v>0</v>
          </cell>
          <cell r="CW54">
            <v>0</v>
          </cell>
          <cell r="CX54">
            <v>310134.5</v>
          </cell>
          <cell r="DE54">
            <v>1789237.5</v>
          </cell>
          <cell r="DK54">
            <v>238565</v>
          </cell>
          <cell r="EB54">
            <v>0</v>
          </cell>
          <cell r="ED54">
            <v>0</v>
          </cell>
          <cell r="EE54">
            <v>0</v>
          </cell>
          <cell r="EF54">
            <v>0</v>
          </cell>
          <cell r="EG54">
            <v>0</v>
          </cell>
          <cell r="EJ54">
            <v>0</v>
          </cell>
          <cell r="EK54">
            <v>0</v>
          </cell>
          <cell r="EL54">
            <v>0</v>
          </cell>
          <cell r="EM54">
            <v>0</v>
          </cell>
          <cell r="ET54">
            <v>2385650</v>
          </cell>
          <cell r="EZ54">
            <v>0</v>
          </cell>
        </row>
        <row r="55">
          <cell r="G55">
            <v>45</v>
          </cell>
          <cell r="CM55">
            <v>0</v>
          </cell>
          <cell r="CO55">
            <v>0</v>
          </cell>
          <cell r="CP55">
            <v>0</v>
          </cell>
          <cell r="CQ55">
            <v>0</v>
          </cell>
          <cell r="CR55">
            <v>0</v>
          </cell>
          <cell r="CU55">
            <v>290000</v>
          </cell>
          <cell r="CV55">
            <v>0</v>
          </cell>
          <cell r="CW55">
            <v>0</v>
          </cell>
          <cell r="CX55">
            <v>1885000</v>
          </cell>
          <cell r="DE55">
            <v>7250000</v>
          </cell>
          <cell r="DK55">
            <v>5075000</v>
          </cell>
          <cell r="EB55">
            <v>0</v>
          </cell>
          <cell r="ED55">
            <v>0</v>
          </cell>
          <cell r="EE55">
            <v>0</v>
          </cell>
          <cell r="EF55">
            <v>0</v>
          </cell>
          <cell r="EG55">
            <v>0</v>
          </cell>
          <cell r="EJ55">
            <v>0</v>
          </cell>
          <cell r="EK55">
            <v>0</v>
          </cell>
          <cell r="EL55">
            <v>0</v>
          </cell>
          <cell r="EM55">
            <v>0</v>
          </cell>
          <cell r="ET55">
            <v>9425000</v>
          </cell>
          <cell r="EZ55">
            <v>5075000</v>
          </cell>
        </row>
        <row r="56">
          <cell r="G56">
            <v>46</v>
          </cell>
          <cell r="CM56">
            <v>0</v>
          </cell>
          <cell r="CO56">
            <v>0</v>
          </cell>
          <cell r="CP56">
            <v>0</v>
          </cell>
          <cell r="CQ56">
            <v>0</v>
          </cell>
          <cell r="CR56">
            <v>0</v>
          </cell>
          <cell r="CU56">
            <v>69560</v>
          </cell>
          <cell r="CV56">
            <v>0</v>
          </cell>
          <cell r="CW56">
            <v>0</v>
          </cell>
          <cell r="CX56">
            <v>452140</v>
          </cell>
          <cell r="DE56">
            <v>2678060</v>
          </cell>
          <cell r="DK56">
            <v>278240</v>
          </cell>
          <cell r="EB56">
            <v>0</v>
          </cell>
          <cell r="ED56">
            <v>0</v>
          </cell>
          <cell r="EE56">
            <v>0</v>
          </cell>
          <cell r="EF56">
            <v>0</v>
          </cell>
          <cell r="EG56">
            <v>0</v>
          </cell>
          <cell r="EJ56">
            <v>0</v>
          </cell>
          <cell r="EK56">
            <v>0</v>
          </cell>
          <cell r="EL56">
            <v>0</v>
          </cell>
          <cell r="EM56">
            <v>0</v>
          </cell>
          <cell r="ET56">
            <v>3478000</v>
          </cell>
          <cell r="EZ56">
            <v>0</v>
          </cell>
        </row>
        <row r="57">
          <cell r="G57">
            <v>47</v>
          </cell>
          <cell r="CM57">
            <v>0</v>
          </cell>
          <cell r="CO57">
            <v>0</v>
          </cell>
          <cell r="CP57">
            <v>0</v>
          </cell>
          <cell r="CQ57">
            <v>0</v>
          </cell>
          <cell r="CR57">
            <v>0</v>
          </cell>
          <cell r="CU57">
            <v>43008</v>
          </cell>
          <cell r="CV57">
            <v>0</v>
          </cell>
          <cell r="CW57">
            <v>0</v>
          </cell>
          <cell r="CX57">
            <v>279552</v>
          </cell>
          <cell r="DE57">
            <v>1827840</v>
          </cell>
          <cell r="DK57">
            <v>0</v>
          </cell>
          <cell r="EB57">
            <v>0</v>
          </cell>
          <cell r="ED57">
            <v>0</v>
          </cell>
          <cell r="EE57">
            <v>0</v>
          </cell>
          <cell r="EF57">
            <v>0</v>
          </cell>
          <cell r="EG57">
            <v>0</v>
          </cell>
          <cell r="EJ57">
            <v>0</v>
          </cell>
          <cell r="EK57">
            <v>0</v>
          </cell>
          <cell r="EL57">
            <v>0</v>
          </cell>
          <cell r="EM57">
            <v>0</v>
          </cell>
          <cell r="ET57">
            <v>2150400</v>
          </cell>
          <cell r="EZ57">
            <v>0</v>
          </cell>
        </row>
        <row r="58">
          <cell r="G58">
            <v>48</v>
          </cell>
          <cell r="CM58">
            <v>0</v>
          </cell>
          <cell r="CO58">
            <v>0</v>
          </cell>
          <cell r="CP58">
            <v>0</v>
          </cell>
          <cell r="CQ58">
            <v>0</v>
          </cell>
          <cell r="CR58">
            <v>0</v>
          </cell>
          <cell r="CU58">
            <v>33896.28</v>
          </cell>
          <cell r="CV58">
            <v>0</v>
          </cell>
          <cell r="CW58">
            <v>0</v>
          </cell>
          <cell r="CX58">
            <v>220325.82</v>
          </cell>
          <cell r="DE58">
            <v>1440591.9</v>
          </cell>
          <cell r="DK58">
            <v>0</v>
          </cell>
          <cell r="EB58">
            <v>0</v>
          </cell>
          <cell r="ED58">
            <v>0</v>
          </cell>
          <cell r="EE58">
            <v>0</v>
          </cell>
          <cell r="EF58">
            <v>0</v>
          </cell>
          <cell r="EG58">
            <v>0</v>
          </cell>
          <cell r="EJ58">
            <v>0</v>
          </cell>
          <cell r="EK58">
            <v>0</v>
          </cell>
          <cell r="EL58">
            <v>0</v>
          </cell>
          <cell r="EM58">
            <v>0</v>
          </cell>
          <cell r="ET58">
            <v>1694814</v>
          </cell>
          <cell r="EZ58">
            <v>0</v>
          </cell>
        </row>
        <row r="59">
          <cell r="G59">
            <v>49</v>
          </cell>
          <cell r="CM59">
            <v>0</v>
          </cell>
          <cell r="CO59">
            <v>0</v>
          </cell>
          <cell r="CP59">
            <v>0</v>
          </cell>
          <cell r="CQ59">
            <v>0</v>
          </cell>
          <cell r="CR59">
            <v>0</v>
          </cell>
          <cell r="CU59">
            <v>127928.84960000002</v>
          </cell>
          <cell r="CV59">
            <v>0</v>
          </cell>
          <cell r="CW59">
            <v>0</v>
          </cell>
          <cell r="CX59">
            <v>831537.52240000013</v>
          </cell>
          <cell r="DE59">
            <v>3198221.24</v>
          </cell>
          <cell r="DK59">
            <v>2238754.8680000002</v>
          </cell>
          <cell r="EB59">
            <v>0</v>
          </cell>
          <cell r="ED59">
            <v>0</v>
          </cell>
          <cell r="EE59">
            <v>0</v>
          </cell>
          <cell r="EF59">
            <v>0</v>
          </cell>
          <cell r="EG59">
            <v>0</v>
          </cell>
          <cell r="EJ59">
            <v>0</v>
          </cell>
          <cell r="EK59">
            <v>0</v>
          </cell>
          <cell r="EL59">
            <v>0</v>
          </cell>
          <cell r="EM59">
            <v>0</v>
          </cell>
          <cell r="ET59">
            <v>4157687.6120000007</v>
          </cell>
          <cell r="EZ59">
            <v>2238754.8679999998</v>
          </cell>
        </row>
        <row r="60">
          <cell r="G60">
            <v>50</v>
          </cell>
          <cell r="CM60">
            <v>0</v>
          </cell>
          <cell r="CO60">
            <v>0</v>
          </cell>
          <cell r="CP60">
            <v>0</v>
          </cell>
          <cell r="CQ60">
            <v>0</v>
          </cell>
          <cell r="CR60">
            <v>0</v>
          </cell>
          <cell r="CU60">
            <v>123564</v>
          </cell>
          <cell r="CV60">
            <v>0</v>
          </cell>
          <cell r="CW60">
            <v>0</v>
          </cell>
          <cell r="CX60">
            <v>803166</v>
          </cell>
          <cell r="DE60">
            <v>3089100</v>
          </cell>
          <cell r="DK60">
            <v>2162370</v>
          </cell>
          <cell r="EB60">
            <v>0</v>
          </cell>
          <cell r="ED60">
            <v>0</v>
          </cell>
          <cell r="EE60">
            <v>0</v>
          </cell>
          <cell r="EF60">
            <v>0</v>
          </cell>
          <cell r="EG60">
            <v>0</v>
          </cell>
          <cell r="EJ60">
            <v>0</v>
          </cell>
          <cell r="EK60">
            <v>0</v>
          </cell>
          <cell r="EL60">
            <v>0</v>
          </cell>
          <cell r="EM60">
            <v>0</v>
          </cell>
          <cell r="ET60">
            <v>4015830</v>
          </cell>
          <cell r="EZ60">
            <v>2162370</v>
          </cell>
        </row>
        <row r="61">
          <cell r="G61">
            <v>51</v>
          </cell>
          <cell r="CM61">
            <v>0</v>
          </cell>
          <cell r="CO61">
            <v>0</v>
          </cell>
          <cell r="CP61">
            <v>0</v>
          </cell>
          <cell r="CQ61">
            <v>0</v>
          </cell>
          <cell r="CR61">
            <v>0</v>
          </cell>
          <cell r="CU61">
            <v>367548.68</v>
          </cell>
          <cell r="CV61">
            <v>0</v>
          </cell>
          <cell r="CW61">
            <v>0</v>
          </cell>
          <cell r="CX61">
            <v>2389066.42</v>
          </cell>
          <cell r="DE61">
            <v>9188717</v>
          </cell>
          <cell r="DK61">
            <v>6432101.9000000004</v>
          </cell>
          <cell r="EB61">
            <v>0</v>
          </cell>
          <cell r="ED61">
            <v>0</v>
          </cell>
          <cell r="EE61">
            <v>0</v>
          </cell>
          <cell r="EF61">
            <v>0</v>
          </cell>
          <cell r="EG61">
            <v>0</v>
          </cell>
          <cell r="EJ61">
            <v>0</v>
          </cell>
          <cell r="EK61">
            <v>0</v>
          </cell>
          <cell r="EL61">
            <v>0</v>
          </cell>
          <cell r="EM61">
            <v>0</v>
          </cell>
          <cell r="ET61">
            <v>11945332.1</v>
          </cell>
          <cell r="EZ61">
            <v>6432101.8999999994</v>
          </cell>
        </row>
        <row r="62">
          <cell r="G62">
            <v>52</v>
          </cell>
          <cell r="CM62">
            <v>0</v>
          </cell>
          <cell r="CO62">
            <v>0</v>
          </cell>
          <cell r="CP62">
            <v>0</v>
          </cell>
          <cell r="CQ62">
            <v>0</v>
          </cell>
          <cell r="CR62">
            <v>0</v>
          </cell>
          <cell r="CU62">
            <v>84744.88</v>
          </cell>
          <cell r="CV62">
            <v>0</v>
          </cell>
          <cell r="CW62">
            <v>0</v>
          </cell>
          <cell r="CX62">
            <v>550841.72</v>
          </cell>
          <cell r="DE62">
            <v>3601657.4</v>
          </cell>
          <cell r="DK62">
            <v>0</v>
          </cell>
          <cell r="EB62">
            <v>0</v>
          </cell>
          <cell r="ED62">
            <v>0</v>
          </cell>
          <cell r="EE62">
            <v>0</v>
          </cell>
          <cell r="EF62">
            <v>0</v>
          </cell>
          <cell r="EG62">
            <v>0</v>
          </cell>
          <cell r="EJ62">
            <v>0</v>
          </cell>
          <cell r="EK62">
            <v>0</v>
          </cell>
          <cell r="EL62">
            <v>0</v>
          </cell>
          <cell r="EM62">
            <v>0</v>
          </cell>
          <cell r="ET62">
            <v>4237244</v>
          </cell>
          <cell r="EZ62">
            <v>0</v>
          </cell>
        </row>
        <row r="63">
          <cell r="G63">
            <v>53</v>
          </cell>
          <cell r="CM63">
            <v>0</v>
          </cell>
          <cell r="CO63">
            <v>0</v>
          </cell>
          <cell r="CP63">
            <v>0</v>
          </cell>
          <cell r="CQ63">
            <v>0</v>
          </cell>
          <cell r="CR63">
            <v>0</v>
          </cell>
          <cell r="CU63">
            <v>39776.5</v>
          </cell>
          <cell r="CV63">
            <v>0</v>
          </cell>
          <cell r="CW63">
            <v>0</v>
          </cell>
          <cell r="CX63">
            <v>258547.25</v>
          </cell>
          <cell r="DE63">
            <v>1690501.25</v>
          </cell>
          <cell r="DK63">
            <v>0</v>
          </cell>
          <cell r="EB63">
            <v>0</v>
          </cell>
          <cell r="ED63">
            <v>0</v>
          </cell>
          <cell r="EE63">
            <v>0</v>
          </cell>
          <cell r="EF63">
            <v>0</v>
          </cell>
          <cell r="EG63">
            <v>0</v>
          </cell>
          <cell r="EJ63">
            <v>0</v>
          </cell>
          <cell r="EK63">
            <v>0</v>
          </cell>
          <cell r="EL63">
            <v>0</v>
          </cell>
          <cell r="EM63">
            <v>0</v>
          </cell>
          <cell r="ET63">
            <v>1988825</v>
          </cell>
          <cell r="EZ63">
            <v>0</v>
          </cell>
        </row>
        <row r="64">
          <cell r="G64">
            <v>54</v>
          </cell>
          <cell r="CM64">
            <v>0</v>
          </cell>
          <cell r="CO64">
            <v>0</v>
          </cell>
          <cell r="CP64">
            <v>0</v>
          </cell>
          <cell r="CQ64">
            <v>0</v>
          </cell>
          <cell r="CR64">
            <v>0</v>
          </cell>
          <cell r="CU64">
            <v>89350.58</v>
          </cell>
          <cell r="CV64">
            <v>0</v>
          </cell>
          <cell r="CW64">
            <v>0</v>
          </cell>
          <cell r="CX64">
            <v>580778.77</v>
          </cell>
          <cell r="DE64">
            <v>3439997.33</v>
          </cell>
          <cell r="DK64">
            <v>357402.32</v>
          </cell>
          <cell r="EB64">
            <v>0</v>
          </cell>
          <cell r="ED64">
            <v>0</v>
          </cell>
          <cell r="EE64">
            <v>0</v>
          </cell>
          <cell r="EF64">
            <v>0</v>
          </cell>
          <cell r="EG64">
            <v>0</v>
          </cell>
          <cell r="EJ64">
            <v>0</v>
          </cell>
          <cell r="EK64">
            <v>0</v>
          </cell>
          <cell r="EL64">
            <v>0</v>
          </cell>
          <cell r="EM64">
            <v>0</v>
          </cell>
          <cell r="ET64">
            <v>4467529</v>
          </cell>
          <cell r="EZ64">
            <v>0</v>
          </cell>
        </row>
        <row r="65">
          <cell r="G65">
            <v>55</v>
          </cell>
          <cell r="CM65">
            <v>0</v>
          </cell>
          <cell r="CO65">
            <v>0</v>
          </cell>
          <cell r="CP65">
            <v>0</v>
          </cell>
          <cell r="CQ65">
            <v>0</v>
          </cell>
          <cell r="CR65">
            <v>0</v>
          </cell>
          <cell r="CU65">
            <v>44802.574800000002</v>
          </cell>
          <cell r="CV65">
            <v>0</v>
          </cell>
          <cell r="CW65">
            <v>0</v>
          </cell>
          <cell r="CX65">
            <v>291216.73620000004</v>
          </cell>
          <cell r="DE65">
            <v>1904109.4290000002</v>
          </cell>
          <cell r="DK65">
            <v>0</v>
          </cell>
          <cell r="EB65">
            <v>0</v>
          </cell>
          <cell r="ED65">
            <v>0</v>
          </cell>
          <cell r="EE65">
            <v>0</v>
          </cell>
          <cell r="EF65">
            <v>0</v>
          </cell>
          <cell r="EG65">
            <v>0</v>
          </cell>
          <cell r="EJ65">
            <v>0</v>
          </cell>
          <cell r="EK65">
            <v>0</v>
          </cell>
          <cell r="EL65">
            <v>0</v>
          </cell>
          <cell r="EM65">
            <v>0</v>
          </cell>
          <cell r="ET65">
            <v>2240128.7400000002</v>
          </cell>
          <cell r="EZ65">
            <v>0</v>
          </cell>
        </row>
      </sheetData>
    </sheetDataSet>
  </externalBook>
</externalLink>
</file>

<file path=xl/externalLinks/externalLink3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YP"/>
      <sheetName val="dette SAS"/>
      <sheetName val="dette BNPP SA"/>
      <sheetName val="Inv"/>
      <sheetName val="Amortissement"/>
      <sheetName val="SAS"/>
      <sheetName val="BNP P SA"/>
      <sheetName val="Echéancier d'IS"/>
      <sheetName val="Conso"/>
      <sheetName val="Synthèse"/>
      <sheetName val="Graph1"/>
      <sheetName val="Sortie"/>
      <sheetName val="taux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 refreshError="1"/>
      <sheetData sheetId="11"/>
      <sheetData sheetId="12"/>
    </sheetDataSet>
  </externalBook>
</externalLink>
</file>

<file path=xl/externalLinks/externalLink3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FC 2  2009"/>
    </sheetNames>
    <definedNames>
      <definedName name="Last_Row" refersTo="#REF!" sheetId="0"/>
    </definedNames>
    <sheetDataSet>
      <sheetData sheetId="0">
        <row r="1">
          <cell r="A1" t="str">
            <v>Calculateur d'emprunt</v>
          </cell>
        </row>
        <row r="5">
          <cell r="B5" t="str">
            <v>Entrez vos valeurs</v>
          </cell>
          <cell r="F5" t="str">
            <v>Synthèse de l'emprunt</v>
          </cell>
        </row>
        <row r="6">
          <cell r="C6" t="str">
            <v>Montant de l'emprunt</v>
          </cell>
          <cell r="D6">
            <v>429000</v>
          </cell>
          <cell r="G6" t="str">
            <v>Versement périodique</v>
          </cell>
          <cell r="H6">
            <v>3620.145792327924</v>
          </cell>
          <cell r="I6">
            <v>301.678816027327</v>
          </cell>
        </row>
        <row r="7">
          <cell r="C7" t="str">
            <v>Taux d'intérêt annuel</v>
          </cell>
          <cell r="D7">
            <v>0.06</v>
          </cell>
          <cell r="G7" t="str">
            <v>Nombre de versements prévu</v>
          </cell>
          <cell r="H7">
            <v>180</v>
          </cell>
        </row>
        <row r="8">
          <cell r="C8" t="str">
            <v>Durée de l'emprunt en années</v>
          </cell>
          <cell r="D8">
            <v>15</v>
          </cell>
          <cell r="G8" t="str">
            <v>Nombre de versements requis</v>
          </cell>
          <cell r="H8">
            <v>195</v>
          </cell>
        </row>
        <row r="9">
          <cell r="C9" t="str">
            <v>Nombre de versements par an</v>
          </cell>
          <cell r="D9">
            <v>12</v>
          </cell>
          <cell r="G9" t="str">
            <v>Montant des versements anticipés</v>
          </cell>
          <cell r="H9">
            <v>0</v>
          </cell>
        </row>
        <row r="10">
          <cell r="C10" t="str">
            <v>Date de début de l'emprunt</v>
          </cell>
          <cell r="D10">
            <v>39994</v>
          </cell>
          <cell r="G10" t="str">
            <v>Montant des intérêts</v>
          </cell>
          <cell r="H10">
            <v>222626.24261900649</v>
          </cell>
        </row>
        <row r="11">
          <cell r="C11" t="str">
            <v>Versements supplémentaires facultatifs</v>
          </cell>
        </row>
        <row r="13">
          <cell r="B13" t="str">
            <v>Nom du prêteur :</v>
          </cell>
          <cell r="C13" t="str">
            <v>BFC 2  ensemble de locaux en location ou vente 2008</v>
          </cell>
          <cell r="E13" t="str">
            <v>signé le 23/12/2008</v>
          </cell>
        </row>
        <row r="16">
          <cell r="A16" t="str">
            <v>N° vers.</v>
          </cell>
          <cell r="B16" t="str">
            <v>Date du versement</v>
          </cell>
          <cell r="C16" t="str">
            <v>Solde initial</v>
          </cell>
          <cell r="D16" t="str">
            <v>Versement périodique</v>
          </cell>
          <cell r="E16" t="str">
            <v>Versement supplémentaire</v>
          </cell>
          <cell r="F16" t="str">
            <v>Total des versements</v>
          </cell>
          <cell r="G16" t="str">
            <v>Principal</v>
          </cell>
          <cell r="H16" t="str">
            <v>Intérêts</v>
          </cell>
          <cell r="I16" t="str">
            <v>Solde final</v>
          </cell>
        </row>
        <row r="18">
          <cell r="A18">
            <v>1</v>
          </cell>
          <cell r="B18">
            <v>40024</v>
          </cell>
          <cell r="C18">
            <v>429000</v>
          </cell>
          <cell r="D18">
            <v>3620.145792327924</v>
          </cell>
          <cell r="E18">
            <v>0</v>
          </cell>
          <cell r="F18">
            <v>3620.145792327924</v>
          </cell>
          <cell r="G18">
            <v>1475.145792327924</v>
          </cell>
          <cell r="H18">
            <v>2145</v>
          </cell>
          <cell r="I18">
            <v>427524.85420767206</v>
          </cell>
        </row>
        <row r="19">
          <cell r="A19">
            <v>2</v>
          </cell>
          <cell r="B19">
            <v>40055</v>
          </cell>
          <cell r="C19">
            <v>427524.85420767206</v>
          </cell>
          <cell r="D19">
            <v>3620.145792327924</v>
          </cell>
          <cell r="E19">
            <v>0</v>
          </cell>
          <cell r="F19">
            <v>3620.145792327924</v>
          </cell>
          <cell r="G19">
            <v>1482.5215212895637</v>
          </cell>
          <cell r="H19">
            <v>2137.6242710383603</v>
          </cell>
          <cell r="I19">
            <v>426042.33268638252</v>
          </cell>
        </row>
        <row r="20">
          <cell r="A20">
            <v>3</v>
          </cell>
          <cell r="B20">
            <v>40086</v>
          </cell>
          <cell r="C20">
            <v>426042.33268638252</v>
          </cell>
          <cell r="D20">
            <v>3620.145792327924</v>
          </cell>
          <cell r="E20">
            <v>0</v>
          </cell>
          <cell r="F20">
            <v>3620.145792327924</v>
          </cell>
          <cell r="G20">
            <v>1489.9341288960118</v>
          </cell>
          <cell r="H20">
            <v>2130.2116634319123</v>
          </cell>
          <cell r="I20">
            <v>424552.39855748654</v>
          </cell>
        </row>
        <row r="21">
          <cell r="A21">
            <v>4</v>
          </cell>
          <cell r="B21">
            <v>40116</v>
          </cell>
          <cell r="C21">
            <v>424552.39855748654</v>
          </cell>
          <cell r="D21">
            <v>3620.145792327924</v>
          </cell>
          <cell r="E21">
            <v>0</v>
          </cell>
          <cell r="F21">
            <v>3620.145792327924</v>
          </cell>
          <cell r="G21">
            <v>1497.3837995404915</v>
          </cell>
          <cell r="H21">
            <v>2122.7619927874325</v>
          </cell>
          <cell r="I21">
            <v>423055.01475794602</v>
          </cell>
        </row>
        <row r="22">
          <cell r="A22">
            <v>5</v>
          </cell>
          <cell r="B22">
            <v>40147</v>
          </cell>
          <cell r="C22">
            <v>423055.01475794602</v>
          </cell>
          <cell r="D22">
            <v>3620.145792327924</v>
          </cell>
          <cell r="E22">
            <v>0</v>
          </cell>
          <cell r="F22">
            <v>3620.145792327924</v>
          </cell>
          <cell r="G22">
            <v>1504.8707185381941</v>
          </cell>
          <cell r="H22">
            <v>2115.27507378973</v>
          </cell>
          <cell r="I22">
            <v>421550.14403940784</v>
          </cell>
        </row>
        <row r="23">
          <cell r="A23">
            <v>6</v>
          </cell>
          <cell r="B23">
            <v>40177</v>
          </cell>
          <cell r="C23">
            <v>421550.14403940784</v>
          </cell>
          <cell r="D23">
            <v>3620.145792327924</v>
          </cell>
          <cell r="E23">
            <v>0</v>
          </cell>
          <cell r="F23">
            <v>3620.145792327924</v>
          </cell>
          <cell r="G23">
            <v>1512.3950721308852</v>
          </cell>
          <cell r="H23">
            <v>2107.7507201970388</v>
          </cell>
          <cell r="I23">
            <v>420037.74896727694</v>
          </cell>
        </row>
        <row r="24">
          <cell r="G24">
            <v>8962.2510327230702</v>
          </cell>
          <cell r="H24">
            <v>12758.623721244474</v>
          </cell>
        </row>
        <row r="25">
          <cell r="A25">
            <v>7</v>
          </cell>
          <cell r="B25">
            <v>40208</v>
          </cell>
          <cell r="C25">
            <v>420037.74896727694</v>
          </cell>
          <cell r="D25">
            <v>3620.145792327924</v>
          </cell>
          <cell r="E25">
            <v>0</v>
          </cell>
          <cell r="F25">
            <v>3620.145792327924</v>
          </cell>
          <cell r="G25">
            <v>1519.9570474915395</v>
          </cell>
          <cell r="H25">
            <v>2100.1887448363846</v>
          </cell>
          <cell r="I25">
            <v>418517.79191978538</v>
          </cell>
        </row>
        <row r="26">
          <cell r="A26">
            <v>8</v>
          </cell>
          <cell r="B26">
            <v>40239</v>
          </cell>
          <cell r="C26">
            <v>418517.79191978538</v>
          </cell>
          <cell r="D26">
            <v>3620.145792327924</v>
          </cell>
          <cell r="E26">
            <v>0</v>
          </cell>
          <cell r="F26">
            <v>3620.145792327924</v>
          </cell>
          <cell r="G26">
            <v>1527.5568327289971</v>
          </cell>
          <cell r="H26">
            <v>2092.588959598927</v>
          </cell>
          <cell r="I26">
            <v>416990.23508705635</v>
          </cell>
        </row>
        <row r="27">
          <cell r="A27">
            <v>9</v>
          </cell>
          <cell r="B27">
            <v>40267</v>
          </cell>
          <cell r="C27">
            <v>416990.23508705635</v>
          </cell>
          <cell r="D27">
            <v>3620.145792327924</v>
          </cell>
          <cell r="E27">
            <v>0</v>
          </cell>
          <cell r="F27">
            <v>3620.145792327924</v>
          </cell>
          <cell r="G27">
            <v>1535.1946168926424</v>
          </cell>
          <cell r="H27">
            <v>2084.9511754352816</v>
          </cell>
          <cell r="I27">
            <v>415455.04047016369</v>
          </cell>
        </row>
        <row r="28">
          <cell r="A28">
            <v>10</v>
          </cell>
          <cell r="B28">
            <v>40298</v>
          </cell>
          <cell r="C28">
            <v>415455.04047016369</v>
          </cell>
          <cell r="D28">
            <v>3620.145792327924</v>
          </cell>
          <cell r="E28">
            <v>0</v>
          </cell>
          <cell r="F28">
            <v>3620.145792327924</v>
          </cell>
          <cell r="G28">
            <v>1542.8705899771057</v>
          </cell>
          <cell r="H28">
            <v>2077.2752023508183</v>
          </cell>
          <cell r="I28">
            <v>413912.16988018656</v>
          </cell>
        </row>
        <row r="29">
          <cell r="A29">
            <v>11</v>
          </cell>
          <cell r="B29">
            <v>40328</v>
          </cell>
          <cell r="C29">
            <v>413912.16988018656</v>
          </cell>
          <cell r="D29">
            <v>3620.145792327924</v>
          </cell>
          <cell r="E29">
            <v>0</v>
          </cell>
          <cell r="F29">
            <v>3620.145792327924</v>
          </cell>
          <cell r="G29">
            <v>1550.5849429269915</v>
          </cell>
          <cell r="H29">
            <v>2069.5608494009325</v>
          </cell>
          <cell r="I29">
            <v>412361.58493725955</v>
          </cell>
        </row>
        <row r="30">
          <cell r="A30">
            <v>12</v>
          </cell>
          <cell r="B30">
            <v>40359</v>
          </cell>
          <cell r="C30">
            <v>412361.58493725955</v>
          </cell>
          <cell r="D30">
            <v>3620.145792327924</v>
          </cell>
          <cell r="E30">
            <v>0</v>
          </cell>
          <cell r="F30">
            <v>3620.145792327924</v>
          </cell>
          <cell r="G30">
            <v>1558.3378676416264</v>
          </cell>
          <cell r="H30">
            <v>2061.8079246862976</v>
          </cell>
          <cell r="I30">
            <v>410803.24706961791</v>
          </cell>
        </row>
        <row r="31">
          <cell r="A31">
            <v>13</v>
          </cell>
          <cell r="B31">
            <v>40389</v>
          </cell>
          <cell r="C31">
            <v>410803.24706961791</v>
          </cell>
          <cell r="D31">
            <v>3620.145792327924</v>
          </cell>
          <cell r="E31">
            <v>0</v>
          </cell>
          <cell r="F31">
            <v>3620.145792327924</v>
          </cell>
          <cell r="G31">
            <v>1566.1295569798344</v>
          </cell>
          <cell r="H31">
            <v>2054.0162353480896</v>
          </cell>
          <cell r="I31">
            <v>409237.1175126381</v>
          </cell>
        </row>
        <row r="32">
          <cell r="A32">
            <v>14</v>
          </cell>
          <cell r="B32">
            <v>40420</v>
          </cell>
          <cell r="C32">
            <v>409237.1175126381</v>
          </cell>
          <cell r="D32">
            <v>3620.145792327924</v>
          </cell>
          <cell r="E32">
            <v>0</v>
          </cell>
          <cell r="F32">
            <v>3620.145792327924</v>
          </cell>
          <cell r="G32">
            <v>1573.9602047647338</v>
          </cell>
          <cell r="H32">
            <v>2046.1855875631902</v>
          </cell>
          <cell r="I32">
            <v>407663.15730787336</v>
          </cell>
        </row>
        <row r="33">
          <cell r="A33">
            <v>15</v>
          </cell>
          <cell r="B33">
            <v>40451</v>
          </cell>
          <cell r="C33">
            <v>407663.15730787336</v>
          </cell>
          <cell r="D33">
            <v>3620.145792327924</v>
          </cell>
          <cell r="E33">
            <v>0</v>
          </cell>
          <cell r="F33">
            <v>3620.145792327924</v>
          </cell>
          <cell r="G33">
            <v>1581.8300057885572</v>
          </cell>
          <cell r="H33">
            <v>2038.3157865393669</v>
          </cell>
          <cell r="I33">
            <v>406081.32730208483</v>
          </cell>
        </row>
        <row r="34">
          <cell r="A34">
            <v>16</v>
          </cell>
          <cell r="B34">
            <v>40481</v>
          </cell>
          <cell r="C34">
            <v>406081.32730208483</v>
          </cell>
          <cell r="D34">
            <v>3620.145792327924</v>
          </cell>
          <cell r="E34">
            <v>0</v>
          </cell>
          <cell r="F34">
            <v>3620.145792327924</v>
          </cell>
          <cell r="G34">
            <v>1589.7391558174997</v>
          </cell>
          <cell r="H34">
            <v>2030.4066365104243</v>
          </cell>
          <cell r="I34">
            <v>404491.58814626734</v>
          </cell>
        </row>
        <row r="35">
          <cell r="A35">
            <v>17</v>
          </cell>
          <cell r="B35">
            <v>40512</v>
          </cell>
          <cell r="C35">
            <v>404491.58814626734</v>
          </cell>
          <cell r="D35">
            <v>3620.145792327924</v>
          </cell>
          <cell r="E35">
            <v>0</v>
          </cell>
          <cell r="F35">
            <v>3620.145792327924</v>
          </cell>
          <cell r="G35">
            <v>1597.6878515965873</v>
          </cell>
          <cell r="H35">
            <v>2022.4579407313367</v>
          </cell>
          <cell r="I35">
            <v>402893.90029467078</v>
          </cell>
        </row>
        <row r="36">
          <cell r="A36">
            <v>18</v>
          </cell>
          <cell r="B36">
            <v>40542</v>
          </cell>
          <cell r="C36">
            <v>402893.90029467078</v>
          </cell>
          <cell r="D36">
            <v>3620.145792327924</v>
          </cell>
          <cell r="E36">
            <v>0</v>
          </cell>
          <cell r="F36">
            <v>3620.145792327924</v>
          </cell>
          <cell r="G36">
            <v>1605.6762908545704</v>
          </cell>
          <cell r="H36">
            <v>2014.4695014733536</v>
          </cell>
          <cell r="I36">
            <v>401288.2240038162</v>
          </cell>
        </row>
        <row r="37">
          <cell r="G37">
            <v>18749.524963460688</v>
          </cell>
          <cell r="H37">
            <v>24692.2245444744</v>
          </cell>
        </row>
        <row r="38">
          <cell r="A38">
            <v>19</v>
          </cell>
          <cell r="B38">
            <v>40573</v>
          </cell>
          <cell r="C38">
            <v>401288.2240038162</v>
          </cell>
          <cell r="D38">
            <v>3620.145792327924</v>
          </cell>
          <cell r="E38">
            <v>0</v>
          </cell>
          <cell r="F38">
            <v>3620.145792327924</v>
          </cell>
          <cell r="G38">
            <v>1613.7046723088431</v>
          </cell>
          <cell r="H38">
            <v>2006.4411200190809</v>
          </cell>
          <cell r="I38">
            <v>399674.51933150733</v>
          </cell>
        </row>
        <row r="39">
          <cell r="A39">
            <v>20</v>
          </cell>
          <cell r="B39">
            <v>40604</v>
          </cell>
          <cell r="C39">
            <v>399674.51933150733</v>
          </cell>
          <cell r="D39">
            <v>3620.145792327924</v>
          </cell>
          <cell r="E39">
            <v>0</v>
          </cell>
          <cell r="F39">
            <v>3620.145792327924</v>
          </cell>
          <cell r="G39">
            <v>1621.7731956703874</v>
          </cell>
          <cell r="H39">
            <v>1998.3725966575366</v>
          </cell>
          <cell r="I39">
            <v>398052.74613583693</v>
          </cell>
        </row>
        <row r="40">
          <cell r="A40">
            <v>21</v>
          </cell>
          <cell r="B40">
            <v>40632</v>
          </cell>
          <cell r="C40">
            <v>398052.74613583693</v>
          </cell>
          <cell r="D40">
            <v>3620.145792327924</v>
          </cell>
          <cell r="E40">
            <v>0</v>
          </cell>
          <cell r="F40">
            <v>3620.145792327924</v>
          </cell>
          <cell r="G40">
            <v>1629.8820616487394</v>
          </cell>
          <cell r="H40">
            <v>1990.2637306791846</v>
          </cell>
          <cell r="I40">
            <v>396422.86407418817</v>
          </cell>
        </row>
        <row r="41">
          <cell r="A41">
            <v>22</v>
          </cell>
          <cell r="B41">
            <v>40663</v>
          </cell>
          <cell r="C41">
            <v>396422.86407418817</v>
          </cell>
          <cell r="D41">
            <v>3620.145792327924</v>
          </cell>
          <cell r="E41">
            <v>0</v>
          </cell>
          <cell r="F41">
            <v>3620.145792327924</v>
          </cell>
          <cell r="G41">
            <v>1638.0314719569833</v>
          </cell>
          <cell r="H41">
            <v>1982.1143203709407</v>
          </cell>
          <cell r="I41">
            <v>394784.83260223118</v>
          </cell>
        </row>
        <row r="42">
          <cell r="A42">
            <v>23</v>
          </cell>
          <cell r="B42">
            <v>40693</v>
          </cell>
          <cell r="C42">
            <v>394784.83260223118</v>
          </cell>
          <cell r="D42">
            <v>3620.145792327924</v>
          </cell>
          <cell r="E42">
            <v>0</v>
          </cell>
          <cell r="F42">
            <v>3620.145792327924</v>
          </cell>
          <cell r="G42">
            <v>1646.2216293167683</v>
          </cell>
          <cell r="H42">
            <v>1973.9241630111558</v>
          </cell>
          <cell r="I42">
            <v>393138.61097291444</v>
          </cell>
        </row>
        <row r="43">
          <cell r="A43">
            <v>24</v>
          </cell>
          <cell r="B43">
            <v>40724</v>
          </cell>
          <cell r="C43">
            <v>393138.61097291444</v>
          </cell>
          <cell r="D43">
            <v>3620.145792327924</v>
          </cell>
          <cell r="E43">
            <v>0</v>
          </cell>
          <cell r="F43">
            <v>3620.145792327924</v>
          </cell>
          <cell r="G43">
            <v>1654.4527374633519</v>
          </cell>
          <cell r="H43">
            <v>1965.6930548645721</v>
          </cell>
          <cell r="I43">
            <v>391484.15823545109</v>
          </cell>
        </row>
        <row r="44">
          <cell r="A44">
            <v>25</v>
          </cell>
          <cell r="B44">
            <v>40754</v>
          </cell>
          <cell r="C44">
            <v>391484.15823545109</v>
          </cell>
          <cell r="D44">
            <v>3620.145792327924</v>
          </cell>
          <cell r="E44">
            <v>0</v>
          </cell>
          <cell r="F44">
            <v>3620.145792327924</v>
          </cell>
          <cell r="G44">
            <v>1662.7250011506685</v>
          </cell>
          <cell r="H44">
            <v>1957.4207911772555</v>
          </cell>
          <cell r="I44">
            <v>389821.43323430041</v>
          </cell>
        </row>
        <row r="45">
          <cell r="A45">
            <v>26</v>
          </cell>
          <cell r="B45">
            <v>40785</v>
          </cell>
          <cell r="C45">
            <v>389821.43323430041</v>
          </cell>
          <cell r="D45">
            <v>3620.145792327924</v>
          </cell>
          <cell r="E45">
            <v>0</v>
          </cell>
          <cell r="F45">
            <v>3620.145792327924</v>
          </cell>
          <cell r="G45">
            <v>1671.038626156422</v>
          </cell>
          <cell r="H45">
            <v>1949.1071661715021</v>
          </cell>
          <cell r="I45">
            <v>388150.39460814401</v>
          </cell>
        </row>
        <row r="46">
          <cell r="A46">
            <v>27</v>
          </cell>
          <cell r="B46">
            <v>40816</v>
          </cell>
          <cell r="C46">
            <v>388150.39460814401</v>
          </cell>
          <cell r="D46">
            <v>3620.145792327924</v>
          </cell>
          <cell r="E46">
            <v>0</v>
          </cell>
          <cell r="F46">
            <v>3620.145792327924</v>
          </cell>
          <cell r="G46">
            <v>1679.393819287204</v>
          </cell>
          <cell r="H46">
            <v>1940.75197304072</v>
          </cell>
          <cell r="I46">
            <v>386471.00078885682</v>
          </cell>
        </row>
        <row r="47">
          <cell r="A47">
            <v>28</v>
          </cell>
          <cell r="B47">
            <v>40846</v>
          </cell>
          <cell r="C47">
            <v>386471.00078885682</v>
          </cell>
          <cell r="D47">
            <v>3620.145792327924</v>
          </cell>
          <cell r="E47">
            <v>0</v>
          </cell>
          <cell r="F47">
            <v>3620.145792327924</v>
          </cell>
          <cell r="G47">
            <v>1687.7907883836399</v>
          </cell>
          <cell r="H47">
            <v>1932.3550039442841</v>
          </cell>
          <cell r="I47">
            <v>384783.21000047319</v>
          </cell>
        </row>
        <row r="48">
          <cell r="A48">
            <v>29</v>
          </cell>
          <cell r="B48">
            <v>40877</v>
          </cell>
          <cell r="C48">
            <v>384783.21000047319</v>
          </cell>
          <cell r="D48">
            <v>3620.145792327924</v>
          </cell>
          <cell r="E48">
            <v>0</v>
          </cell>
          <cell r="F48">
            <v>3620.145792327924</v>
          </cell>
          <cell r="G48">
            <v>1696.2297423255579</v>
          </cell>
          <cell r="H48">
            <v>1923.9160500023661</v>
          </cell>
          <cell r="I48">
            <v>383086.98025814764</v>
          </cell>
        </row>
        <row r="49">
          <cell r="A49">
            <v>30</v>
          </cell>
          <cell r="B49">
            <v>40907</v>
          </cell>
          <cell r="C49">
            <v>383086.98025814764</v>
          </cell>
          <cell r="D49">
            <v>3620.145792327924</v>
          </cell>
          <cell r="E49">
            <v>0</v>
          </cell>
          <cell r="F49">
            <v>3620.145792327924</v>
          </cell>
          <cell r="G49">
            <v>1704.710891037186</v>
          </cell>
          <cell r="H49">
            <v>1915.434901290738</v>
          </cell>
          <cell r="I49">
            <v>381382.26936711045</v>
          </cell>
        </row>
        <row r="50">
          <cell r="G50">
            <v>19905.954636705752</v>
          </cell>
          <cell r="H50">
            <v>23535.794871229333</v>
          </cell>
        </row>
        <row r="51">
          <cell r="A51">
            <v>31</v>
          </cell>
          <cell r="B51">
            <v>40938</v>
          </cell>
          <cell r="C51">
            <v>381382.26936711045</v>
          </cell>
          <cell r="D51">
            <v>3620.145792327924</v>
          </cell>
          <cell r="E51">
            <v>0</v>
          </cell>
          <cell r="F51">
            <v>3620.145792327924</v>
          </cell>
          <cell r="G51">
            <v>1713.2344454923721</v>
          </cell>
          <cell r="H51">
            <v>1906.911346835552</v>
          </cell>
          <cell r="I51">
            <v>379669.03492161806</v>
          </cell>
        </row>
        <row r="52">
          <cell r="A52">
            <v>32</v>
          </cell>
          <cell r="B52">
            <v>40969</v>
          </cell>
          <cell r="C52">
            <v>379669.03492161806</v>
          </cell>
          <cell r="D52">
            <v>3620.145792327924</v>
          </cell>
          <cell r="E52">
            <v>0</v>
          </cell>
          <cell r="F52">
            <v>3620.145792327924</v>
          </cell>
          <cell r="G52">
            <v>1721.8006177198338</v>
          </cell>
          <cell r="H52">
            <v>1898.3451746080902</v>
          </cell>
          <cell r="I52">
            <v>377947.23430389824</v>
          </cell>
        </row>
        <row r="53">
          <cell r="A53">
            <v>33</v>
          </cell>
          <cell r="B53">
            <v>40998</v>
          </cell>
          <cell r="C53">
            <v>377947.23430389824</v>
          </cell>
          <cell r="D53">
            <v>3620.145792327924</v>
          </cell>
          <cell r="E53">
            <v>0</v>
          </cell>
          <cell r="F53">
            <v>3620.145792327924</v>
          </cell>
          <cell r="G53">
            <v>1730.4096208084329</v>
          </cell>
          <cell r="H53">
            <v>1889.7361715194911</v>
          </cell>
          <cell r="I53">
            <v>376216.8246830898</v>
          </cell>
        </row>
        <row r="54">
          <cell r="A54">
            <v>34</v>
          </cell>
          <cell r="B54">
            <v>41029</v>
          </cell>
          <cell r="C54">
            <v>376216.8246830898</v>
          </cell>
          <cell r="D54">
            <v>3620.145792327924</v>
          </cell>
          <cell r="E54">
            <v>0</v>
          </cell>
          <cell r="F54">
            <v>3620.145792327924</v>
          </cell>
          <cell r="G54">
            <v>1739.0616689124752</v>
          </cell>
          <cell r="H54">
            <v>1881.0841234154489</v>
          </cell>
          <cell r="I54">
            <v>374477.76301417733</v>
          </cell>
        </row>
        <row r="55">
          <cell r="A55">
            <v>35</v>
          </cell>
          <cell r="B55">
            <v>41059</v>
          </cell>
          <cell r="C55">
            <v>374477.76301417733</v>
          </cell>
          <cell r="D55">
            <v>3620.145792327924</v>
          </cell>
          <cell r="E55">
            <v>0</v>
          </cell>
          <cell r="F55">
            <v>3620.145792327924</v>
          </cell>
          <cell r="G55">
            <v>1747.7569772570375</v>
          </cell>
          <cell r="H55">
            <v>1872.3888150708865</v>
          </cell>
          <cell r="I55">
            <v>372730.0060369203</v>
          </cell>
        </row>
        <row r="56">
          <cell r="A56">
            <v>36</v>
          </cell>
          <cell r="B56">
            <v>41090</v>
          </cell>
          <cell r="C56">
            <v>372730.0060369203</v>
          </cell>
          <cell r="D56">
            <v>3620.145792327924</v>
          </cell>
          <cell r="E56">
            <v>0</v>
          </cell>
          <cell r="F56">
            <v>3620.145792327924</v>
          </cell>
          <cell r="G56">
            <v>1756.4957621433225</v>
          </cell>
          <cell r="H56">
            <v>1863.6500301846015</v>
          </cell>
          <cell r="I56">
            <v>370973.51027477696</v>
          </cell>
        </row>
        <row r="57">
          <cell r="A57">
            <v>37</v>
          </cell>
          <cell r="B57">
            <v>41120</v>
          </cell>
          <cell r="C57">
            <v>370973.51027477696</v>
          </cell>
          <cell r="D57">
            <v>3620.145792327924</v>
          </cell>
          <cell r="E57">
            <v>0</v>
          </cell>
          <cell r="F57">
            <v>3620.145792327924</v>
          </cell>
          <cell r="G57">
            <v>1765.2782409540393</v>
          </cell>
          <cell r="H57">
            <v>1854.8675513738847</v>
          </cell>
          <cell r="I57">
            <v>369208.23203382292</v>
          </cell>
        </row>
        <row r="58">
          <cell r="A58">
            <v>38</v>
          </cell>
          <cell r="B58">
            <v>41151</v>
          </cell>
          <cell r="C58">
            <v>369208.23203382292</v>
          </cell>
          <cell r="D58">
            <v>3620.145792327924</v>
          </cell>
          <cell r="E58">
            <v>0</v>
          </cell>
          <cell r="F58">
            <v>3620.145792327924</v>
          </cell>
          <cell r="G58">
            <v>1774.1046321588094</v>
          </cell>
          <cell r="H58">
            <v>1846.0411601691146</v>
          </cell>
          <cell r="I58">
            <v>367434.1274016641</v>
          </cell>
        </row>
        <row r="59">
          <cell r="A59">
            <v>39</v>
          </cell>
          <cell r="B59">
            <v>41182</v>
          </cell>
          <cell r="C59">
            <v>367434.1274016641</v>
          </cell>
          <cell r="D59">
            <v>3620.145792327924</v>
          </cell>
          <cell r="E59">
            <v>0</v>
          </cell>
          <cell r="F59">
            <v>3620.145792327924</v>
          </cell>
          <cell r="G59">
            <v>1782.9751553196036</v>
          </cell>
          <cell r="H59">
            <v>1837.1706370083205</v>
          </cell>
          <cell r="I59">
            <v>365651.15224634449</v>
          </cell>
        </row>
        <row r="60">
          <cell r="A60">
            <v>40</v>
          </cell>
          <cell r="B60">
            <v>41212</v>
          </cell>
          <cell r="C60">
            <v>365651.15224634449</v>
          </cell>
          <cell r="D60">
            <v>3620.145792327924</v>
          </cell>
          <cell r="E60">
            <v>0</v>
          </cell>
          <cell r="F60">
            <v>3620.145792327924</v>
          </cell>
          <cell r="G60">
            <v>1791.8900310962017</v>
          </cell>
          <cell r="H60">
            <v>1828.2557612317223</v>
          </cell>
          <cell r="I60">
            <v>363859.26221524831</v>
          </cell>
        </row>
        <row r="61">
          <cell r="A61">
            <v>41</v>
          </cell>
          <cell r="B61">
            <v>41243</v>
          </cell>
          <cell r="C61">
            <v>363859.26221524831</v>
          </cell>
          <cell r="D61">
            <v>3620.145792327924</v>
          </cell>
          <cell r="E61">
            <v>0</v>
          </cell>
          <cell r="F61">
            <v>3620.145792327924</v>
          </cell>
          <cell r="G61">
            <v>1800.8494812516826</v>
          </cell>
          <cell r="H61">
            <v>1819.2963110762414</v>
          </cell>
          <cell r="I61">
            <v>362058.41273399664</v>
          </cell>
        </row>
        <row r="62">
          <cell r="A62">
            <v>42</v>
          </cell>
          <cell r="B62">
            <v>41273</v>
          </cell>
          <cell r="C62">
            <v>362058.41273399664</v>
          </cell>
          <cell r="D62">
            <v>3620.145792327924</v>
          </cell>
          <cell r="E62">
            <v>0</v>
          </cell>
          <cell r="F62">
            <v>3620.145792327924</v>
          </cell>
          <cell r="G62">
            <v>1809.853728657941</v>
          </cell>
          <cell r="H62">
            <v>1810.292063669983</v>
          </cell>
          <cell r="I62">
            <v>360248.5590053387</v>
          </cell>
        </row>
        <row r="63">
          <cell r="G63">
            <v>21133.710361771751</v>
          </cell>
          <cell r="H63">
            <v>22308.039146163333</v>
          </cell>
        </row>
        <row r="64">
          <cell r="A64">
            <v>43</v>
          </cell>
          <cell r="B64">
            <v>41304</v>
          </cell>
          <cell r="C64">
            <v>360248.5590053387</v>
          </cell>
          <cell r="D64">
            <v>3620.145792327924</v>
          </cell>
          <cell r="E64">
            <v>0</v>
          </cell>
          <cell r="F64">
            <v>3620.145792327924</v>
          </cell>
          <cell r="G64">
            <v>1818.9029973012305</v>
          </cell>
          <cell r="H64">
            <v>1801.2427950266936</v>
          </cell>
          <cell r="I64">
            <v>358429.65600803745</v>
          </cell>
        </row>
        <row r="65">
          <cell r="A65">
            <v>44</v>
          </cell>
          <cell r="B65">
            <v>41335</v>
          </cell>
          <cell r="C65">
            <v>358429.65600803745</v>
          </cell>
          <cell r="D65">
            <v>3620.145792327924</v>
          </cell>
          <cell r="E65">
            <v>0</v>
          </cell>
          <cell r="F65">
            <v>3620.145792327924</v>
          </cell>
          <cell r="G65">
            <v>1827.9975122877368</v>
          </cell>
          <cell r="H65">
            <v>1792.1482800401873</v>
          </cell>
          <cell r="I65">
            <v>356601.6584957497</v>
          </cell>
        </row>
        <row r="66">
          <cell r="A66">
            <v>45</v>
          </cell>
          <cell r="B66">
            <v>41363</v>
          </cell>
          <cell r="C66">
            <v>356601.6584957497</v>
          </cell>
          <cell r="D66">
            <v>3620.145792327924</v>
          </cell>
          <cell r="E66">
            <v>0</v>
          </cell>
          <cell r="F66">
            <v>3620.145792327924</v>
          </cell>
          <cell r="G66">
            <v>1837.1374998491756</v>
          </cell>
          <cell r="H66">
            <v>1783.0082924787484</v>
          </cell>
          <cell r="I66">
            <v>354764.5209959005</v>
          </cell>
        </row>
        <row r="67">
          <cell r="A67">
            <v>46</v>
          </cell>
          <cell r="B67">
            <v>41394</v>
          </cell>
          <cell r="C67">
            <v>354764.5209959005</v>
          </cell>
          <cell r="D67">
            <v>3620.145792327924</v>
          </cell>
          <cell r="E67">
            <v>0</v>
          </cell>
          <cell r="F67">
            <v>3620.145792327924</v>
          </cell>
          <cell r="G67">
            <v>1846.3231873484217</v>
          </cell>
          <cell r="H67">
            <v>1773.8226049795023</v>
          </cell>
          <cell r="I67">
            <v>352918.19780855207</v>
          </cell>
        </row>
        <row r="68">
          <cell r="A68">
            <v>47</v>
          </cell>
          <cell r="B68">
            <v>41424</v>
          </cell>
          <cell r="C68">
            <v>352918.19780855207</v>
          </cell>
          <cell r="D68">
            <v>3620.145792327924</v>
          </cell>
          <cell r="E68">
            <v>0</v>
          </cell>
          <cell r="F68">
            <v>3620.145792327924</v>
          </cell>
          <cell r="G68">
            <v>1855.5548032851639</v>
          </cell>
          <cell r="H68">
            <v>1764.5909890427602</v>
          </cell>
          <cell r="I68">
            <v>351062.6430052669</v>
          </cell>
        </row>
        <row r="69">
          <cell r="A69">
            <v>48</v>
          </cell>
          <cell r="B69">
            <v>41455</v>
          </cell>
          <cell r="C69">
            <v>351062.6430052669</v>
          </cell>
          <cell r="D69">
            <v>3620.145792327924</v>
          </cell>
          <cell r="E69">
            <v>0</v>
          </cell>
          <cell r="F69">
            <v>3620.145792327924</v>
          </cell>
          <cell r="G69">
            <v>1864.8325773015895</v>
          </cell>
          <cell r="H69">
            <v>1755.3132150263345</v>
          </cell>
          <cell r="I69">
            <v>349197.81042796531</v>
          </cell>
        </row>
        <row r="70">
          <cell r="A70">
            <v>49</v>
          </cell>
          <cell r="B70">
            <v>41485</v>
          </cell>
          <cell r="C70">
            <v>349197.81042796531</v>
          </cell>
          <cell r="D70">
            <v>3620.145792327924</v>
          </cell>
          <cell r="E70">
            <v>0</v>
          </cell>
          <cell r="F70">
            <v>3620.145792327924</v>
          </cell>
          <cell r="G70">
            <v>1874.1567401880975</v>
          </cell>
          <cell r="H70">
            <v>1745.9890521398265</v>
          </cell>
          <cell r="I70">
            <v>347323.65368777723</v>
          </cell>
        </row>
        <row r="71">
          <cell r="A71">
            <v>50</v>
          </cell>
          <cell r="B71">
            <v>41516</v>
          </cell>
          <cell r="C71">
            <v>347323.65368777723</v>
          </cell>
          <cell r="D71">
            <v>3620.145792327924</v>
          </cell>
          <cell r="E71">
            <v>0</v>
          </cell>
          <cell r="F71">
            <v>3620.145792327924</v>
          </cell>
          <cell r="G71">
            <v>1883.5275238890379</v>
          </cell>
          <cell r="H71">
            <v>1736.6182684388862</v>
          </cell>
          <cell r="I71">
            <v>345440.1261638882</v>
          </cell>
        </row>
        <row r="72">
          <cell r="A72">
            <v>51</v>
          </cell>
          <cell r="B72">
            <v>41547</v>
          </cell>
          <cell r="C72">
            <v>345440.1261638882</v>
          </cell>
          <cell r="D72">
            <v>3620.145792327924</v>
          </cell>
          <cell r="E72">
            <v>0</v>
          </cell>
          <cell r="F72">
            <v>3620.145792327924</v>
          </cell>
          <cell r="G72">
            <v>1892.9451615084829</v>
          </cell>
          <cell r="H72">
            <v>1727.2006308194411</v>
          </cell>
          <cell r="I72">
            <v>343547.18100237974</v>
          </cell>
        </row>
        <row r="73">
          <cell r="A73">
            <v>52</v>
          </cell>
          <cell r="B73">
            <v>41577</v>
          </cell>
          <cell r="C73">
            <v>343547.18100237974</v>
          </cell>
          <cell r="D73">
            <v>3620.145792327924</v>
          </cell>
          <cell r="E73">
            <v>0</v>
          </cell>
          <cell r="F73">
            <v>3620.145792327924</v>
          </cell>
          <cell r="G73">
            <v>1902.4098873160253</v>
          </cell>
          <cell r="H73">
            <v>1717.7359050118987</v>
          </cell>
          <cell r="I73">
            <v>341644.77111506375</v>
          </cell>
        </row>
        <row r="74">
          <cell r="A74">
            <v>53</v>
          </cell>
          <cell r="B74">
            <v>41608</v>
          </cell>
          <cell r="C74">
            <v>341644.77111506375</v>
          </cell>
          <cell r="D74">
            <v>3620.145792327924</v>
          </cell>
          <cell r="E74">
            <v>0</v>
          </cell>
          <cell r="F74">
            <v>3620.145792327924</v>
          </cell>
          <cell r="G74">
            <v>1911.9219367526055</v>
          </cell>
          <cell r="H74">
            <v>1708.2238555753186</v>
          </cell>
          <cell r="I74">
            <v>339732.84917831112</v>
          </cell>
        </row>
        <row r="75">
          <cell r="A75">
            <v>54</v>
          </cell>
          <cell r="B75">
            <v>41638</v>
          </cell>
          <cell r="C75">
            <v>339732.84917831112</v>
          </cell>
          <cell r="D75">
            <v>3620.145792327924</v>
          </cell>
          <cell r="E75">
            <v>0</v>
          </cell>
          <cell r="F75">
            <v>3620.145792327924</v>
          </cell>
          <cell r="G75">
            <v>1921.4815464363685</v>
          </cell>
          <cell r="H75">
            <v>1698.6642458915555</v>
          </cell>
          <cell r="I75">
            <v>337811.36763187475</v>
          </cell>
        </row>
        <row r="76">
          <cell r="G76">
            <v>22437.191373463931</v>
          </cell>
          <cell r="H76">
            <v>21004.55813447115</v>
          </cell>
        </row>
        <row r="77">
          <cell r="A77">
            <v>55</v>
          </cell>
          <cell r="B77">
            <v>41669</v>
          </cell>
          <cell r="C77">
            <v>337811.36763187475</v>
          </cell>
          <cell r="D77">
            <v>3620.145792327924</v>
          </cell>
          <cell r="E77">
            <v>0</v>
          </cell>
          <cell r="F77">
            <v>3620.145792327924</v>
          </cell>
          <cell r="G77">
            <v>1931.0889541685503</v>
          </cell>
          <cell r="H77">
            <v>1689.0568381593737</v>
          </cell>
          <cell r="I77">
            <v>335880.2786777062</v>
          </cell>
        </row>
        <row r="78">
          <cell r="A78">
            <v>56</v>
          </cell>
          <cell r="B78">
            <v>41700</v>
          </cell>
          <cell r="C78">
            <v>335880.2786777062</v>
          </cell>
          <cell r="D78">
            <v>3620.145792327924</v>
          </cell>
          <cell r="E78">
            <v>0</v>
          </cell>
          <cell r="F78">
            <v>3620.145792327924</v>
          </cell>
          <cell r="G78">
            <v>1940.744398939393</v>
          </cell>
          <cell r="H78">
            <v>1679.401393388531</v>
          </cell>
          <cell r="I78">
            <v>333939.53427876683</v>
          </cell>
        </row>
        <row r="79">
          <cell r="A79">
            <v>57</v>
          </cell>
          <cell r="B79">
            <v>41728</v>
          </cell>
          <cell r="C79">
            <v>333939.53427876683</v>
          </cell>
          <cell r="D79">
            <v>3620.145792327924</v>
          </cell>
          <cell r="E79">
            <v>0</v>
          </cell>
          <cell r="F79">
            <v>3620.145792327924</v>
          </cell>
          <cell r="G79">
            <v>1950.44812093409</v>
          </cell>
          <cell r="H79">
            <v>1669.6976713938341</v>
          </cell>
          <cell r="I79">
            <v>331989.08615783276</v>
          </cell>
        </row>
        <row r="80">
          <cell r="A80">
            <v>58</v>
          </cell>
          <cell r="B80">
            <v>41759</v>
          </cell>
          <cell r="C80">
            <v>331989.08615783276</v>
          </cell>
          <cell r="D80">
            <v>3620.145792327924</v>
          </cell>
          <cell r="E80">
            <v>0</v>
          </cell>
          <cell r="F80">
            <v>3620.145792327924</v>
          </cell>
          <cell r="G80">
            <v>1960.2003615387603</v>
          </cell>
          <cell r="H80">
            <v>1659.9454307891638</v>
          </cell>
          <cell r="I80">
            <v>330028.88579629402</v>
          </cell>
        </row>
        <row r="81">
          <cell r="A81">
            <v>59</v>
          </cell>
          <cell r="B81">
            <v>41789</v>
          </cell>
          <cell r="C81">
            <v>330028.88579629402</v>
          </cell>
          <cell r="D81">
            <v>3620.145792327924</v>
          </cell>
          <cell r="E81">
            <v>0</v>
          </cell>
          <cell r="F81">
            <v>3620.145792327924</v>
          </cell>
          <cell r="G81">
            <v>1970.0013633464539</v>
          </cell>
          <cell r="H81">
            <v>1650.1444289814701</v>
          </cell>
          <cell r="I81">
            <v>328058.88443294755</v>
          </cell>
        </row>
        <row r="82">
          <cell r="A82">
            <v>60</v>
          </cell>
          <cell r="B82">
            <v>41820</v>
          </cell>
          <cell r="C82">
            <v>328058.88443294755</v>
          </cell>
          <cell r="D82">
            <v>3620.145792327924</v>
          </cell>
          <cell r="E82">
            <v>0</v>
          </cell>
          <cell r="F82">
            <v>3620.145792327924</v>
          </cell>
          <cell r="G82">
            <v>1979.8513701631864</v>
          </cell>
          <cell r="H82">
            <v>1640.2944221647376</v>
          </cell>
          <cell r="I82">
            <v>326079.03306278435</v>
          </cell>
        </row>
        <row r="83">
          <cell r="A83">
            <v>61</v>
          </cell>
          <cell r="B83">
            <v>41850</v>
          </cell>
          <cell r="C83">
            <v>326079.03306278435</v>
          </cell>
          <cell r="D83">
            <v>3620.145792327924</v>
          </cell>
          <cell r="E83">
            <v>0</v>
          </cell>
          <cell r="F83">
            <v>3620.145792327924</v>
          </cell>
          <cell r="G83">
            <v>1989.7506270140022</v>
          </cell>
          <cell r="H83">
            <v>1630.3951653139218</v>
          </cell>
          <cell r="I83">
            <v>324089.28243577032</v>
          </cell>
        </row>
        <row r="84">
          <cell r="A84">
            <v>62</v>
          </cell>
          <cell r="B84">
            <v>41881</v>
          </cell>
          <cell r="C84">
            <v>324089.28243577032</v>
          </cell>
          <cell r="D84">
            <v>3620.145792327924</v>
          </cell>
          <cell r="E84">
            <v>0</v>
          </cell>
          <cell r="F84">
            <v>3620.145792327924</v>
          </cell>
          <cell r="G84">
            <v>1999.6993801490726</v>
          </cell>
          <cell r="H84">
            <v>1620.4464121788515</v>
          </cell>
          <cell r="I84">
            <v>322089.58305562125</v>
          </cell>
        </row>
        <row r="85">
          <cell r="A85">
            <v>63</v>
          </cell>
          <cell r="B85">
            <v>41912</v>
          </cell>
          <cell r="C85">
            <v>322089.58305562125</v>
          </cell>
          <cell r="D85">
            <v>3620.145792327924</v>
          </cell>
          <cell r="E85">
            <v>0</v>
          </cell>
          <cell r="F85">
            <v>3620.145792327924</v>
          </cell>
          <cell r="G85">
            <v>2009.6978770498179</v>
          </cell>
          <cell r="H85">
            <v>1610.4479152781062</v>
          </cell>
          <cell r="I85">
            <v>320079.88517857145</v>
          </cell>
        </row>
        <row r="86">
          <cell r="A86">
            <v>64</v>
          </cell>
          <cell r="B86">
            <v>41942</v>
          </cell>
          <cell r="C86">
            <v>320079.88517857145</v>
          </cell>
          <cell r="D86">
            <v>3620.145792327924</v>
          </cell>
          <cell r="E86">
            <v>0</v>
          </cell>
          <cell r="F86">
            <v>3620.145792327924</v>
          </cell>
          <cell r="G86">
            <v>2019.7463664350669</v>
          </cell>
          <cell r="H86">
            <v>1600.3994258928572</v>
          </cell>
          <cell r="I86">
            <v>318060.13881213637</v>
          </cell>
        </row>
        <row r="87">
          <cell r="A87">
            <v>65</v>
          </cell>
          <cell r="B87">
            <v>41973</v>
          </cell>
          <cell r="C87">
            <v>318060.13881213637</v>
          </cell>
          <cell r="D87">
            <v>3620.145792327924</v>
          </cell>
          <cell r="E87">
            <v>0</v>
          </cell>
          <cell r="F87">
            <v>3620.145792327924</v>
          </cell>
          <cell r="G87">
            <v>2029.8450982672423</v>
          </cell>
          <cell r="H87">
            <v>1590.3006940606817</v>
          </cell>
          <cell r="I87">
            <v>316030.29371386912</v>
          </cell>
        </row>
        <row r="88">
          <cell r="A88">
            <v>66</v>
          </cell>
          <cell r="B88">
            <v>42003</v>
          </cell>
          <cell r="C88">
            <v>316030.29371386912</v>
          </cell>
          <cell r="D88">
            <v>3620.145792327924</v>
          </cell>
          <cell r="E88">
            <v>0</v>
          </cell>
          <cell r="F88">
            <v>3620.145792327924</v>
          </cell>
          <cell r="G88">
            <v>2039.9943237585785</v>
          </cell>
          <cell r="H88">
            <v>1580.1514685693455</v>
          </cell>
          <cell r="I88">
            <v>313990.29939011054</v>
          </cell>
        </row>
        <row r="89">
          <cell r="G89">
            <v>23821.068241764217</v>
          </cell>
          <cell r="H89">
            <v>19620.681266170875</v>
          </cell>
        </row>
        <row r="90">
          <cell r="A90">
            <v>67</v>
          </cell>
          <cell r="B90">
            <v>42034</v>
          </cell>
          <cell r="C90">
            <v>313990.29939011054</v>
          </cell>
          <cell r="D90">
            <v>3620.145792327924</v>
          </cell>
          <cell r="E90">
            <v>0</v>
          </cell>
          <cell r="F90">
            <v>3620.145792327924</v>
          </cell>
          <cell r="G90">
            <v>2050.1942953773714</v>
          </cell>
          <cell r="H90">
            <v>1569.9514969505526</v>
          </cell>
          <cell r="I90">
            <v>311940.10509473318</v>
          </cell>
        </row>
        <row r="91">
          <cell r="A91">
            <v>68</v>
          </cell>
          <cell r="B91">
            <v>42065</v>
          </cell>
          <cell r="C91">
            <v>311940.10509473318</v>
          </cell>
          <cell r="D91">
            <v>3620.145792327924</v>
          </cell>
          <cell r="E91">
            <v>0</v>
          </cell>
          <cell r="F91">
            <v>3620.145792327924</v>
          </cell>
          <cell r="G91">
            <v>2060.4452668542581</v>
          </cell>
          <cell r="H91">
            <v>1559.7005254736659</v>
          </cell>
          <cell r="I91">
            <v>309879.65982787893</v>
          </cell>
        </row>
        <row r="92">
          <cell r="A92">
            <v>69</v>
          </cell>
          <cell r="B92">
            <v>42093</v>
          </cell>
          <cell r="C92">
            <v>309879.65982787893</v>
          </cell>
          <cell r="D92">
            <v>3620.145792327924</v>
          </cell>
          <cell r="E92">
            <v>0</v>
          </cell>
          <cell r="F92">
            <v>3620.145792327924</v>
          </cell>
          <cell r="G92">
            <v>2070.747493188529</v>
          </cell>
          <cell r="H92">
            <v>1549.3982991393948</v>
          </cell>
          <cell r="I92">
            <v>307808.91233469039</v>
          </cell>
        </row>
        <row r="93">
          <cell r="A93">
            <v>70</v>
          </cell>
          <cell r="B93">
            <v>42124</v>
          </cell>
          <cell r="C93">
            <v>307808.91233469039</v>
          </cell>
          <cell r="D93">
            <v>3620.145792327924</v>
          </cell>
          <cell r="E93">
            <v>0</v>
          </cell>
          <cell r="F93">
            <v>3620.145792327924</v>
          </cell>
          <cell r="G93">
            <v>2081.1012306544717</v>
          </cell>
          <cell r="H93">
            <v>1539.0445616734521</v>
          </cell>
          <cell r="I93">
            <v>305727.81110403594</v>
          </cell>
        </row>
        <row r="94">
          <cell r="A94">
            <v>71</v>
          </cell>
          <cell r="B94">
            <v>42154</v>
          </cell>
          <cell r="C94">
            <v>305727.81110403594</v>
          </cell>
          <cell r="D94">
            <v>3620.145792327924</v>
          </cell>
          <cell r="E94">
            <v>0</v>
          </cell>
          <cell r="F94">
            <v>3620.145792327924</v>
          </cell>
          <cell r="G94">
            <v>2091.5067368077443</v>
          </cell>
          <cell r="H94">
            <v>1528.6390555201797</v>
          </cell>
          <cell r="I94">
            <v>303636.30436722818</v>
          </cell>
        </row>
        <row r="95">
          <cell r="A95">
            <v>72</v>
          </cell>
          <cell r="B95">
            <v>42185</v>
          </cell>
          <cell r="C95">
            <v>303636.30436722818</v>
          </cell>
          <cell r="D95">
            <v>3620.145792327924</v>
          </cell>
          <cell r="E95">
            <v>0</v>
          </cell>
          <cell r="F95">
            <v>3620.145792327924</v>
          </cell>
          <cell r="G95">
            <v>2101.9642704917833</v>
          </cell>
          <cell r="H95">
            <v>1518.1815218361407</v>
          </cell>
          <cell r="I95">
            <v>301534.34009673639</v>
          </cell>
        </row>
        <row r="96">
          <cell r="A96">
            <v>73</v>
          </cell>
          <cell r="B96">
            <v>42215</v>
          </cell>
          <cell r="C96">
            <v>301534.34009673639</v>
          </cell>
          <cell r="D96">
            <v>3620.145792327924</v>
          </cell>
          <cell r="E96">
            <v>0</v>
          </cell>
          <cell r="F96">
            <v>3620.145792327924</v>
          </cell>
          <cell r="G96">
            <v>2112.4740918442421</v>
          </cell>
          <cell r="H96">
            <v>1507.6717004836819</v>
          </cell>
          <cell r="I96">
            <v>299421.86600489216</v>
          </cell>
        </row>
        <row r="97">
          <cell r="A97">
            <v>74</v>
          </cell>
          <cell r="B97">
            <v>42246</v>
          </cell>
          <cell r="C97">
            <v>299421.86600489216</v>
          </cell>
          <cell r="D97">
            <v>3620.145792327924</v>
          </cell>
          <cell r="E97">
            <v>0</v>
          </cell>
          <cell r="F97">
            <v>3620.145792327924</v>
          </cell>
          <cell r="G97">
            <v>2123.0364623034629</v>
          </cell>
          <cell r="H97">
            <v>1497.1093300244609</v>
          </cell>
          <cell r="I97">
            <v>297298.82954258868</v>
          </cell>
        </row>
        <row r="98">
          <cell r="A98">
            <v>75</v>
          </cell>
          <cell r="B98">
            <v>42277</v>
          </cell>
          <cell r="C98">
            <v>297298.82954258868</v>
          </cell>
          <cell r="D98">
            <v>3620.145792327924</v>
          </cell>
          <cell r="E98">
            <v>0</v>
          </cell>
          <cell r="F98">
            <v>3620.145792327924</v>
          </cell>
          <cell r="G98">
            <v>2133.6516446149808</v>
          </cell>
          <cell r="H98">
            <v>1486.4941477129432</v>
          </cell>
          <cell r="I98">
            <v>295165.17789797368</v>
          </cell>
        </row>
        <row r="99">
          <cell r="A99">
            <v>76</v>
          </cell>
          <cell r="B99">
            <v>42307</v>
          </cell>
          <cell r="C99">
            <v>295165.17789797368</v>
          </cell>
          <cell r="D99">
            <v>3620.145792327924</v>
          </cell>
          <cell r="E99">
            <v>0</v>
          </cell>
          <cell r="F99">
            <v>3620.145792327924</v>
          </cell>
          <cell r="G99">
            <v>2144.3199028380559</v>
          </cell>
          <cell r="H99">
            <v>1475.8258894898684</v>
          </cell>
          <cell r="I99">
            <v>293020.85799513565</v>
          </cell>
        </row>
        <row r="100">
          <cell r="A100">
            <v>77</v>
          </cell>
          <cell r="B100">
            <v>42338</v>
          </cell>
          <cell r="C100">
            <v>293020.85799513565</v>
          </cell>
          <cell r="D100">
            <v>3620.145792327924</v>
          </cell>
          <cell r="E100">
            <v>0</v>
          </cell>
          <cell r="F100">
            <v>3620.145792327924</v>
          </cell>
          <cell r="G100">
            <v>2155.0415023522455</v>
          </cell>
          <cell r="H100">
            <v>1465.1042899756783</v>
          </cell>
          <cell r="I100">
            <v>290865.81649278343</v>
          </cell>
        </row>
        <row r="101">
          <cell r="A101">
            <v>78</v>
          </cell>
          <cell r="B101">
            <v>42368</v>
          </cell>
          <cell r="C101">
            <v>290865.81649278343</v>
          </cell>
          <cell r="D101">
            <v>3620.145792327924</v>
          </cell>
          <cell r="E101">
            <v>0</v>
          </cell>
          <cell r="F101">
            <v>3620.145792327924</v>
          </cell>
          <cell r="G101">
            <v>2165.816709864007</v>
          </cell>
          <cell r="H101">
            <v>1454.3290824639171</v>
          </cell>
          <cell r="I101">
            <v>288699.99978291942</v>
          </cell>
        </row>
        <row r="102">
          <cell r="G102">
            <v>25290.299607191151</v>
          </cell>
          <cell r="H102">
            <v>18151.449900743937</v>
          </cell>
        </row>
        <row r="103">
          <cell r="A103">
            <v>79</v>
          </cell>
          <cell r="B103">
            <v>42399</v>
          </cell>
          <cell r="C103">
            <v>288699.99978291942</v>
          </cell>
          <cell r="D103">
            <v>3620.145792327924</v>
          </cell>
          <cell r="E103">
            <v>0</v>
          </cell>
          <cell r="F103">
            <v>3620.145792327924</v>
          </cell>
          <cell r="G103">
            <v>2176.6457934133268</v>
          </cell>
          <cell r="H103">
            <v>1443.499998914597</v>
          </cell>
          <cell r="I103">
            <v>286523.35398950608</v>
          </cell>
        </row>
        <row r="104">
          <cell r="A104">
            <v>80</v>
          </cell>
          <cell r="B104">
            <v>42430</v>
          </cell>
          <cell r="C104">
            <v>286523.35398950608</v>
          </cell>
          <cell r="D104">
            <v>3620.145792327924</v>
          </cell>
          <cell r="E104">
            <v>0</v>
          </cell>
          <cell r="F104">
            <v>3620.145792327924</v>
          </cell>
          <cell r="G104">
            <v>2187.5290223803941</v>
          </cell>
          <cell r="H104">
            <v>1432.6167699475302</v>
          </cell>
          <cell r="I104">
            <v>284335.82496712566</v>
          </cell>
        </row>
        <row r="105">
          <cell r="A105">
            <v>81</v>
          </cell>
          <cell r="B105">
            <v>42459</v>
          </cell>
          <cell r="C105">
            <v>284335.82496712566</v>
          </cell>
          <cell r="D105">
            <v>3620.145792327924</v>
          </cell>
          <cell r="E105">
            <v>0</v>
          </cell>
          <cell r="F105">
            <v>3620.145792327924</v>
          </cell>
          <cell r="G105">
            <v>2198.4666674922955</v>
          </cell>
          <cell r="H105">
            <v>1421.6791248356283</v>
          </cell>
          <cell r="I105">
            <v>282137.35829963337</v>
          </cell>
        </row>
        <row r="106">
          <cell r="A106">
            <v>82</v>
          </cell>
          <cell r="B106">
            <v>42490</v>
          </cell>
          <cell r="C106">
            <v>282137.35829963337</v>
          </cell>
          <cell r="D106">
            <v>3620.145792327924</v>
          </cell>
          <cell r="E106">
            <v>0</v>
          </cell>
          <cell r="F106">
            <v>3620.145792327924</v>
          </cell>
          <cell r="G106">
            <v>2209.4590008297573</v>
          </cell>
          <cell r="H106">
            <v>1410.6867914981667</v>
          </cell>
          <cell r="I106">
            <v>279927.89929880359</v>
          </cell>
        </row>
        <row r="107">
          <cell r="A107">
            <v>83</v>
          </cell>
          <cell r="B107">
            <v>42520</v>
          </cell>
          <cell r="C107">
            <v>279927.89929880359</v>
          </cell>
          <cell r="D107">
            <v>3620.145792327924</v>
          </cell>
          <cell r="E107">
            <v>0</v>
          </cell>
          <cell r="F107">
            <v>3620.145792327924</v>
          </cell>
          <cell r="G107">
            <v>2220.5062958339058</v>
          </cell>
          <cell r="H107">
            <v>1399.639496494018</v>
          </cell>
          <cell r="I107">
            <v>277707.39300296968</v>
          </cell>
        </row>
        <row r="108">
          <cell r="A108">
            <v>84</v>
          </cell>
          <cell r="B108">
            <v>42551</v>
          </cell>
          <cell r="C108">
            <v>277707.39300296968</v>
          </cell>
          <cell r="D108">
            <v>3620.145792327924</v>
          </cell>
          <cell r="E108">
            <v>0</v>
          </cell>
          <cell r="F108">
            <v>3620.145792327924</v>
          </cell>
          <cell r="G108">
            <v>2231.6088273130754</v>
          </cell>
          <cell r="H108">
            <v>1388.5369650148484</v>
          </cell>
          <cell r="I108">
            <v>275475.78417565662</v>
          </cell>
        </row>
        <row r="109">
          <cell r="A109">
            <v>85</v>
          </cell>
          <cell r="B109">
            <v>42581</v>
          </cell>
          <cell r="C109">
            <v>275475.78417565662</v>
          </cell>
          <cell r="D109">
            <v>3620.145792327924</v>
          </cell>
          <cell r="E109">
            <v>0</v>
          </cell>
          <cell r="F109">
            <v>3620.145792327924</v>
          </cell>
          <cell r="G109">
            <v>2242.7668714496413</v>
          </cell>
          <cell r="H109">
            <v>1377.378920878283</v>
          </cell>
          <cell r="I109">
            <v>273233.01730420697</v>
          </cell>
        </row>
        <row r="110">
          <cell r="A110">
            <v>86</v>
          </cell>
          <cell r="B110">
            <v>42612</v>
          </cell>
          <cell r="C110">
            <v>273233.01730420697</v>
          </cell>
          <cell r="D110">
            <v>3620.145792327924</v>
          </cell>
          <cell r="E110">
            <v>0</v>
          </cell>
          <cell r="F110">
            <v>3620.145792327924</v>
          </cell>
          <cell r="G110">
            <v>2253.9807058068891</v>
          </cell>
          <cell r="H110">
            <v>1366.1650865210347</v>
          </cell>
          <cell r="I110">
            <v>270979.0365984001</v>
          </cell>
        </row>
        <row r="111">
          <cell r="A111">
            <v>87</v>
          </cell>
          <cell r="B111">
            <v>42643</v>
          </cell>
          <cell r="C111">
            <v>270979.0365984001</v>
          </cell>
          <cell r="D111">
            <v>3620.145792327924</v>
          </cell>
          <cell r="E111">
            <v>0</v>
          </cell>
          <cell r="F111">
            <v>3620.145792327924</v>
          </cell>
          <cell r="G111">
            <v>2265.2506093359234</v>
          </cell>
          <cell r="H111">
            <v>1354.8951829920004</v>
          </cell>
          <cell r="I111">
            <v>268713.7859890642</v>
          </cell>
        </row>
        <row r="112">
          <cell r="A112">
            <v>88</v>
          </cell>
          <cell r="B112">
            <v>42673</v>
          </cell>
          <cell r="C112">
            <v>268713.7859890642</v>
          </cell>
          <cell r="D112">
            <v>3620.145792327924</v>
          </cell>
          <cell r="E112">
            <v>0</v>
          </cell>
          <cell r="F112">
            <v>3620.145792327924</v>
          </cell>
          <cell r="G112">
            <v>2276.5768623826034</v>
          </cell>
          <cell r="H112">
            <v>1343.5689299453209</v>
          </cell>
          <cell r="I112">
            <v>266437.20912668161</v>
          </cell>
        </row>
        <row r="113">
          <cell r="A113">
            <v>89</v>
          </cell>
          <cell r="B113">
            <v>42704</v>
          </cell>
          <cell r="C113">
            <v>266437.20912668161</v>
          </cell>
          <cell r="D113">
            <v>3620.145792327924</v>
          </cell>
          <cell r="E113">
            <v>0</v>
          </cell>
          <cell r="F113">
            <v>3620.145792327924</v>
          </cell>
          <cell r="G113">
            <v>2287.9597466945161</v>
          </cell>
          <cell r="H113">
            <v>1332.186045633408</v>
          </cell>
          <cell r="I113">
            <v>264149.24937998707</v>
          </cell>
        </row>
        <row r="114">
          <cell r="A114">
            <v>90</v>
          </cell>
          <cell r="B114">
            <v>42734</v>
          </cell>
          <cell r="C114">
            <v>264149.24937998707</v>
          </cell>
          <cell r="D114">
            <v>3620.145792327924</v>
          </cell>
          <cell r="E114">
            <v>0</v>
          </cell>
          <cell r="F114">
            <v>3620.145792327924</v>
          </cell>
          <cell r="G114">
            <v>2299.3995454279884</v>
          </cell>
          <cell r="H114">
            <v>1320.7462468999354</v>
          </cell>
          <cell r="I114">
            <v>261849.84983455908</v>
          </cell>
        </row>
        <row r="115">
          <cell r="G115">
            <v>26850.149948360318</v>
          </cell>
          <cell r="H115">
            <v>16591.599559574774</v>
          </cell>
        </row>
        <row r="116">
          <cell r="A116">
            <v>91</v>
          </cell>
          <cell r="B116">
            <v>42765</v>
          </cell>
          <cell r="C116">
            <v>261849.84983455908</v>
          </cell>
          <cell r="D116">
            <v>3620.145792327924</v>
          </cell>
          <cell r="E116">
            <v>0</v>
          </cell>
          <cell r="F116">
            <v>3620.145792327924</v>
          </cell>
          <cell r="G116">
            <v>2310.8965431551287</v>
          </cell>
          <cell r="H116">
            <v>1309.2492491727953</v>
          </cell>
          <cell r="I116">
            <v>259538.95329140394</v>
          </cell>
        </row>
        <row r="117">
          <cell r="A117">
            <v>92</v>
          </cell>
          <cell r="B117">
            <v>42796</v>
          </cell>
          <cell r="C117">
            <v>259538.95329140394</v>
          </cell>
          <cell r="D117">
            <v>3620.145792327924</v>
          </cell>
          <cell r="E117">
            <v>0</v>
          </cell>
          <cell r="F117">
            <v>3620.145792327924</v>
          </cell>
          <cell r="G117">
            <v>2322.4510258709042</v>
          </cell>
          <cell r="H117">
            <v>1297.6947664570196</v>
          </cell>
          <cell r="I117">
            <v>257216.50226553305</v>
          </cell>
        </row>
        <row r="118">
          <cell r="A118">
            <v>93</v>
          </cell>
          <cell r="B118">
            <v>42824</v>
          </cell>
          <cell r="C118">
            <v>257216.50226553305</v>
          </cell>
          <cell r="D118">
            <v>3620.145792327924</v>
          </cell>
          <cell r="E118">
            <v>0</v>
          </cell>
          <cell r="F118">
            <v>3620.145792327924</v>
          </cell>
          <cell r="G118">
            <v>2334.0632810002589</v>
          </cell>
          <cell r="H118">
            <v>1286.0825113276653</v>
          </cell>
          <cell r="I118">
            <v>254882.43898453278</v>
          </cell>
        </row>
        <row r="119">
          <cell r="A119">
            <v>94</v>
          </cell>
          <cell r="B119">
            <v>42855</v>
          </cell>
          <cell r="C119">
            <v>254882.43898453278</v>
          </cell>
          <cell r="D119">
            <v>3620.145792327924</v>
          </cell>
          <cell r="E119">
            <v>0</v>
          </cell>
          <cell r="F119">
            <v>3620.145792327924</v>
          </cell>
          <cell r="G119">
            <v>2345.7335974052603</v>
          </cell>
          <cell r="H119">
            <v>1274.412194922664</v>
          </cell>
          <cell r="I119">
            <v>252536.70538712753</v>
          </cell>
        </row>
        <row r="120">
          <cell r="A120">
            <v>95</v>
          </cell>
          <cell r="B120">
            <v>42885</v>
          </cell>
          <cell r="C120">
            <v>252536.70538712753</v>
          </cell>
          <cell r="D120">
            <v>3620.145792327924</v>
          </cell>
          <cell r="E120">
            <v>0</v>
          </cell>
          <cell r="F120">
            <v>3620.145792327924</v>
          </cell>
          <cell r="G120">
            <v>2357.4622653922861</v>
          </cell>
          <cell r="H120">
            <v>1262.6835269356377</v>
          </cell>
          <cell r="I120">
            <v>250179.24312173523</v>
          </cell>
        </row>
        <row r="121">
          <cell r="A121">
            <v>96</v>
          </cell>
          <cell r="B121">
            <v>42916</v>
          </cell>
          <cell r="C121">
            <v>250179.24312173523</v>
          </cell>
          <cell r="D121">
            <v>3620.145792327924</v>
          </cell>
          <cell r="E121">
            <v>0</v>
          </cell>
          <cell r="F121">
            <v>3620.145792327924</v>
          </cell>
          <cell r="G121">
            <v>2369.2495767192477</v>
          </cell>
          <cell r="H121">
            <v>1250.8962156086761</v>
          </cell>
          <cell r="I121">
            <v>247809.99354501598</v>
          </cell>
        </row>
        <row r="122">
          <cell r="A122">
            <v>97</v>
          </cell>
          <cell r="B122">
            <v>42946</v>
          </cell>
          <cell r="C122">
            <v>247809.99354501598</v>
          </cell>
          <cell r="D122">
            <v>3620.145792327924</v>
          </cell>
          <cell r="E122">
            <v>0</v>
          </cell>
          <cell r="F122">
            <v>3620.145792327924</v>
          </cell>
          <cell r="G122">
            <v>2381.095824602844</v>
          </cell>
          <cell r="H122">
            <v>1239.0499677250798</v>
          </cell>
          <cell r="I122">
            <v>245428.89772041314</v>
          </cell>
        </row>
        <row r="123">
          <cell r="A123">
            <v>98</v>
          </cell>
          <cell r="B123">
            <v>42977</v>
          </cell>
          <cell r="C123">
            <v>245428.89772041314</v>
          </cell>
          <cell r="D123">
            <v>3620.145792327924</v>
          </cell>
          <cell r="E123">
            <v>0</v>
          </cell>
          <cell r="F123">
            <v>3620.145792327924</v>
          </cell>
          <cell r="G123">
            <v>2393.0013037258586</v>
          </cell>
          <cell r="H123">
            <v>1227.1444886020656</v>
          </cell>
          <cell r="I123">
            <v>243035.89641668729</v>
          </cell>
        </row>
        <row r="124">
          <cell r="A124">
            <v>99</v>
          </cell>
          <cell r="B124">
            <v>43008</v>
          </cell>
          <cell r="C124">
            <v>243035.89641668729</v>
          </cell>
          <cell r="D124">
            <v>3620.145792327924</v>
          </cell>
          <cell r="E124">
            <v>0</v>
          </cell>
          <cell r="F124">
            <v>3620.145792327924</v>
          </cell>
          <cell r="G124">
            <v>2404.9663102444874</v>
          </cell>
          <cell r="H124">
            <v>1215.1794820834364</v>
          </cell>
          <cell r="I124">
            <v>240630.9301064428</v>
          </cell>
        </row>
        <row r="125">
          <cell r="A125">
            <v>100</v>
          </cell>
          <cell r="B125">
            <v>43038</v>
          </cell>
          <cell r="C125">
            <v>240630.9301064428</v>
          </cell>
          <cell r="D125">
            <v>3620.145792327924</v>
          </cell>
          <cell r="E125">
            <v>0</v>
          </cell>
          <cell r="F125">
            <v>3620.145792327924</v>
          </cell>
          <cell r="G125">
            <v>2416.9911417957101</v>
          </cell>
          <cell r="H125">
            <v>1203.154650532214</v>
          </cell>
          <cell r="I125">
            <v>238213.9389646471</v>
          </cell>
        </row>
        <row r="126">
          <cell r="A126">
            <v>101</v>
          </cell>
          <cell r="B126">
            <v>43069</v>
          </cell>
          <cell r="C126">
            <v>238213.9389646471</v>
          </cell>
          <cell r="D126">
            <v>3620.145792327924</v>
          </cell>
          <cell r="E126">
            <v>0</v>
          </cell>
          <cell r="F126">
            <v>3620.145792327924</v>
          </cell>
          <cell r="G126">
            <v>2429.0760975046887</v>
          </cell>
          <cell r="H126">
            <v>1191.0696948232355</v>
          </cell>
          <cell r="I126">
            <v>235784.86286714239</v>
          </cell>
        </row>
        <row r="127">
          <cell r="A127">
            <v>102</v>
          </cell>
          <cell r="B127">
            <v>43099</v>
          </cell>
          <cell r="C127">
            <v>235784.86286714239</v>
          </cell>
          <cell r="D127">
            <v>3620.145792327924</v>
          </cell>
          <cell r="E127">
            <v>0</v>
          </cell>
          <cell r="F127">
            <v>3620.145792327924</v>
          </cell>
          <cell r="G127">
            <v>2441.2214779922124</v>
          </cell>
          <cell r="H127">
            <v>1178.9243143357119</v>
          </cell>
          <cell r="I127">
            <v>233343.64138915017</v>
          </cell>
        </row>
        <row r="128">
          <cell r="G128">
            <v>28506.208445408891</v>
          </cell>
          <cell r="H128">
            <v>14935.541062526201</v>
          </cell>
        </row>
        <row r="129">
          <cell r="A129">
            <v>103</v>
          </cell>
          <cell r="B129">
            <v>43130</v>
          </cell>
          <cell r="C129">
            <v>233343.64138915017</v>
          </cell>
          <cell r="D129">
            <v>3620.145792327924</v>
          </cell>
          <cell r="E129">
            <v>0</v>
          </cell>
          <cell r="F129">
            <v>3620.145792327924</v>
          </cell>
          <cell r="G129">
            <v>2453.4275853821732</v>
          </cell>
          <cell r="H129">
            <v>1166.7182069457508</v>
          </cell>
          <cell r="I129">
            <v>230890.21380376801</v>
          </cell>
        </row>
        <row r="130">
          <cell r="A130">
            <v>104</v>
          </cell>
          <cell r="B130">
            <v>43161</v>
          </cell>
          <cell r="C130">
            <v>230890.21380376801</v>
          </cell>
          <cell r="D130">
            <v>3620.145792327924</v>
          </cell>
          <cell r="E130">
            <v>0</v>
          </cell>
          <cell r="F130">
            <v>3620.145792327924</v>
          </cell>
          <cell r="G130">
            <v>2465.6947233090841</v>
          </cell>
          <cell r="H130">
            <v>1154.4510690188401</v>
          </cell>
          <cell r="I130">
            <v>228424.51908045894</v>
          </cell>
        </row>
        <row r="131">
          <cell r="A131">
            <v>105</v>
          </cell>
          <cell r="B131">
            <v>43189</v>
          </cell>
          <cell r="C131">
            <v>228424.51908045894</v>
          </cell>
          <cell r="D131">
            <v>3620.145792327924</v>
          </cell>
          <cell r="E131">
            <v>0</v>
          </cell>
          <cell r="F131">
            <v>3620.145792327924</v>
          </cell>
          <cell r="G131">
            <v>2478.0231969256292</v>
          </cell>
          <cell r="H131">
            <v>1142.1225954022946</v>
          </cell>
          <cell r="I131">
            <v>225946.49588353329</v>
          </cell>
        </row>
        <row r="132">
          <cell r="A132">
            <v>106</v>
          </cell>
          <cell r="B132">
            <v>43220</v>
          </cell>
          <cell r="C132">
            <v>225946.49588353329</v>
          </cell>
          <cell r="D132">
            <v>3620.145792327924</v>
          </cell>
          <cell r="E132">
            <v>0</v>
          </cell>
          <cell r="F132">
            <v>3620.145792327924</v>
          </cell>
          <cell r="G132">
            <v>2490.4133129102574</v>
          </cell>
          <cell r="H132">
            <v>1129.7324794176664</v>
          </cell>
          <cell r="I132">
            <v>223456.08257062302</v>
          </cell>
        </row>
        <row r="133">
          <cell r="A133">
            <v>107</v>
          </cell>
          <cell r="B133">
            <v>43250</v>
          </cell>
          <cell r="C133">
            <v>223456.08257062302</v>
          </cell>
          <cell r="D133">
            <v>3620.145792327924</v>
          </cell>
          <cell r="E133">
            <v>0</v>
          </cell>
          <cell r="F133">
            <v>3620.145792327924</v>
          </cell>
          <cell r="G133">
            <v>2502.8653794748088</v>
          </cell>
          <cell r="H133">
            <v>1117.280412853115</v>
          </cell>
          <cell r="I133">
            <v>220953.21719114823</v>
          </cell>
        </row>
        <row r="134">
          <cell r="A134">
            <v>108</v>
          </cell>
          <cell r="B134">
            <v>43281</v>
          </cell>
          <cell r="C134">
            <v>220953.21719114823</v>
          </cell>
          <cell r="D134">
            <v>3620.145792327924</v>
          </cell>
          <cell r="E134">
            <v>0</v>
          </cell>
          <cell r="F134">
            <v>3620.145792327924</v>
          </cell>
          <cell r="G134">
            <v>2515.3797063721831</v>
          </cell>
          <cell r="H134">
            <v>1104.7660859557411</v>
          </cell>
          <cell r="I134">
            <v>218437.83748477604</v>
          </cell>
        </row>
        <row r="135">
          <cell r="A135">
            <v>109</v>
          </cell>
          <cell r="B135">
            <v>43311</v>
          </cell>
          <cell r="C135">
            <v>218437.83748477604</v>
          </cell>
          <cell r="D135">
            <v>3620.145792327924</v>
          </cell>
          <cell r="E135">
            <v>0</v>
          </cell>
          <cell r="F135">
            <v>3620.145792327924</v>
          </cell>
          <cell r="G135">
            <v>2527.9566049040441</v>
          </cell>
          <cell r="H135">
            <v>1092.1891874238802</v>
          </cell>
          <cell r="I135">
            <v>215909.88087987201</v>
          </cell>
        </row>
        <row r="136">
          <cell r="A136">
            <v>110</v>
          </cell>
          <cell r="B136">
            <v>43342</v>
          </cell>
          <cell r="C136">
            <v>215909.88087987201</v>
          </cell>
          <cell r="D136">
            <v>3620.145792327924</v>
          </cell>
          <cell r="E136">
            <v>0</v>
          </cell>
          <cell r="F136">
            <v>3620.145792327924</v>
          </cell>
          <cell r="G136">
            <v>2540.5963879285637</v>
          </cell>
          <cell r="H136">
            <v>1079.5494043993601</v>
          </cell>
          <cell r="I136">
            <v>213369.28449194346</v>
          </cell>
        </row>
        <row r="137">
          <cell r="A137">
            <v>111</v>
          </cell>
          <cell r="B137">
            <v>43373</v>
          </cell>
          <cell r="C137">
            <v>213369.28449194346</v>
          </cell>
          <cell r="D137">
            <v>3620.145792327924</v>
          </cell>
          <cell r="E137">
            <v>0</v>
          </cell>
          <cell r="F137">
            <v>3620.145792327924</v>
          </cell>
          <cell r="G137">
            <v>2553.2993698682067</v>
          </cell>
          <cell r="H137">
            <v>1066.8464224597171</v>
          </cell>
          <cell r="I137">
            <v>210815.98512207525</v>
          </cell>
        </row>
        <row r="138">
          <cell r="A138">
            <v>112</v>
          </cell>
          <cell r="B138">
            <v>43403</v>
          </cell>
          <cell r="C138">
            <v>210815.98512207525</v>
          </cell>
          <cell r="D138">
            <v>3620.145792327924</v>
          </cell>
          <cell r="E138">
            <v>0</v>
          </cell>
          <cell r="F138">
            <v>3620.145792327924</v>
          </cell>
          <cell r="G138">
            <v>2566.0658667175476</v>
          </cell>
          <cell r="H138">
            <v>1054.0799256103762</v>
          </cell>
          <cell r="I138">
            <v>208249.9192553577</v>
          </cell>
        </row>
        <row r="139">
          <cell r="A139">
            <v>113</v>
          </cell>
          <cell r="B139">
            <v>43434</v>
          </cell>
          <cell r="C139">
            <v>208249.9192553577</v>
          </cell>
          <cell r="D139">
            <v>3620.145792327924</v>
          </cell>
          <cell r="E139">
            <v>0</v>
          </cell>
          <cell r="F139">
            <v>3620.145792327924</v>
          </cell>
          <cell r="G139">
            <v>2578.8961960511356</v>
          </cell>
          <cell r="H139">
            <v>1041.2495962767885</v>
          </cell>
          <cell r="I139">
            <v>205671.02305930658</v>
          </cell>
        </row>
        <row r="140">
          <cell r="A140">
            <v>114</v>
          </cell>
          <cell r="B140">
            <v>43464</v>
          </cell>
          <cell r="C140">
            <v>205671.02305930658</v>
          </cell>
          <cell r="D140">
            <v>3620.145792327924</v>
          </cell>
          <cell r="E140">
            <v>0</v>
          </cell>
          <cell r="F140">
            <v>3620.145792327924</v>
          </cell>
          <cell r="G140">
            <v>2591.7906770313912</v>
          </cell>
          <cell r="H140">
            <v>1028.3551152965329</v>
          </cell>
          <cell r="I140">
            <v>203079.23238227519</v>
          </cell>
        </row>
        <row r="141">
          <cell r="G141">
            <v>30264.40900687503</v>
          </cell>
          <cell r="H141">
            <v>13177.340501060062</v>
          </cell>
        </row>
        <row r="142">
          <cell r="A142">
            <v>115</v>
          </cell>
          <cell r="B142">
            <v>43495</v>
          </cell>
          <cell r="C142">
            <v>203079.23238227519</v>
          </cell>
          <cell r="D142">
            <v>3620.145792327924</v>
          </cell>
          <cell r="E142">
            <v>0</v>
          </cell>
          <cell r="F142">
            <v>3620.145792327924</v>
          </cell>
          <cell r="G142">
            <v>2604.7496304165479</v>
          </cell>
          <cell r="H142">
            <v>1015.396161911376</v>
          </cell>
          <cell r="I142">
            <v>200474.48275185865</v>
          </cell>
        </row>
        <row r="143">
          <cell r="A143">
            <v>116</v>
          </cell>
          <cell r="B143">
            <v>43526</v>
          </cell>
          <cell r="C143">
            <v>200474.48275185865</v>
          </cell>
          <cell r="D143">
            <v>3620.145792327924</v>
          </cell>
          <cell r="E143">
            <v>0</v>
          </cell>
          <cell r="F143">
            <v>3620.145792327924</v>
          </cell>
          <cell r="G143">
            <v>2617.773378568631</v>
          </cell>
          <cell r="H143">
            <v>1002.3724137592932</v>
          </cell>
          <cell r="I143">
            <v>197856.70937329001</v>
          </cell>
        </row>
        <row r="144">
          <cell r="A144">
            <v>117</v>
          </cell>
          <cell r="B144">
            <v>43554</v>
          </cell>
          <cell r="C144">
            <v>197856.70937329001</v>
          </cell>
          <cell r="D144">
            <v>3620.145792327924</v>
          </cell>
          <cell r="E144">
            <v>0</v>
          </cell>
          <cell r="F144">
            <v>3620.145792327924</v>
          </cell>
          <cell r="G144">
            <v>2630.8622454614742</v>
          </cell>
          <cell r="H144">
            <v>989.28354686644991</v>
          </cell>
          <cell r="I144">
            <v>195225.84712782854</v>
          </cell>
        </row>
        <row r="145">
          <cell r="A145">
            <v>118</v>
          </cell>
          <cell r="B145">
            <v>43585</v>
          </cell>
          <cell r="C145">
            <v>195225.84712782854</v>
          </cell>
          <cell r="D145">
            <v>3620.145792327924</v>
          </cell>
          <cell r="E145">
            <v>0</v>
          </cell>
          <cell r="F145">
            <v>3620.145792327924</v>
          </cell>
          <cell r="G145">
            <v>2644.0165566887813</v>
          </cell>
          <cell r="H145">
            <v>976.12923563914273</v>
          </cell>
          <cell r="I145">
            <v>192581.83057113976</v>
          </cell>
        </row>
        <row r="146">
          <cell r="A146">
            <v>119</v>
          </cell>
          <cell r="B146">
            <v>43615</v>
          </cell>
          <cell r="C146">
            <v>192581.83057113976</v>
          </cell>
          <cell r="D146">
            <v>3620.145792327924</v>
          </cell>
          <cell r="E146">
            <v>0</v>
          </cell>
          <cell r="F146">
            <v>3620.145792327924</v>
          </cell>
          <cell r="G146">
            <v>2657.2366394722253</v>
          </cell>
          <cell r="H146">
            <v>962.90915285569872</v>
          </cell>
          <cell r="I146">
            <v>189924.59393166754</v>
          </cell>
        </row>
        <row r="147">
          <cell r="A147">
            <v>120</v>
          </cell>
          <cell r="B147">
            <v>43646</v>
          </cell>
          <cell r="C147">
            <v>189924.59393166754</v>
          </cell>
          <cell r="D147">
            <v>3620.145792327924</v>
          </cell>
          <cell r="E147">
            <v>0</v>
          </cell>
          <cell r="F147">
            <v>3620.145792327924</v>
          </cell>
          <cell r="G147">
            <v>2670.5228226695863</v>
          </cell>
          <cell r="H147">
            <v>949.62296965833764</v>
          </cell>
          <cell r="I147">
            <v>187254.07110899794</v>
          </cell>
        </row>
        <row r="148">
          <cell r="A148">
            <v>121</v>
          </cell>
          <cell r="B148">
            <v>43676</v>
          </cell>
          <cell r="C148">
            <v>187254.07110899794</v>
          </cell>
          <cell r="D148">
            <v>3620.145792327924</v>
          </cell>
          <cell r="E148">
            <v>0</v>
          </cell>
          <cell r="F148">
            <v>3620.145792327924</v>
          </cell>
          <cell r="G148">
            <v>2683.8754367829342</v>
          </cell>
          <cell r="H148">
            <v>936.27035554498968</v>
          </cell>
          <cell r="I148">
            <v>184570.19567221502</v>
          </cell>
        </row>
        <row r="149">
          <cell r="A149">
            <v>122</v>
          </cell>
          <cell r="B149">
            <v>43707</v>
          </cell>
          <cell r="C149">
            <v>184570.19567221502</v>
          </cell>
          <cell r="D149">
            <v>3620.145792327924</v>
          </cell>
          <cell r="E149">
            <v>0</v>
          </cell>
          <cell r="F149">
            <v>3620.145792327924</v>
          </cell>
          <cell r="G149">
            <v>2697.2948139668488</v>
          </cell>
          <cell r="H149">
            <v>922.85097836107514</v>
          </cell>
          <cell r="I149">
            <v>181872.90085824818</v>
          </cell>
        </row>
        <row r="150">
          <cell r="A150">
            <v>123</v>
          </cell>
          <cell r="B150">
            <v>43738</v>
          </cell>
          <cell r="C150">
            <v>181872.90085824818</v>
          </cell>
          <cell r="D150">
            <v>3620.145792327924</v>
          </cell>
          <cell r="E150">
            <v>0</v>
          </cell>
          <cell r="F150">
            <v>3620.145792327924</v>
          </cell>
          <cell r="G150">
            <v>2710.7812880366832</v>
          </cell>
          <cell r="H150">
            <v>909.36450429124079</v>
          </cell>
          <cell r="I150">
            <v>179162.11957021151</v>
          </cell>
        </row>
        <row r="151">
          <cell r="A151">
            <v>124</v>
          </cell>
          <cell r="B151">
            <v>43768</v>
          </cell>
          <cell r="C151">
            <v>179162.11957021151</v>
          </cell>
          <cell r="D151">
            <v>3620.145792327924</v>
          </cell>
          <cell r="E151">
            <v>0</v>
          </cell>
          <cell r="F151">
            <v>3620.145792327924</v>
          </cell>
          <cell r="G151">
            <v>2724.3351944768665</v>
          </cell>
          <cell r="H151">
            <v>895.81059785105754</v>
          </cell>
          <cell r="I151">
            <v>176437.78437573463</v>
          </cell>
        </row>
        <row r="152">
          <cell r="A152">
            <v>125</v>
          </cell>
          <cell r="B152">
            <v>43799</v>
          </cell>
          <cell r="C152">
            <v>176437.78437573463</v>
          </cell>
          <cell r="D152">
            <v>3620.145792327924</v>
          </cell>
          <cell r="E152">
            <v>0</v>
          </cell>
          <cell r="F152">
            <v>3620.145792327924</v>
          </cell>
          <cell r="G152">
            <v>2737.9568704492508</v>
          </cell>
          <cell r="H152">
            <v>882.18892187867311</v>
          </cell>
          <cell r="I152">
            <v>173699.82750528539</v>
          </cell>
        </row>
        <row r="153">
          <cell r="A153">
            <v>126</v>
          </cell>
          <cell r="B153">
            <v>43829</v>
          </cell>
          <cell r="C153">
            <v>173699.82750528539</v>
          </cell>
          <cell r="D153">
            <v>3620.145792327924</v>
          </cell>
          <cell r="E153">
            <v>0</v>
          </cell>
          <cell r="F153">
            <v>3620.145792327924</v>
          </cell>
          <cell r="G153">
            <v>2751.6466548014973</v>
          </cell>
          <cell r="H153">
            <v>868.49913752642681</v>
          </cell>
          <cell r="I153">
            <v>170948.18085048388</v>
          </cell>
        </row>
        <row r="154">
          <cell r="G154">
            <v>32131.051531791327</v>
          </cell>
          <cell r="H154">
            <v>11310.697976143761</v>
          </cell>
        </row>
        <row r="155">
          <cell r="A155">
            <v>127</v>
          </cell>
          <cell r="B155">
            <v>43860</v>
          </cell>
          <cell r="C155">
            <v>170948.18085048388</v>
          </cell>
          <cell r="D155">
            <v>3620.145792327924</v>
          </cell>
          <cell r="E155">
            <v>0</v>
          </cell>
          <cell r="F155">
            <v>3620.145792327924</v>
          </cell>
          <cell r="G155">
            <v>2765.4048880755045</v>
          </cell>
          <cell r="H155">
            <v>854.74090425241945</v>
          </cell>
          <cell r="I155">
            <v>168182.77596240837</v>
          </cell>
        </row>
        <row r="156">
          <cell r="A156">
            <v>128</v>
          </cell>
          <cell r="B156">
            <v>43891</v>
          </cell>
          <cell r="C156">
            <v>168182.77596240837</v>
          </cell>
          <cell r="D156">
            <v>3620.145792327924</v>
          </cell>
          <cell r="E156">
            <v>0</v>
          </cell>
          <cell r="F156">
            <v>3620.145792327924</v>
          </cell>
          <cell r="G156">
            <v>2779.2319125158824</v>
          </cell>
          <cell r="H156">
            <v>840.91387981204173</v>
          </cell>
          <cell r="I156">
            <v>165403.54404989249</v>
          </cell>
        </row>
        <row r="157">
          <cell r="A157">
            <v>129</v>
          </cell>
          <cell r="B157">
            <v>43920</v>
          </cell>
          <cell r="C157">
            <v>165403.54404989249</v>
          </cell>
          <cell r="D157">
            <v>3620.145792327924</v>
          </cell>
          <cell r="E157">
            <v>0</v>
          </cell>
          <cell r="F157">
            <v>3620.145792327924</v>
          </cell>
          <cell r="G157">
            <v>2793.1280720784616</v>
          </cell>
          <cell r="H157">
            <v>827.0177202494624</v>
          </cell>
          <cell r="I157">
            <v>162610.41597781403</v>
          </cell>
        </row>
        <row r="158">
          <cell r="A158">
            <v>130</v>
          </cell>
          <cell r="B158">
            <v>43951</v>
          </cell>
          <cell r="C158">
            <v>162610.41597781403</v>
          </cell>
          <cell r="D158">
            <v>3620.145792327924</v>
          </cell>
          <cell r="E158">
            <v>0</v>
          </cell>
          <cell r="F158">
            <v>3620.145792327924</v>
          </cell>
          <cell r="G158">
            <v>2807.0937124388538</v>
          </cell>
          <cell r="H158">
            <v>813.05207988907011</v>
          </cell>
          <cell r="I158">
            <v>159803.32226537517</v>
          </cell>
        </row>
        <row r="159">
          <cell r="A159">
            <v>131</v>
          </cell>
          <cell r="B159">
            <v>43981</v>
          </cell>
          <cell r="C159">
            <v>159803.32226537517</v>
          </cell>
          <cell r="D159">
            <v>3620.145792327924</v>
          </cell>
          <cell r="E159">
            <v>0</v>
          </cell>
          <cell r="F159">
            <v>3620.145792327924</v>
          </cell>
          <cell r="G159">
            <v>2821.129181001048</v>
          </cell>
          <cell r="H159">
            <v>799.01661132687593</v>
          </cell>
          <cell r="I159">
            <v>156982.19308437413</v>
          </cell>
        </row>
        <row r="160">
          <cell r="A160">
            <v>132</v>
          </cell>
          <cell r="B160">
            <v>44012</v>
          </cell>
          <cell r="C160">
            <v>156982.19308437413</v>
          </cell>
          <cell r="D160">
            <v>3620.145792327924</v>
          </cell>
          <cell r="E160">
            <v>0</v>
          </cell>
          <cell r="F160">
            <v>3620.145792327924</v>
          </cell>
          <cell r="G160">
            <v>2835.2348269060535</v>
          </cell>
          <cell r="H160">
            <v>784.91096542187063</v>
          </cell>
          <cell r="I160">
            <v>154146.95825746807</v>
          </cell>
        </row>
        <row r="161">
          <cell r="A161">
            <v>133</v>
          </cell>
          <cell r="B161">
            <v>44042</v>
          </cell>
          <cell r="C161">
            <v>154146.95825746807</v>
          </cell>
          <cell r="D161">
            <v>3620.145792327924</v>
          </cell>
          <cell r="E161">
            <v>0</v>
          </cell>
          <cell r="F161">
            <v>3620.145792327924</v>
          </cell>
          <cell r="G161">
            <v>2849.4110010405839</v>
          </cell>
          <cell r="H161">
            <v>770.73479128734027</v>
          </cell>
          <cell r="I161">
            <v>151297.5472564275</v>
          </cell>
        </row>
        <row r="162">
          <cell r="A162">
            <v>134</v>
          </cell>
          <cell r="B162">
            <v>44073</v>
          </cell>
          <cell r="C162">
            <v>151297.5472564275</v>
          </cell>
          <cell r="D162">
            <v>3620.145792327924</v>
          </cell>
          <cell r="E162">
            <v>0</v>
          </cell>
          <cell r="F162">
            <v>3620.145792327924</v>
          </cell>
          <cell r="G162">
            <v>2863.6580560457865</v>
          </cell>
          <cell r="H162">
            <v>756.48773628213746</v>
          </cell>
          <cell r="I162">
            <v>148433.8892003817</v>
          </cell>
        </row>
        <row r="163">
          <cell r="A163">
            <v>135</v>
          </cell>
          <cell r="B163">
            <v>44104</v>
          </cell>
          <cell r="C163">
            <v>148433.8892003817</v>
          </cell>
          <cell r="D163">
            <v>3620.145792327924</v>
          </cell>
          <cell r="E163">
            <v>0</v>
          </cell>
          <cell r="F163">
            <v>3620.145792327924</v>
          </cell>
          <cell r="G163">
            <v>2877.9763463260156</v>
          </cell>
          <cell r="H163">
            <v>742.16944600190845</v>
          </cell>
          <cell r="I163">
            <v>145555.9128540557</v>
          </cell>
        </row>
        <row r="164">
          <cell r="A164">
            <v>136</v>
          </cell>
          <cell r="B164">
            <v>44134</v>
          </cell>
          <cell r="C164">
            <v>145555.9128540557</v>
          </cell>
          <cell r="D164">
            <v>3620.145792327924</v>
          </cell>
          <cell r="E164">
            <v>0</v>
          </cell>
          <cell r="F164">
            <v>3620.145792327924</v>
          </cell>
          <cell r="G164">
            <v>2892.3662280576455</v>
          </cell>
          <cell r="H164">
            <v>727.77956427027846</v>
          </cell>
          <cell r="I164">
            <v>142663.54662599805</v>
          </cell>
        </row>
        <row r="165">
          <cell r="A165">
            <v>137</v>
          </cell>
          <cell r="B165">
            <v>44165</v>
          </cell>
          <cell r="C165">
            <v>142663.54662599805</v>
          </cell>
          <cell r="D165">
            <v>3620.145792327924</v>
          </cell>
          <cell r="E165">
            <v>0</v>
          </cell>
          <cell r="F165">
            <v>3620.145792327924</v>
          </cell>
          <cell r="G165">
            <v>2906.8280591979337</v>
          </cell>
          <cell r="H165">
            <v>713.31773312999019</v>
          </cell>
          <cell r="I165">
            <v>139756.71856680012</v>
          </cell>
        </row>
        <row r="166">
          <cell r="A166">
            <v>138</v>
          </cell>
          <cell r="B166">
            <v>44195</v>
          </cell>
          <cell r="C166">
            <v>139756.71856680012</v>
          </cell>
          <cell r="D166">
            <v>3620.145792327924</v>
          </cell>
          <cell r="E166">
            <v>0</v>
          </cell>
          <cell r="F166">
            <v>3620.145792327924</v>
          </cell>
          <cell r="G166">
            <v>2921.3621994939235</v>
          </cell>
          <cell r="H166">
            <v>698.7835928340005</v>
          </cell>
          <cell r="I166">
            <v>136835.3563673062</v>
          </cell>
        </row>
        <row r="167">
          <cell r="G167">
            <v>34112.824483177697</v>
          </cell>
          <cell r="H167">
            <v>9328.9250247573964</v>
          </cell>
        </row>
        <row r="168">
          <cell r="A168">
            <v>139</v>
          </cell>
          <cell r="B168">
            <v>44226</v>
          </cell>
          <cell r="C168">
            <v>136835.3563673062</v>
          </cell>
          <cell r="D168">
            <v>3620.145792327924</v>
          </cell>
          <cell r="E168">
            <v>0</v>
          </cell>
          <cell r="F168">
            <v>3620.145792327924</v>
          </cell>
          <cell r="G168">
            <v>2935.969010491393</v>
          </cell>
          <cell r="H168">
            <v>684.17678183653095</v>
          </cell>
          <cell r="I168">
            <v>133899.38735681481</v>
          </cell>
        </row>
        <row r="169">
          <cell r="A169">
            <v>140</v>
          </cell>
          <cell r="B169">
            <v>44257</v>
          </cell>
          <cell r="C169">
            <v>133899.38735681481</v>
          </cell>
          <cell r="D169">
            <v>3620.145792327924</v>
          </cell>
          <cell r="E169">
            <v>0</v>
          </cell>
          <cell r="F169">
            <v>3620.145792327924</v>
          </cell>
          <cell r="G169">
            <v>2950.64885554385</v>
          </cell>
          <cell r="H169">
            <v>669.49693678407402</v>
          </cell>
          <cell r="I169">
            <v>130948.73850127096</v>
          </cell>
        </row>
        <row r="170">
          <cell r="A170">
            <v>141</v>
          </cell>
          <cell r="B170">
            <v>44285</v>
          </cell>
          <cell r="C170">
            <v>130948.73850127096</v>
          </cell>
          <cell r="D170">
            <v>3620.145792327924</v>
          </cell>
          <cell r="E170">
            <v>0</v>
          </cell>
          <cell r="F170">
            <v>3620.145792327924</v>
          </cell>
          <cell r="G170">
            <v>2965.4020998215692</v>
          </cell>
          <cell r="H170">
            <v>654.74369250635471</v>
          </cell>
          <cell r="I170">
            <v>127983.33640144939</v>
          </cell>
        </row>
        <row r="171">
          <cell r="A171">
            <v>142</v>
          </cell>
          <cell r="B171">
            <v>44316</v>
          </cell>
          <cell r="C171">
            <v>127983.33640144939</v>
          </cell>
          <cell r="D171">
            <v>3620.145792327924</v>
          </cell>
          <cell r="E171">
            <v>0</v>
          </cell>
          <cell r="F171">
            <v>3620.145792327924</v>
          </cell>
          <cell r="G171">
            <v>2980.2291103206771</v>
          </cell>
          <cell r="H171">
            <v>639.91668200724689</v>
          </cell>
          <cell r="I171">
            <v>125003.1072911287</v>
          </cell>
        </row>
        <row r="172">
          <cell r="A172">
            <v>143</v>
          </cell>
          <cell r="B172">
            <v>44346</v>
          </cell>
          <cell r="C172">
            <v>125003.1072911287</v>
          </cell>
          <cell r="D172">
            <v>3620.145792327924</v>
          </cell>
          <cell r="E172">
            <v>0</v>
          </cell>
          <cell r="F172">
            <v>3620.145792327924</v>
          </cell>
          <cell r="G172">
            <v>2995.1302558722805</v>
          </cell>
          <cell r="H172">
            <v>625.01553645564343</v>
          </cell>
          <cell r="I172">
            <v>122007.97703525642</v>
          </cell>
        </row>
        <row r="173">
          <cell r="A173">
            <v>144</v>
          </cell>
          <cell r="B173">
            <v>44377</v>
          </cell>
          <cell r="C173">
            <v>122007.97703525642</v>
          </cell>
          <cell r="D173">
            <v>3620.145792327924</v>
          </cell>
          <cell r="E173">
            <v>0</v>
          </cell>
          <cell r="F173">
            <v>3620.145792327924</v>
          </cell>
          <cell r="G173">
            <v>3010.105907151642</v>
          </cell>
          <cell r="H173">
            <v>610.03988517628216</v>
          </cell>
          <cell r="I173">
            <v>118997.87112810479</v>
          </cell>
        </row>
        <row r="174">
          <cell r="A174">
            <v>145</v>
          </cell>
          <cell r="B174">
            <v>44407</v>
          </cell>
          <cell r="C174">
            <v>118997.87112810479</v>
          </cell>
          <cell r="D174">
            <v>3620.145792327924</v>
          </cell>
          <cell r="E174">
            <v>0</v>
          </cell>
          <cell r="F174">
            <v>3620.145792327924</v>
          </cell>
          <cell r="G174">
            <v>3025.1564366873999</v>
          </cell>
          <cell r="H174">
            <v>594.98935564052397</v>
          </cell>
          <cell r="I174">
            <v>115972.71469141739</v>
          </cell>
        </row>
        <row r="175">
          <cell r="A175">
            <v>146</v>
          </cell>
          <cell r="B175">
            <v>44438</v>
          </cell>
          <cell r="C175">
            <v>115972.71469141739</v>
          </cell>
          <cell r="D175">
            <v>3620.145792327924</v>
          </cell>
          <cell r="E175">
            <v>0</v>
          </cell>
          <cell r="F175">
            <v>3620.145792327924</v>
          </cell>
          <cell r="G175">
            <v>3040.2822188708369</v>
          </cell>
          <cell r="H175">
            <v>579.863573457087</v>
          </cell>
          <cell r="I175">
            <v>112932.43247254656</v>
          </cell>
        </row>
        <row r="176">
          <cell r="A176">
            <v>147</v>
          </cell>
          <cell r="B176">
            <v>44469</v>
          </cell>
          <cell r="C176">
            <v>112932.43247254656</v>
          </cell>
          <cell r="D176">
            <v>3620.145792327924</v>
          </cell>
          <cell r="E176">
            <v>0</v>
          </cell>
          <cell r="F176">
            <v>3620.145792327924</v>
          </cell>
          <cell r="G176">
            <v>3055.4836299651911</v>
          </cell>
          <cell r="H176">
            <v>564.66216236273283</v>
          </cell>
          <cell r="I176">
            <v>109876.94884258136</v>
          </cell>
        </row>
        <row r="177">
          <cell r="A177">
            <v>148</v>
          </cell>
          <cell r="B177">
            <v>44499</v>
          </cell>
          <cell r="C177">
            <v>109876.94884258136</v>
          </cell>
          <cell r="D177">
            <v>3620.145792327924</v>
          </cell>
          <cell r="E177">
            <v>0</v>
          </cell>
          <cell r="F177">
            <v>3620.145792327924</v>
          </cell>
          <cell r="G177">
            <v>3070.7610481150173</v>
          </cell>
          <cell r="H177">
            <v>549.38474421290675</v>
          </cell>
          <cell r="I177">
            <v>106806.18779446634</v>
          </cell>
        </row>
        <row r="178">
          <cell r="A178">
            <v>149</v>
          </cell>
          <cell r="B178">
            <v>44530</v>
          </cell>
          <cell r="C178">
            <v>106806.18779446634</v>
          </cell>
          <cell r="D178">
            <v>3620.145792327924</v>
          </cell>
          <cell r="E178">
            <v>0</v>
          </cell>
          <cell r="F178">
            <v>3620.145792327924</v>
          </cell>
          <cell r="G178">
            <v>3086.1148533555925</v>
          </cell>
          <cell r="H178">
            <v>534.03093897233168</v>
          </cell>
          <cell r="I178">
            <v>103720.07294111075</v>
          </cell>
        </row>
        <row r="179">
          <cell r="A179">
            <v>150</v>
          </cell>
          <cell r="B179">
            <v>44560</v>
          </cell>
          <cell r="C179">
            <v>103720.07294111075</v>
          </cell>
          <cell r="D179">
            <v>3620.145792327924</v>
          </cell>
          <cell r="E179">
            <v>0</v>
          </cell>
          <cell r="F179">
            <v>3620.145792327924</v>
          </cell>
          <cell r="G179">
            <v>3101.5454276223704</v>
          </cell>
          <cell r="H179">
            <v>518.60036470555372</v>
          </cell>
          <cell r="I179">
            <v>100618.52751348837</v>
          </cell>
        </row>
        <row r="180">
          <cell r="G180">
            <v>36216.828853817817</v>
          </cell>
          <cell r="H180">
            <v>7224.9206541172689</v>
          </cell>
        </row>
        <row r="181">
          <cell r="A181">
            <v>151</v>
          </cell>
          <cell r="B181">
            <v>44591</v>
          </cell>
          <cell r="C181">
            <v>100618.52751348837</v>
          </cell>
          <cell r="D181">
            <v>3620.145792327924</v>
          </cell>
          <cell r="E181">
            <v>0</v>
          </cell>
          <cell r="F181">
            <v>3620.145792327924</v>
          </cell>
          <cell r="G181">
            <v>3117.0531547604824</v>
          </cell>
          <cell r="H181">
            <v>503.09263756744184</v>
          </cell>
          <cell r="I181">
            <v>97501.474358727894</v>
          </cell>
        </row>
        <row r="182">
          <cell r="A182">
            <v>152</v>
          </cell>
          <cell r="B182">
            <v>44622</v>
          </cell>
          <cell r="C182">
            <v>97501.474358727894</v>
          </cell>
          <cell r="D182">
            <v>3620.145792327924</v>
          </cell>
          <cell r="E182">
            <v>0</v>
          </cell>
          <cell r="F182">
            <v>3620.145792327924</v>
          </cell>
          <cell r="G182">
            <v>3132.6384205342847</v>
          </cell>
          <cell r="H182">
            <v>487.50737179363949</v>
          </cell>
          <cell r="I182">
            <v>94368.835938193602</v>
          </cell>
        </row>
        <row r="183">
          <cell r="A183">
            <v>153</v>
          </cell>
          <cell r="B183">
            <v>44650</v>
          </cell>
          <cell r="C183">
            <v>94368.835938193602</v>
          </cell>
          <cell r="D183">
            <v>3620.145792327924</v>
          </cell>
          <cell r="E183">
            <v>0</v>
          </cell>
          <cell r="F183">
            <v>3620.145792327924</v>
          </cell>
          <cell r="G183">
            <v>3148.3016126369562</v>
          </cell>
          <cell r="H183">
            <v>471.84417969096802</v>
          </cell>
          <cell r="I183">
            <v>91220.53432555664</v>
          </cell>
        </row>
        <row r="184">
          <cell r="A184">
            <v>154</v>
          </cell>
          <cell r="B184">
            <v>44681</v>
          </cell>
          <cell r="C184">
            <v>91220.53432555664</v>
          </cell>
          <cell r="D184">
            <v>3620.145792327924</v>
          </cell>
          <cell r="E184">
            <v>0</v>
          </cell>
          <cell r="F184">
            <v>3620.145792327924</v>
          </cell>
          <cell r="G184">
            <v>3164.0431207001407</v>
          </cell>
          <cell r="H184">
            <v>456.1026716277832</v>
          </cell>
          <cell r="I184">
            <v>88056.491204856502</v>
          </cell>
        </row>
        <row r="185">
          <cell r="A185">
            <v>155</v>
          </cell>
          <cell r="B185">
            <v>44711</v>
          </cell>
          <cell r="C185">
            <v>88056.491204856502</v>
          </cell>
          <cell r="D185">
            <v>3620.145792327924</v>
          </cell>
          <cell r="E185">
            <v>0</v>
          </cell>
          <cell r="F185">
            <v>3620.145792327924</v>
          </cell>
          <cell r="G185">
            <v>3179.8633363036415</v>
          </cell>
          <cell r="H185">
            <v>440.28245602428251</v>
          </cell>
          <cell r="I185">
            <v>84876.627868552867</v>
          </cell>
        </row>
        <row r="186">
          <cell r="A186">
            <v>156</v>
          </cell>
          <cell r="B186">
            <v>44742</v>
          </cell>
          <cell r="C186">
            <v>84876.627868552867</v>
          </cell>
          <cell r="D186">
            <v>3620.145792327924</v>
          </cell>
          <cell r="E186">
            <v>0</v>
          </cell>
          <cell r="F186">
            <v>3620.145792327924</v>
          </cell>
          <cell r="G186">
            <v>3195.7626529851595</v>
          </cell>
          <cell r="H186">
            <v>424.38313934276431</v>
          </cell>
          <cell r="I186">
            <v>81680.865215567712</v>
          </cell>
        </row>
        <row r="187">
          <cell r="A187">
            <v>157</v>
          </cell>
          <cell r="B187">
            <v>44772</v>
          </cell>
          <cell r="C187">
            <v>81680.865215567712</v>
          </cell>
          <cell r="D187">
            <v>3620.145792327924</v>
          </cell>
          <cell r="E187">
            <v>0</v>
          </cell>
          <cell r="F187">
            <v>3620.145792327924</v>
          </cell>
          <cell r="G187">
            <v>3211.7414662500855</v>
          </cell>
          <cell r="H187">
            <v>408.40432607783856</v>
          </cell>
          <cell r="I187">
            <v>78469.12374931763</v>
          </cell>
        </row>
        <row r="188">
          <cell r="A188">
            <v>158</v>
          </cell>
          <cell r="B188">
            <v>44803</v>
          </cell>
          <cell r="C188">
            <v>78469.12374931763</v>
          </cell>
          <cell r="D188">
            <v>3620.145792327924</v>
          </cell>
          <cell r="E188">
            <v>0</v>
          </cell>
          <cell r="F188">
            <v>3620.145792327924</v>
          </cell>
          <cell r="G188">
            <v>3227.8001735813359</v>
          </cell>
          <cell r="H188">
            <v>392.34561874658812</v>
          </cell>
          <cell r="I188">
            <v>75241.3235757363</v>
          </cell>
        </row>
        <row r="189">
          <cell r="A189">
            <v>159</v>
          </cell>
          <cell r="B189">
            <v>44834</v>
          </cell>
          <cell r="C189">
            <v>75241.3235757363</v>
          </cell>
          <cell r="D189">
            <v>3620.145792327924</v>
          </cell>
          <cell r="E189">
            <v>0</v>
          </cell>
          <cell r="F189">
            <v>3620.145792327924</v>
          </cell>
          <cell r="G189">
            <v>3243.9391744492427</v>
          </cell>
          <cell r="H189">
            <v>376.20661787868147</v>
          </cell>
          <cell r="I189">
            <v>71997.384401287054</v>
          </cell>
        </row>
        <row r="190">
          <cell r="A190">
            <v>160</v>
          </cell>
          <cell r="B190">
            <v>44864</v>
          </cell>
          <cell r="C190">
            <v>71997.384401287054</v>
          </cell>
          <cell r="D190">
            <v>3620.145792327924</v>
          </cell>
          <cell r="E190">
            <v>0</v>
          </cell>
          <cell r="F190">
            <v>3620.145792327924</v>
          </cell>
          <cell r="G190">
            <v>3260.1588703214888</v>
          </cell>
          <cell r="H190">
            <v>359.98692200643524</v>
          </cell>
          <cell r="I190">
            <v>68737.225530965559</v>
          </cell>
        </row>
        <row r="191">
          <cell r="A191">
            <v>161</v>
          </cell>
          <cell r="B191">
            <v>44895</v>
          </cell>
          <cell r="C191">
            <v>68737.225530965559</v>
          </cell>
          <cell r="D191">
            <v>3620.145792327924</v>
          </cell>
          <cell r="E191">
            <v>0</v>
          </cell>
          <cell r="F191">
            <v>3620.145792327924</v>
          </cell>
          <cell r="G191">
            <v>3276.4596646730961</v>
          </cell>
          <cell r="H191">
            <v>343.68612765482777</v>
          </cell>
          <cell r="I191">
            <v>65460.765866292466</v>
          </cell>
        </row>
        <row r="192">
          <cell r="A192">
            <v>162</v>
          </cell>
          <cell r="B192">
            <v>44925</v>
          </cell>
          <cell r="C192">
            <v>65460.765866292466</v>
          </cell>
          <cell r="D192">
            <v>3620.145792327924</v>
          </cell>
          <cell r="E192">
            <v>0</v>
          </cell>
          <cell r="F192">
            <v>3620.145792327924</v>
          </cell>
          <cell r="G192">
            <v>3292.8419629964619</v>
          </cell>
          <cell r="H192">
            <v>327.30382933146228</v>
          </cell>
          <cell r="I192">
            <v>62167.923903296003</v>
          </cell>
        </row>
        <row r="193">
          <cell r="G193">
            <v>38450.603610192375</v>
          </cell>
          <cell r="H193">
            <v>4991.1458977427128</v>
          </cell>
        </row>
        <row r="194">
          <cell r="A194">
            <v>163</v>
          </cell>
          <cell r="B194">
            <v>44956</v>
          </cell>
          <cell r="C194">
            <v>62167.923903296003</v>
          </cell>
          <cell r="D194">
            <v>3620.145792327924</v>
          </cell>
          <cell r="E194">
            <v>0</v>
          </cell>
          <cell r="F194">
            <v>3620.145792327924</v>
          </cell>
          <cell r="G194">
            <v>3309.306172811444</v>
          </cell>
          <cell r="H194">
            <v>310.83961951648001</v>
          </cell>
          <cell r="I194">
            <v>58858.617730484562</v>
          </cell>
        </row>
        <row r="195">
          <cell r="A195">
            <v>164</v>
          </cell>
          <cell r="B195">
            <v>44987</v>
          </cell>
          <cell r="C195">
            <v>58858.617730484562</v>
          </cell>
          <cell r="D195">
            <v>3620.145792327924</v>
          </cell>
          <cell r="E195">
            <v>0</v>
          </cell>
          <cell r="F195">
            <v>3620.145792327924</v>
          </cell>
          <cell r="G195">
            <v>3325.8527036755013</v>
          </cell>
          <cell r="H195">
            <v>294.2930886524228</v>
          </cell>
          <cell r="I195">
            <v>55532.765026809058</v>
          </cell>
        </row>
        <row r="196">
          <cell r="A196">
            <v>165</v>
          </cell>
          <cell r="B196">
            <v>45015</v>
          </cell>
          <cell r="C196">
            <v>55532.765026809058</v>
          </cell>
          <cell r="D196">
            <v>3620.145792327924</v>
          </cell>
          <cell r="E196">
            <v>0</v>
          </cell>
          <cell r="F196">
            <v>3620.145792327924</v>
          </cell>
          <cell r="G196">
            <v>3342.4819671938785</v>
          </cell>
          <cell r="H196">
            <v>277.66382513404528</v>
          </cell>
          <cell r="I196">
            <v>52190.283059615176</v>
          </cell>
        </row>
        <row r="197">
          <cell r="A197">
            <v>166</v>
          </cell>
          <cell r="B197">
            <v>45046</v>
          </cell>
          <cell r="C197">
            <v>52190.283059615176</v>
          </cell>
          <cell r="D197">
            <v>3620.145792327924</v>
          </cell>
          <cell r="E197">
            <v>0</v>
          </cell>
          <cell r="F197">
            <v>3620.145792327924</v>
          </cell>
          <cell r="G197">
            <v>3359.1943770298481</v>
          </cell>
          <cell r="H197">
            <v>260.95141529807586</v>
          </cell>
          <cell r="I197">
            <v>48831.08868258533</v>
          </cell>
        </row>
        <row r="198">
          <cell r="A198">
            <v>167</v>
          </cell>
          <cell r="B198">
            <v>45076</v>
          </cell>
          <cell r="C198">
            <v>48831.08868258533</v>
          </cell>
          <cell r="D198">
            <v>3620.145792327924</v>
          </cell>
          <cell r="E198">
            <v>0</v>
          </cell>
          <cell r="F198">
            <v>3620.145792327924</v>
          </cell>
          <cell r="G198">
            <v>3375.9903489149974</v>
          </cell>
          <cell r="H198">
            <v>244.15544341292664</v>
          </cell>
          <cell r="I198">
            <v>45455.098333670336</v>
          </cell>
        </row>
        <row r="199">
          <cell r="A199">
            <v>168</v>
          </cell>
          <cell r="B199">
            <v>45107</v>
          </cell>
          <cell r="C199">
            <v>45455.098333670336</v>
          </cell>
          <cell r="D199">
            <v>3620.145792327924</v>
          </cell>
          <cell r="E199">
            <v>0</v>
          </cell>
          <cell r="F199">
            <v>3620.145792327924</v>
          </cell>
          <cell r="G199">
            <v>3392.8703006595724</v>
          </cell>
          <cell r="H199">
            <v>227.27549166835169</v>
          </cell>
          <cell r="I199">
            <v>42062.228033010761</v>
          </cell>
        </row>
        <row r="200">
          <cell r="A200">
            <v>169</v>
          </cell>
          <cell r="B200">
            <v>45137</v>
          </cell>
          <cell r="C200">
            <v>42062.228033010761</v>
          </cell>
          <cell r="D200">
            <v>3620.145792327924</v>
          </cell>
          <cell r="E200">
            <v>0</v>
          </cell>
          <cell r="F200">
            <v>3620.145792327924</v>
          </cell>
          <cell r="G200">
            <v>3409.83465216287</v>
          </cell>
          <cell r="H200">
            <v>210.31114016505379</v>
          </cell>
          <cell r="I200">
            <v>38652.393380847891</v>
          </cell>
        </row>
        <row r="201">
          <cell r="A201">
            <v>170</v>
          </cell>
          <cell r="B201">
            <v>45168</v>
          </cell>
          <cell r="C201">
            <v>38652.393380847891</v>
          </cell>
          <cell r="D201">
            <v>3620.145792327924</v>
          </cell>
          <cell r="E201">
            <v>0</v>
          </cell>
          <cell r="F201">
            <v>3620.145792327924</v>
          </cell>
          <cell r="G201">
            <v>3426.8838254236844</v>
          </cell>
          <cell r="H201">
            <v>193.26196690423944</v>
          </cell>
          <cell r="I201">
            <v>35225.509555424207</v>
          </cell>
        </row>
        <row r="202">
          <cell r="A202">
            <v>171</v>
          </cell>
          <cell r="B202">
            <v>45199</v>
          </cell>
          <cell r="C202">
            <v>35225.509555424207</v>
          </cell>
          <cell r="D202">
            <v>3620.145792327924</v>
          </cell>
          <cell r="E202">
            <v>0</v>
          </cell>
          <cell r="F202">
            <v>3620.145792327924</v>
          </cell>
          <cell r="G202">
            <v>3444.018244550803</v>
          </cell>
          <cell r="H202">
            <v>176.12754777712101</v>
          </cell>
          <cell r="I202">
            <v>31781.491310873404</v>
          </cell>
        </row>
        <row r="203">
          <cell r="A203">
            <v>172</v>
          </cell>
          <cell r="B203">
            <v>45229</v>
          </cell>
          <cell r="C203">
            <v>31781.491310873404</v>
          </cell>
          <cell r="D203">
            <v>3620.145792327924</v>
          </cell>
          <cell r="E203">
            <v>0</v>
          </cell>
          <cell r="F203">
            <v>3620.145792327924</v>
          </cell>
          <cell r="G203">
            <v>3461.2383357735571</v>
          </cell>
          <cell r="H203">
            <v>158.90745655436703</v>
          </cell>
          <cell r="I203">
            <v>28320.252975099847</v>
          </cell>
        </row>
        <row r="204">
          <cell r="A204">
            <v>173</v>
          </cell>
          <cell r="B204">
            <v>45260</v>
          </cell>
          <cell r="C204">
            <v>28320.252975099847</v>
          </cell>
          <cell r="D204">
            <v>3620.145792327924</v>
          </cell>
          <cell r="E204">
            <v>0</v>
          </cell>
          <cell r="F204">
            <v>3620.145792327924</v>
          </cell>
          <cell r="G204">
            <v>3478.544527452425</v>
          </cell>
          <cell r="H204">
            <v>141.60126487549923</v>
          </cell>
          <cell r="I204">
            <v>24841.708447647423</v>
          </cell>
        </row>
        <row r="205">
          <cell r="A205">
            <v>174</v>
          </cell>
          <cell r="B205">
            <v>45290</v>
          </cell>
          <cell r="C205">
            <v>24841.708447647423</v>
          </cell>
          <cell r="D205">
            <v>3620.145792327924</v>
          </cell>
          <cell r="E205">
            <v>0</v>
          </cell>
          <cell r="F205">
            <v>3620.145792327924</v>
          </cell>
          <cell r="G205">
            <v>3495.937250089687</v>
          </cell>
          <cell r="H205">
            <v>124.2085422382371</v>
          </cell>
          <cell r="I205">
            <v>21345.771197557737</v>
          </cell>
        </row>
        <row r="206">
          <cell r="G206">
            <v>40822.152705738263</v>
          </cell>
          <cell r="H206">
            <v>2619.5968021968192</v>
          </cell>
        </row>
        <row r="207">
          <cell r="A207">
            <v>175</v>
          </cell>
          <cell r="B207">
            <v>45321</v>
          </cell>
          <cell r="C207">
            <v>21345.771197557737</v>
          </cell>
          <cell r="D207">
            <v>3620.145792327924</v>
          </cell>
          <cell r="E207">
            <v>0</v>
          </cell>
          <cell r="F207">
            <v>3620.145792327924</v>
          </cell>
          <cell r="G207">
            <v>3513.4169363401352</v>
          </cell>
          <cell r="H207">
            <v>106.72885598778868</v>
          </cell>
          <cell r="I207">
            <v>17832.354261217602</v>
          </cell>
        </row>
        <row r="208">
          <cell r="A208">
            <v>176</v>
          </cell>
          <cell r="B208">
            <v>45352</v>
          </cell>
          <cell r="C208">
            <v>17832.354261217602</v>
          </cell>
          <cell r="D208">
            <v>3620.145792327924</v>
          </cell>
          <cell r="E208">
            <v>0</v>
          </cell>
          <cell r="F208">
            <v>3620.145792327924</v>
          </cell>
          <cell r="G208">
            <v>3530.9840210218358</v>
          </cell>
          <cell r="H208">
            <v>89.161771306087999</v>
          </cell>
          <cell r="I208">
            <v>14301.370240195767</v>
          </cell>
        </row>
        <row r="209">
          <cell r="A209">
            <v>177</v>
          </cell>
          <cell r="B209">
            <v>45381</v>
          </cell>
          <cell r="C209">
            <v>14301.370240195767</v>
          </cell>
          <cell r="D209">
            <v>3620.145792327924</v>
          </cell>
          <cell r="E209">
            <v>0</v>
          </cell>
          <cell r="F209">
            <v>3620.145792327924</v>
          </cell>
          <cell r="G209">
            <v>3548.6389411269452</v>
          </cell>
          <cell r="H209">
            <v>71.506851200978829</v>
          </cell>
          <cell r="I209">
            <v>10752.731299068822</v>
          </cell>
        </row>
        <row r="210">
          <cell r="A210">
            <v>178</v>
          </cell>
          <cell r="B210">
            <v>45412</v>
          </cell>
          <cell r="C210">
            <v>10752.731299068822</v>
          </cell>
          <cell r="D210">
            <v>3620.145792327924</v>
          </cell>
          <cell r="E210">
            <v>0</v>
          </cell>
          <cell r="F210">
            <v>3620.145792327924</v>
          </cell>
          <cell r="G210">
            <v>3566.3821358325799</v>
          </cell>
          <cell r="H210">
            <v>53.763656495344115</v>
          </cell>
          <cell r="I210">
            <v>7186.349163236242</v>
          </cell>
        </row>
        <row r="211">
          <cell r="A211">
            <v>179</v>
          </cell>
          <cell r="B211">
            <v>45442</v>
          </cell>
          <cell r="C211">
            <v>7186.349163236242</v>
          </cell>
          <cell r="D211">
            <v>3620.145792327924</v>
          </cell>
          <cell r="E211">
            <v>0</v>
          </cell>
          <cell r="F211">
            <v>3620.145792327924</v>
          </cell>
          <cell r="G211">
            <v>3584.2140465117427</v>
          </cell>
          <cell r="H211">
            <v>35.931745816181213</v>
          </cell>
          <cell r="I211">
            <v>3602.1351167244993</v>
          </cell>
        </row>
        <row r="212">
          <cell r="A212">
            <v>180</v>
          </cell>
          <cell r="B212">
            <v>45473</v>
          </cell>
          <cell r="C212">
            <v>3602.1351167244993</v>
          </cell>
          <cell r="D212">
            <v>3620.145792327924</v>
          </cell>
          <cell r="E212">
            <v>0</v>
          </cell>
          <cell r="F212">
            <v>3602.1351167244993</v>
          </cell>
          <cell r="G212">
            <v>3584.124441140877</v>
          </cell>
          <cell r="H212">
            <v>18.010675583622497</v>
          </cell>
          <cell r="I212">
            <v>0</v>
          </cell>
        </row>
      </sheetData>
    </sheetDataSet>
  </externalBook>
</externalLink>
</file>

<file path=xl/externalLinks/externalLink3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yp_Res"/>
      <sheetName val="Modèle"/>
      <sheetName val="Fiche ROE"/>
    </sheetNames>
    <sheetDataSet>
      <sheetData sheetId="0">
        <row r="17">
          <cell r="D17">
            <v>0.88315559634966445</v>
          </cell>
        </row>
      </sheetData>
      <sheetData sheetId="1">
        <row r="34">
          <cell r="A34">
            <v>39447</v>
          </cell>
        </row>
      </sheetData>
      <sheetData sheetId="2"/>
    </sheetDataSet>
  </externalBook>
</externalLink>
</file>

<file path=xl/externalLinks/externalLink3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orties Poly"/>
      <sheetName val="Liste dép et Terr"/>
      <sheetName val="Plafonds ress &amp; loyers "/>
      <sheetName val="Hypothèses"/>
      <sheetName val="Détail des surfaces"/>
      <sheetName val="Girardin"/>
      <sheetName val="Economie"/>
      <sheetName val="Loyers SCI €"/>
      <sheetName val="Echéancier d'emprunt"/>
      <sheetName val="Echéancier tréso"/>
      <sheetName val="Echéancier apports"/>
      <sheetName val="Rev Fonciers NC"/>
      <sheetName val="Rev Fonciers DOM"/>
      <sheetName val="RF DOM Ind"/>
    </sheetNames>
    <sheetDataSet>
      <sheetData sheetId="0" refreshError="1"/>
      <sheetData sheetId="1" refreshError="1"/>
      <sheetData sheetId="2" refreshError="1"/>
      <sheetData sheetId="3" refreshError="1">
        <row r="44">
          <cell r="C44">
            <v>39083</v>
          </cell>
        </row>
        <row r="47">
          <cell r="C47">
            <v>0.01</v>
          </cell>
        </row>
      </sheetData>
      <sheetData sheetId="4" refreshError="1">
        <row r="5">
          <cell r="K5">
            <v>0</v>
          </cell>
        </row>
      </sheetData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</sheetDataSet>
  </externalBook>
</externalLink>
</file>

<file path=xl/externalLinks/externalLink3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ypothèses"/>
      <sheetName val="Financement EXIM"/>
      <sheetName val="Financement SOAR"/>
      <sheetName val="Loyers"/>
      <sheetName val="Amortissement"/>
      <sheetName val="Compta - RBT"/>
      <sheetName val="Echéancier d'IS"/>
      <sheetName val="Reconnaissance analytique"/>
      <sheetName val="Courbe"/>
      <sheetName val="Comptes"/>
    </sheetNames>
    <sheetDataSet>
      <sheetData sheetId="0" refreshError="1">
        <row r="4">
          <cell r="M4">
            <v>0.34429999999999999</v>
          </cell>
        </row>
        <row r="10">
          <cell r="C10">
            <v>39335</v>
          </cell>
        </row>
        <row r="14">
          <cell r="C14">
            <v>13</v>
          </cell>
        </row>
        <row r="15">
          <cell r="C15">
            <v>2.25</v>
          </cell>
        </row>
      </sheetData>
      <sheetData sheetId="1"/>
      <sheetData sheetId="2"/>
      <sheetData sheetId="3"/>
      <sheetData sheetId="4"/>
      <sheetData sheetId="5" refreshError="1">
        <row r="48">
          <cell r="D48">
            <v>2007</v>
          </cell>
          <cell r="E48">
            <v>2008</v>
          </cell>
          <cell r="F48">
            <v>2009</v>
          </cell>
          <cell r="G48">
            <v>2010</v>
          </cell>
          <cell r="H48">
            <v>2011</v>
          </cell>
          <cell r="I48">
            <v>2012</v>
          </cell>
          <cell r="J48">
            <v>2013</v>
          </cell>
          <cell r="K48">
            <v>2014</v>
          </cell>
          <cell r="L48">
            <v>2015</v>
          </cell>
          <cell r="M48">
            <v>2016</v>
          </cell>
          <cell r="N48">
            <v>2017</v>
          </cell>
          <cell r="O48">
            <v>2018</v>
          </cell>
          <cell r="P48">
            <v>2019</v>
          </cell>
          <cell r="Q48">
            <v>2020</v>
          </cell>
        </row>
        <row r="50">
          <cell r="B50" t="str">
            <v>Amortissement Actif Cible</v>
          </cell>
          <cell r="D50">
            <v>-1844770.7532139092</v>
          </cell>
          <cell r="E50">
            <v>-5692688.8696360551</v>
          </cell>
          <cell r="F50">
            <v>-4707415.796045199</v>
          </cell>
          <cell r="G50">
            <v>-3892670.7544219913</v>
          </cell>
          <cell r="H50">
            <v>-3218939.2776951082</v>
          </cell>
          <cell r="I50">
            <v>-2661815.1719401856</v>
          </cell>
          <cell r="J50">
            <v>-2201116.3921813075</v>
          </cell>
          <cell r="K50">
            <v>-1820153.9396883887</v>
          </cell>
          <cell r="L50">
            <v>-1739258.2090355717</v>
          </cell>
          <cell r="M50">
            <v>-1739258.2090355717</v>
          </cell>
          <cell r="N50">
            <v>-1739258.2090355717</v>
          </cell>
          <cell r="O50">
            <v>-1739258.2090355717</v>
          </cell>
          <cell r="P50">
            <v>-1739258.2090355717</v>
          </cell>
          <cell r="Q50">
            <v>0</v>
          </cell>
        </row>
        <row r="51">
          <cell r="B51">
            <v>0</v>
          </cell>
        </row>
        <row r="52">
          <cell r="B52" t="str">
            <v>Loyer - payés</v>
          </cell>
          <cell r="D52">
            <v>755372.23896127276</v>
          </cell>
          <cell r="E52">
            <v>2993830.4353641928</v>
          </cell>
          <cell r="F52">
            <v>2997422.5068516261</v>
          </cell>
          <cell r="G52">
            <v>3001283.6949096969</v>
          </cell>
          <cell r="H52">
            <v>3005354.5497192978</v>
          </cell>
          <cell r="I52">
            <v>3009761.2316808659</v>
          </cell>
          <cell r="J52">
            <v>3014173.9636930833</v>
          </cell>
          <cell r="K52">
            <v>3018944.7742524459</v>
          </cell>
          <cell r="L52">
            <v>3023974.6450640163</v>
          </cell>
          <cell r="M52">
            <v>3029447.2837749938</v>
          </cell>
          <cell r="N52">
            <v>3034874.1249077702</v>
          </cell>
          <cell r="O52">
            <v>3040768.9769519689</v>
          </cell>
          <cell r="P52">
            <v>2287194.0851130579</v>
          </cell>
          <cell r="Q52">
            <v>0</v>
          </cell>
        </row>
        <row r="53">
          <cell r="B53" t="str">
            <v>Loyer - Différés</v>
          </cell>
          <cell r="D53">
            <v>122327.526547338</v>
          </cell>
          <cell r="E53">
            <v>505852.69067720789</v>
          </cell>
          <cell r="F53">
            <v>533302.4827856546</v>
          </cell>
          <cell r="G53">
            <v>562261.39322118694</v>
          </cell>
          <cell r="H53">
            <v>592792.80429319222</v>
          </cell>
          <cell r="I53">
            <v>625333.6630522518</v>
          </cell>
          <cell r="J53">
            <v>658938.40909658466</v>
          </cell>
          <cell r="K53">
            <v>694719.48829180258</v>
          </cell>
          <cell r="L53">
            <v>732443.51937857911</v>
          </cell>
          <cell r="M53">
            <v>772979.05375820724</v>
          </cell>
          <cell r="N53">
            <v>814189.61820673419</v>
          </cell>
          <cell r="O53">
            <v>858401.00853822334</v>
          </cell>
          <cell r="P53">
            <v>674553.58540859947</v>
          </cell>
          <cell r="Q53">
            <v>0</v>
          </cell>
        </row>
        <row r="54">
          <cell r="B54" t="str">
            <v>Option d'achat</v>
          </cell>
          <cell r="P54">
            <v>5210379.3</v>
          </cell>
        </row>
        <row r="55">
          <cell r="B55" t="str">
            <v>Prêt Exim - Intérêts</v>
          </cell>
          <cell r="D55">
            <v>-422800.81150251394</v>
          </cell>
          <cell r="E55">
            <v>-1635805.2508456151</v>
          </cell>
          <cell r="F55">
            <v>-1523832.216170978</v>
          </cell>
          <cell r="G55">
            <v>-1410541.1116932933</v>
          </cell>
          <cell r="H55">
            <v>-1291098.1758373354</v>
          </cell>
          <cell r="I55">
            <v>-1168629.5252626848</v>
          </cell>
          <cell r="J55">
            <v>-1032590.3567613059</v>
          </cell>
          <cell r="K55">
            <v>-892624.27988423989</v>
          </cell>
          <cell r="L55">
            <v>-745057.89133578597</v>
          </cell>
          <cell r="M55">
            <v>-591329.7162561306</v>
          </cell>
          <cell r="N55">
            <v>-425551.47164079337</v>
          </cell>
          <cell r="O55">
            <v>-252622.516711356</v>
          </cell>
          <cell r="P55">
            <v>-70303.329635701448</v>
          </cell>
        </row>
        <row r="56">
          <cell r="B56" t="str">
            <v>Prêt Exim - Marge</v>
          </cell>
          <cell r="D56">
            <v>19218.218704659725</v>
          </cell>
          <cell r="E56">
            <v>74354.784129346139</v>
          </cell>
          <cell r="F56">
            <v>69265.100735044456</v>
          </cell>
          <cell r="G56">
            <v>64115.505076967871</v>
          </cell>
          <cell r="H56">
            <v>58686.28071987888</v>
          </cell>
          <cell r="I56">
            <v>53119.523875576589</v>
          </cell>
          <cell r="J56">
            <v>46935.925307332094</v>
          </cell>
          <cell r="K56">
            <v>40573.830903829083</v>
          </cell>
          <cell r="L56">
            <v>33866.267787990269</v>
          </cell>
          <cell r="M56">
            <v>26878.623466187761</v>
          </cell>
          <cell r="N56">
            <v>19343.24871094515</v>
          </cell>
          <cell r="O56">
            <v>11482.841668698</v>
          </cell>
          <cell r="P56">
            <v>3195.6058925318835</v>
          </cell>
        </row>
        <row r="57">
          <cell r="B57" t="str">
            <v>Prêt Exim - Premium</v>
          </cell>
          <cell r="D57">
            <v>-22649.685358904109</v>
          </cell>
          <cell r="E57">
            <v>-73813.706749999998</v>
          </cell>
          <cell r="F57">
            <v>-73813.706749999998</v>
          </cell>
          <cell r="G57">
            <v>-73813.706749999998</v>
          </cell>
          <cell r="H57">
            <v>-73813.706749999998</v>
          </cell>
          <cell r="I57">
            <v>-73813.706749999998</v>
          </cell>
          <cell r="J57">
            <v>-73813.706749999998</v>
          </cell>
          <cell r="K57">
            <v>-73813.706749999998</v>
          </cell>
          <cell r="L57">
            <v>-73813.706749999998</v>
          </cell>
          <cell r="M57">
            <v>-73813.706749999998</v>
          </cell>
          <cell r="N57">
            <v>-73813.706749999998</v>
          </cell>
          <cell r="O57">
            <v>-73813.706749999998</v>
          </cell>
          <cell r="P57">
            <v>-51164.021391095885</v>
          </cell>
        </row>
        <row r="58">
          <cell r="B58" t="str">
            <v>Prêt SOAR - Intérêts</v>
          </cell>
          <cell r="D58">
            <v>0</v>
          </cell>
          <cell r="E58">
            <v>-17330.32660632527</v>
          </cell>
          <cell r="F58">
            <v>-46087.25167231739</v>
          </cell>
          <cell r="G58">
            <v>-76425.157842874949</v>
          </cell>
          <cell r="H58">
            <v>-108410.4456325949</v>
          </cell>
          <cell r="I58">
            <v>-142500.86909446667</v>
          </cell>
          <cell r="J58">
            <v>-177705.8411409109</v>
          </cell>
          <cell r="K58">
            <v>-215190.78125018728</v>
          </cell>
          <cell r="L58">
            <v>-254711.19476966729</v>
          </cell>
          <cell r="M58">
            <v>-297176.99269118282</v>
          </cell>
          <cell r="N58">
            <v>-340349.96497059183</v>
          </cell>
          <cell r="O58">
            <v>-386666.65960358072</v>
          </cell>
          <cell r="P58">
            <v>-322217.24413642369</v>
          </cell>
        </row>
        <row r="59">
          <cell r="B59" t="str">
            <v>Prêt SOAR - Marge</v>
          </cell>
          <cell r="D59">
            <v>0</v>
          </cell>
          <cell r="E59">
            <v>-2363.2263554079909</v>
          </cell>
          <cell r="F59">
            <v>-6284.62522804328</v>
          </cell>
          <cell r="G59">
            <v>-10421.61243311931</v>
          </cell>
          <cell r="H59">
            <v>-14783.242586262941</v>
          </cell>
          <cell r="I59">
            <v>-19431.936694700002</v>
          </cell>
          <cell r="J59">
            <v>-24232.614701033308</v>
          </cell>
          <cell r="K59">
            <v>-29344.197443207355</v>
          </cell>
          <cell r="L59">
            <v>-34733.344741318273</v>
          </cell>
          <cell r="M59">
            <v>-40524.13536697947</v>
          </cell>
          <cell r="N59">
            <v>-46411.358859626147</v>
          </cell>
          <cell r="O59">
            <v>-52727.271764124642</v>
          </cell>
          <cell r="P59">
            <v>-43938.715109512326</v>
          </cell>
        </row>
        <row r="61">
          <cell r="B61" t="str">
            <v>Management &amp; agency fees</v>
          </cell>
          <cell r="D61">
            <v>-3068.4931506849316</v>
          </cell>
          <cell r="E61">
            <v>-16931.506849315068</v>
          </cell>
          <cell r="F61">
            <v>-10000</v>
          </cell>
          <cell r="G61">
            <v>-10000</v>
          </cell>
          <cell r="H61">
            <v>-10000</v>
          </cell>
          <cell r="I61">
            <v>-10000</v>
          </cell>
          <cell r="J61">
            <v>-10000</v>
          </cell>
          <cell r="K61">
            <v>-10000</v>
          </cell>
          <cell r="L61">
            <v>-10000</v>
          </cell>
          <cell r="M61">
            <v>-10000</v>
          </cell>
          <cell r="N61">
            <v>-10000</v>
          </cell>
          <cell r="O61">
            <v>-10000</v>
          </cell>
          <cell r="P61">
            <v>-10000</v>
          </cell>
        </row>
        <row r="62">
          <cell r="B62" t="str">
            <v>Commitment fee</v>
          </cell>
          <cell r="D62">
            <v>-6178.9722261354691</v>
          </cell>
          <cell r="E62">
            <v>-23906.39994976627</v>
          </cell>
          <cell r="F62">
            <v>-22269.939607018354</v>
          </cell>
          <cell r="G62">
            <v>-20615.144724987946</v>
          </cell>
          <cell r="H62">
            <v>-18870.492663730489</v>
          </cell>
          <cell r="I62">
            <v>-17078.915814049466</v>
          </cell>
          <cell r="J62">
            <v>-15090.743817822344</v>
          </cell>
          <cell r="K62">
            <v>-13046.110720952725</v>
          </cell>
          <cell r="L62">
            <v>-10890.451801708361</v>
          </cell>
          <cell r="M62">
            <v>-8642.0363451376743</v>
          </cell>
          <cell r="N62">
            <v>-6219.2461543852078</v>
          </cell>
          <cell r="O62">
            <v>-3692.8809925858131</v>
          </cell>
          <cell r="P62">
            <v>-1029.3314282952713</v>
          </cell>
        </row>
        <row r="63">
          <cell r="B63" t="str">
            <v>IFA SAS/Parilease</v>
          </cell>
          <cell r="D63">
            <v>-2016</v>
          </cell>
          <cell r="E63">
            <v>-4800</v>
          </cell>
          <cell r="F63">
            <v>-4800</v>
          </cell>
          <cell r="G63">
            <v>-4800</v>
          </cell>
          <cell r="H63">
            <v>-4800</v>
          </cell>
          <cell r="I63">
            <v>-4800</v>
          </cell>
          <cell r="J63">
            <v>-4800</v>
          </cell>
          <cell r="K63">
            <v>-4800</v>
          </cell>
          <cell r="L63">
            <v>-4800</v>
          </cell>
          <cell r="M63">
            <v>-4800</v>
          </cell>
          <cell r="N63">
            <v>-4800</v>
          </cell>
          <cell r="O63">
            <v>-4800</v>
          </cell>
          <cell r="P63">
            <v>-4800</v>
          </cell>
        </row>
        <row r="64">
          <cell r="B64" t="str">
            <v>TP</v>
          </cell>
          <cell r="D64">
            <v>-67.84</v>
          </cell>
          <cell r="E64">
            <v>-67.84</v>
          </cell>
          <cell r="F64">
            <v>-67.84</v>
          </cell>
          <cell r="G64">
            <v>-67.84</v>
          </cell>
          <cell r="H64">
            <v>-67.84</v>
          </cell>
          <cell r="I64">
            <v>-67.84</v>
          </cell>
          <cell r="J64">
            <v>-67.84</v>
          </cell>
          <cell r="K64">
            <v>-67.84</v>
          </cell>
          <cell r="L64">
            <v>-67.84</v>
          </cell>
          <cell r="M64">
            <v>-67.84</v>
          </cell>
          <cell r="N64">
            <v>-67.84</v>
          </cell>
          <cell r="O64">
            <v>-67.84</v>
          </cell>
          <cell r="P64">
            <v>-67.84</v>
          </cell>
        </row>
        <row r="65">
          <cell r="B65" t="str">
            <v>Rémunération de la trésorerie SAS/Parilease</v>
          </cell>
          <cell r="D65">
            <v>0</v>
          </cell>
          <cell r="E65">
            <v>-88.929133399596466</v>
          </cell>
          <cell r="F65">
            <v>-298.81170378140314</v>
          </cell>
          <cell r="G65">
            <v>-522.64779844689053</v>
          </cell>
          <cell r="H65">
            <v>-752.01189907994433</v>
          </cell>
          <cell r="I65">
            <v>-1003.8158124359844</v>
          </cell>
          <cell r="J65">
            <v>-1277.6153156616554</v>
          </cell>
          <cell r="K65">
            <v>-1594.9778218829786</v>
          </cell>
          <cell r="L65">
            <v>-1892.8933500240487</v>
          </cell>
          <cell r="M65">
            <v>-2271.6781530363692</v>
          </cell>
          <cell r="N65">
            <v>-2610.8642175622813</v>
          </cell>
          <cell r="O65">
            <v>-3003.9946867314352</v>
          </cell>
          <cell r="P65">
            <v>-3345.8327742815682</v>
          </cell>
          <cell r="Q65">
            <v>-3774.1265858886836</v>
          </cell>
        </row>
        <row r="66">
          <cell r="B66" t="str">
            <v>RNAI</v>
          </cell>
          <cell r="C66">
            <v>0</v>
          </cell>
          <cell r="D66">
            <v>-1404634.5712388775</v>
          </cell>
          <cell r="E66">
            <v>-3893758.145955137</v>
          </cell>
          <cell r="F66">
            <v>-2794880.0968050114</v>
          </cell>
          <cell r="G66">
            <v>-1872217.3824568619</v>
          </cell>
          <cell r="H66">
            <v>-1084701.5583317429</v>
          </cell>
          <cell r="I66">
            <v>-410927.36275982828</v>
          </cell>
          <cell r="J66">
            <v>179353.18742895831</v>
          </cell>
          <cell r="K66">
            <v>693602.25988921861</v>
          </cell>
          <cell r="L66">
            <v>915058.90044651052</v>
          </cell>
          <cell r="M66">
            <v>1061420.6464013504</v>
          </cell>
          <cell r="N66">
            <v>1219324.3301969194</v>
          </cell>
          <cell r="O66">
            <v>1383999.7476149397</v>
          </cell>
          <cell r="P66">
            <v>5929198.0529033076</v>
          </cell>
          <cell r="Q66">
            <v>-3774.1265858886836</v>
          </cell>
        </row>
        <row r="67">
          <cell r="B67" t="str">
            <v>Rés taxable du au seul différé d'IS</v>
          </cell>
          <cell r="C67">
            <v>0</v>
          </cell>
          <cell r="D67">
            <v>-1402550.7312388774</v>
          </cell>
          <cell r="E67">
            <v>-3888801.3768217377</v>
          </cell>
          <cell r="F67">
            <v>-2789713.4451012299</v>
          </cell>
          <cell r="G67">
            <v>-1866826.8946584149</v>
          </cell>
          <cell r="H67">
            <v>-1079081.7064326629</v>
          </cell>
          <cell r="I67">
            <v>-405055.70694739226</v>
          </cell>
          <cell r="J67">
            <v>185498.64274461995</v>
          </cell>
          <cell r="K67">
            <v>700065.0777111015</v>
          </cell>
          <cell r="L67">
            <v>921819.6337965345</v>
          </cell>
          <cell r="M67">
            <v>1068560.1645543869</v>
          </cell>
          <cell r="N67">
            <v>1226803.0344144818</v>
          </cell>
          <cell r="O67">
            <v>1391871.5823016712</v>
          </cell>
          <cell r="P67">
            <v>5937411.725677589</v>
          </cell>
          <cell r="Q67">
            <v>0</v>
          </cell>
        </row>
      </sheetData>
      <sheetData sheetId="6"/>
      <sheetData sheetId="7"/>
      <sheetData sheetId="8"/>
      <sheetData sheetId="9"/>
    </sheetDataSet>
  </externalBook>
</externalLink>
</file>

<file path=xl/externalLinks/externalLink3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ynthèse"/>
      <sheetName val="OS 2008 + Réhabilitation"/>
      <sheetName val="OS 2009"/>
      <sheetName val="Graphique"/>
      <sheetName val="VEFA OS 2009_2010-2011"/>
      <sheetName val="Suivi décaissement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>
        <row r="11">
          <cell r="H11" t="str">
            <v>LE FLORENTIN</v>
          </cell>
          <cell r="L11">
            <v>65</v>
          </cell>
          <cell r="N11">
            <v>9300000</v>
          </cell>
          <cell r="O11">
            <v>6045000</v>
          </cell>
          <cell r="R11">
            <v>3255000</v>
          </cell>
          <cell r="T11">
            <v>39845</v>
          </cell>
          <cell r="BG11">
            <v>40787</v>
          </cell>
        </row>
        <row r="12">
          <cell r="H12" t="str">
            <v>LES JACQUIERS</v>
          </cell>
          <cell r="L12">
            <v>63</v>
          </cell>
          <cell r="N12">
            <v>6900000</v>
          </cell>
          <cell r="O12">
            <v>4485000</v>
          </cell>
          <cell r="R12">
            <v>2415000</v>
          </cell>
          <cell r="T12">
            <v>39706</v>
          </cell>
          <cell r="BG12">
            <v>40298</v>
          </cell>
        </row>
        <row r="13">
          <cell r="H13" t="str">
            <v>ANTHURA 1</v>
          </cell>
          <cell r="L13">
            <v>40</v>
          </cell>
          <cell r="N13">
            <v>5778666</v>
          </cell>
          <cell r="O13">
            <v>3756132.9</v>
          </cell>
          <cell r="R13">
            <v>2022533.0999999999</v>
          </cell>
          <cell r="T13">
            <v>40179</v>
          </cell>
          <cell r="BG13">
            <v>40635.25</v>
          </cell>
        </row>
        <row r="14">
          <cell r="H14" t="str">
            <v>ANTHURA 2</v>
          </cell>
          <cell r="L14">
            <v>65</v>
          </cell>
          <cell r="N14">
            <v>9390334</v>
          </cell>
          <cell r="O14">
            <v>6103717.1000000006</v>
          </cell>
          <cell r="R14">
            <v>3286616.9</v>
          </cell>
          <cell r="T14">
            <v>40179</v>
          </cell>
          <cell r="BG14">
            <v>40635.25</v>
          </cell>
        </row>
        <row r="15">
          <cell r="H15" t="str">
            <v>FARNIENTE</v>
          </cell>
          <cell r="L15">
            <v>30</v>
          </cell>
          <cell r="N15">
            <v>4553969</v>
          </cell>
          <cell r="O15">
            <v>2960079.85</v>
          </cell>
          <cell r="R15">
            <v>1593889.15</v>
          </cell>
          <cell r="T15">
            <v>40179</v>
          </cell>
          <cell r="BG15">
            <v>40665.666666666664</v>
          </cell>
        </row>
        <row r="16">
          <cell r="H16" t="str">
            <v>GABRIELLE</v>
          </cell>
          <cell r="L16">
            <v>24</v>
          </cell>
          <cell r="N16">
            <v>3681150</v>
          </cell>
          <cell r="O16">
            <v>2392747.5</v>
          </cell>
          <cell r="R16">
            <v>1288402.5</v>
          </cell>
          <cell r="T16">
            <v>40179</v>
          </cell>
          <cell r="BG16">
            <v>40604.833333333336</v>
          </cell>
        </row>
        <row r="17">
          <cell r="H17" t="str">
            <v>LES TERRASSES DE SOPHIE</v>
          </cell>
          <cell r="L17">
            <v>36</v>
          </cell>
          <cell r="N17">
            <v>5934000</v>
          </cell>
          <cell r="O17">
            <v>3857100</v>
          </cell>
          <cell r="R17">
            <v>2076899.9999999998</v>
          </cell>
          <cell r="T17">
            <v>40179</v>
          </cell>
          <cell r="BG17">
            <v>40604.833333333336</v>
          </cell>
        </row>
        <row r="18">
          <cell r="H18" t="str">
            <v>CANAMELLE</v>
          </cell>
          <cell r="L18">
            <v>39</v>
          </cell>
          <cell r="N18">
            <v>7430000</v>
          </cell>
          <cell r="O18">
            <v>4829500</v>
          </cell>
          <cell r="R18">
            <v>2600500</v>
          </cell>
          <cell r="T18">
            <v>40179</v>
          </cell>
          <cell r="BG18">
            <v>40665.666666666664</v>
          </cell>
        </row>
        <row r="19">
          <cell r="H19" t="str">
            <v>ALEXANDRA</v>
          </cell>
          <cell r="L19">
            <v>48</v>
          </cell>
          <cell r="N19">
            <v>7107240</v>
          </cell>
          <cell r="O19">
            <v>4619706</v>
          </cell>
          <cell r="R19">
            <v>2487534</v>
          </cell>
          <cell r="T19">
            <v>40179</v>
          </cell>
          <cell r="BG19">
            <v>40665.666666666664</v>
          </cell>
        </row>
        <row r="20">
          <cell r="H20" t="str">
            <v>LE GUETALI</v>
          </cell>
          <cell r="L20">
            <v>84</v>
          </cell>
          <cell r="N20">
            <v>13741565.08</v>
          </cell>
          <cell r="O20">
            <v>8932017.3020000011</v>
          </cell>
          <cell r="R20">
            <v>4809547.7779999999</v>
          </cell>
          <cell r="T20">
            <v>40179</v>
          </cell>
          <cell r="BG20">
            <v>40696.083333333336</v>
          </cell>
        </row>
        <row r="21">
          <cell r="H21" t="str">
            <v>CARDAMONE</v>
          </cell>
          <cell r="L21">
            <v>38</v>
          </cell>
          <cell r="N21">
            <v>5071548.7699999996</v>
          </cell>
          <cell r="O21">
            <v>3296506.7004999998</v>
          </cell>
          <cell r="R21">
            <v>1775042.0694999998</v>
          </cell>
          <cell r="T21">
            <v>40179</v>
          </cell>
          <cell r="BG21">
            <v>40635.25</v>
          </cell>
        </row>
        <row r="22">
          <cell r="H22" t="str">
            <v>QUAI DES REVES</v>
          </cell>
          <cell r="L22">
            <v>27</v>
          </cell>
          <cell r="N22">
            <v>4861918.79</v>
          </cell>
          <cell r="O22">
            <v>3160247.2135000001</v>
          </cell>
          <cell r="R22">
            <v>1701671.5765</v>
          </cell>
          <cell r="T22">
            <v>40179</v>
          </cell>
          <cell r="BG22">
            <v>40604.833333333336</v>
          </cell>
        </row>
        <row r="23">
          <cell r="H23" t="str">
            <v>LES DIPLOMES D'ANJOU</v>
          </cell>
          <cell r="L23">
            <v>31</v>
          </cell>
          <cell r="N23">
            <v>5685976.3300000001</v>
          </cell>
          <cell r="O23">
            <v>3695884.6145000001</v>
          </cell>
          <cell r="R23">
            <v>1990091.7154999999</v>
          </cell>
          <cell r="T23">
            <v>40179</v>
          </cell>
          <cell r="BG23">
            <v>40635.25</v>
          </cell>
        </row>
        <row r="24">
          <cell r="H24" t="str">
            <v>DOMAINE DES VAVANGUES 1</v>
          </cell>
          <cell r="L24">
            <v>19</v>
          </cell>
          <cell r="N24">
            <v>3438183.1</v>
          </cell>
          <cell r="O24">
            <v>2234819.0150000001</v>
          </cell>
          <cell r="R24">
            <v>1203364.085</v>
          </cell>
          <cell r="T24">
            <v>40179</v>
          </cell>
          <cell r="BG24">
            <v>40604.833333333336</v>
          </cell>
        </row>
        <row r="25">
          <cell r="H25" t="str">
            <v>DOMAINE DES VAVANGUES 2</v>
          </cell>
          <cell r="L25">
            <v>42</v>
          </cell>
          <cell r="N25">
            <v>8558022</v>
          </cell>
          <cell r="O25">
            <v>5562714.2999999998</v>
          </cell>
          <cell r="R25">
            <v>2995307.6999999997</v>
          </cell>
          <cell r="T25">
            <v>40179</v>
          </cell>
          <cell r="BG25">
            <v>40604.833333333336</v>
          </cell>
        </row>
        <row r="26">
          <cell r="H26" t="str">
            <v>LE GALABERT</v>
          </cell>
          <cell r="L26">
            <v>14</v>
          </cell>
          <cell r="N26">
            <v>2401085</v>
          </cell>
          <cell r="O26">
            <v>1560705.25</v>
          </cell>
          <cell r="R26">
            <v>840379.75</v>
          </cell>
          <cell r="T26">
            <v>40179</v>
          </cell>
          <cell r="BG26">
            <v>40540.958333333336</v>
          </cell>
        </row>
        <row r="27">
          <cell r="H27" t="str">
            <v>CLOS DES VACOAS</v>
          </cell>
          <cell r="L27">
            <v>24</v>
          </cell>
          <cell r="N27">
            <v>3747070</v>
          </cell>
          <cell r="O27">
            <v>2435595.5</v>
          </cell>
          <cell r="R27">
            <v>1311474.5</v>
          </cell>
          <cell r="T27">
            <v>40179</v>
          </cell>
          <cell r="BG27">
            <v>40540.958333333336</v>
          </cell>
        </row>
        <row r="28">
          <cell r="H28" t="str">
            <v>LES VILLAS DE LA PEPINIERE</v>
          </cell>
          <cell r="L28">
            <v>23</v>
          </cell>
          <cell r="N28">
            <v>5368768</v>
          </cell>
          <cell r="O28">
            <v>3489699.2</v>
          </cell>
          <cell r="R28">
            <v>1879068.7999999998</v>
          </cell>
          <cell r="T28">
            <v>40179</v>
          </cell>
          <cell r="BG28">
            <v>40540.958333333336</v>
          </cell>
        </row>
        <row r="29">
          <cell r="H29" t="str">
            <v>LES VILLAS FREMICOURT</v>
          </cell>
          <cell r="L29">
            <v>23</v>
          </cell>
          <cell r="N29">
            <v>4464302</v>
          </cell>
          <cell r="O29">
            <v>2901796.3000000003</v>
          </cell>
          <cell r="R29">
            <v>1562505.7</v>
          </cell>
          <cell r="T29">
            <v>40179</v>
          </cell>
          <cell r="BG29">
            <v>40540.958333333336</v>
          </cell>
        </row>
        <row r="30">
          <cell r="H30" t="str">
            <v>THUYAS</v>
          </cell>
          <cell r="L30">
            <v>31</v>
          </cell>
          <cell r="N30">
            <v>6511618</v>
          </cell>
          <cell r="O30">
            <v>4232551.7</v>
          </cell>
          <cell r="R30">
            <v>2279066.2999999998</v>
          </cell>
          <cell r="T30">
            <v>40179</v>
          </cell>
          <cell r="BG30">
            <v>40540.958333333336</v>
          </cell>
        </row>
        <row r="31">
          <cell r="H31" t="str">
            <v>SAINT ODILON</v>
          </cell>
          <cell r="L31">
            <v>25</v>
          </cell>
          <cell r="N31">
            <v>3741807</v>
          </cell>
          <cell r="O31">
            <v>2432174.5500000003</v>
          </cell>
          <cell r="R31">
            <v>1309632.45</v>
          </cell>
          <cell r="T31">
            <v>40179</v>
          </cell>
          <cell r="BG31">
            <v>40540.958333333336</v>
          </cell>
        </row>
        <row r="32">
          <cell r="H32" t="str">
            <v>CLOS DES CAMPHRIERS</v>
          </cell>
          <cell r="L32">
            <v>21</v>
          </cell>
          <cell r="N32">
            <v>4282237.3600000003</v>
          </cell>
          <cell r="O32">
            <v>2783454.2840000005</v>
          </cell>
          <cell r="R32">
            <v>1498783.0760000001</v>
          </cell>
          <cell r="T32">
            <v>40179</v>
          </cell>
          <cell r="BG32">
            <v>40540.958333333336</v>
          </cell>
        </row>
        <row r="33">
          <cell r="H33" t="str">
            <v>LE JUGE</v>
          </cell>
          <cell r="L33">
            <v>12</v>
          </cell>
          <cell r="N33">
            <v>2728474.46</v>
          </cell>
          <cell r="O33">
            <v>1773508.399</v>
          </cell>
          <cell r="R33">
            <v>954966.06099999987</v>
          </cell>
          <cell r="T33">
            <v>40179</v>
          </cell>
          <cell r="BG33">
            <v>40540.958333333336</v>
          </cell>
        </row>
        <row r="34">
          <cell r="H34" t="str">
            <v>LE COLOSSE</v>
          </cell>
          <cell r="L34">
            <v>20</v>
          </cell>
          <cell r="N34">
            <v>2940735</v>
          </cell>
          <cell r="O34">
            <v>1911477.75</v>
          </cell>
          <cell r="R34">
            <v>1029257.2499999999</v>
          </cell>
          <cell r="T34">
            <v>40179</v>
          </cell>
          <cell r="BG34">
            <v>40540.958333333336</v>
          </cell>
        </row>
        <row r="35">
          <cell r="H35" t="str">
            <v>SOLENE</v>
          </cell>
          <cell r="L35">
            <v>26</v>
          </cell>
          <cell r="N35">
            <v>4274687</v>
          </cell>
          <cell r="O35">
            <v>2778546.5500000003</v>
          </cell>
          <cell r="R35">
            <v>1496140.45</v>
          </cell>
          <cell r="T35">
            <v>40179</v>
          </cell>
          <cell r="BG35">
            <v>40540.958333333336</v>
          </cell>
        </row>
        <row r="36">
          <cell r="H36" t="str">
            <v>JULIETTE</v>
          </cell>
          <cell r="L36">
            <v>60</v>
          </cell>
          <cell r="N36">
            <v>9054376</v>
          </cell>
          <cell r="O36">
            <v>5885344.4000000004</v>
          </cell>
          <cell r="R36">
            <v>3169031.5999999996</v>
          </cell>
          <cell r="T36">
            <v>40360</v>
          </cell>
          <cell r="BG36">
            <v>40816.25</v>
          </cell>
        </row>
        <row r="37">
          <cell r="H37" t="str">
            <v xml:space="preserve">MATISSE </v>
          </cell>
          <cell r="L37">
            <v>90</v>
          </cell>
          <cell r="N37">
            <v>15637765.531914894</v>
          </cell>
          <cell r="O37">
            <v>10164547.595744681</v>
          </cell>
          <cell r="R37">
            <v>5473217.936170212</v>
          </cell>
          <cell r="T37">
            <v>40360</v>
          </cell>
          <cell r="BG37">
            <v>40968.333333333336</v>
          </cell>
        </row>
        <row r="38">
          <cell r="H38" t="str">
            <v xml:space="preserve">MATISSE </v>
          </cell>
          <cell r="L38">
            <v>51</v>
          </cell>
          <cell r="N38">
            <v>8861400.4680851065</v>
          </cell>
          <cell r="O38">
            <v>5759910.3042553198</v>
          </cell>
          <cell r="R38">
            <v>3101490.1638297872</v>
          </cell>
          <cell r="T38">
            <v>40360</v>
          </cell>
          <cell r="BG38">
            <v>40968.333333333336</v>
          </cell>
        </row>
        <row r="39">
          <cell r="H39" t="str">
            <v>FERMONTE</v>
          </cell>
          <cell r="L39">
            <v>49</v>
          </cell>
          <cell r="N39">
            <v>9362391</v>
          </cell>
          <cell r="O39">
            <v>6085554.1500000004</v>
          </cell>
          <cell r="R39">
            <v>3276836.8499999996</v>
          </cell>
          <cell r="T39">
            <v>40360</v>
          </cell>
          <cell r="BG39">
            <v>40816.25</v>
          </cell>
        </row>
        <row r="40">
          <cell r="H40" t="str">
            <v xml:space="preserve">FREGATE 1 </v>
          </cell>
          <cell r="L40">
            <v>56</v>
          </cell>
          <cell r="N40">
            <v>9627001</v>
          </cell>
          <cell r="O40">
            <v>6257550.6500000004</v>
          </cell>
          <cell r="R40">
            <v>3369450.3499999996</v>
          </cell>
          <cell r="T40">
            <v>40360</v>
          </cell>
          <cell r="BG40">
            <v>40816.25</v>
          </cell>
        </row>
        <row r="41">
          <cell r="H41" t="str">
            <v>FREGATE 2</v>
          </cell>
          <cell r="L41">
            <v>58</v>
          </cell>
          <cell r="N41">
            <v>9530000</v>
          </cell>
          <cell r="O41">
            <v>6194500</v>
          </cell>
          <cell r="R41">
            <v>3335500</v>
          </cell>
          <cell r="T41">
            <v>40360</v>
          </cell>
          <cell r="BG41">
            <v>40816.25</v>
          </cell>
        </row>
        <row r="42">
          <cell r="H42" t="str">
            <v>ALIZEA</v>
          </cell>
          <cell r="L42">
            <v>31</v>
          </cell>
          <cell r="N42">
            <v>5626221</v>
          </cell>
          <cell r="O42">
            <v>3657043.65</v>
          </cell>
          <cell r="R42">
            <v>1969177.3499999999</v>
          </cell>
          <cell r="T42">
            <v>40360</v>
          </cell>
          <cell r="BG42">
            <v>40816.25</v>
          </cell>
        </row>
        <row r="43">
          <cell r="H43" t="str">
            <v>LE PHOENIX</v>
          </cell>
          <cell r="L43">
            <v>20</v>
          </cell>
          <cell r="N43">
            <v>5661067</v>
          </cell>
          <cell r="O43">
            <v>3679693.5500000003</v>
          </cell>
          <cell r="R43">
            <v>1981373.45</v>
          </cell>
          <cell r="T43">
            <v>40360</v>
          </cell>
          <cell r="BG43">
            <v>40816.25</v>
          </cell>
        </row>
        <row r="44">
          <cell r="H44" t="str">
            <v>ROSSAN</v>
          </cell>
          <cell r="L44">
            <v>95</v>
          </cell>
          <cell r="N44">
            <v>15773750</v>
          </cell>
          <cell r="O44">
            <v>10252937.5</v>
          </cell>
          <cell r="R44">
            <v>5520812.5</v>
          </cell>
          <cell r="T44">
            <v>40360</v>
          </cell>
          <cell r="BG44">
            <v>40816.25</v>
          </cell>
        </row>
        <row r="45">
          <cell r="H45" t="str">
            <v>CHAMBLY</v>
          </cell>
          <cell r="L45">
            <v>91</v>
          </cell>
          <cell r="N45">
            <v>14836153</v>
          </cell>
          <cell r="O45">
            <v>9643499.4500000011</v>
          </cell>
          <cell r="R45">
            <v>5192653.55</v>
          </cell>
          <cell r="T45">
            <v>40360</v>
          </cell>
          <cell r="BG45">
            <v>40816.25</v>
          </cell>
        </row>
        <row r="46">
          <cell r="H46" t="str">
            <v>INDIANNA</v>
          </cell>
          <cell r="L46">
            <v>23</v>
          </cell>
          <cell r="N46">
            <v>4230492</v>
          </cell>
          <cell r="O46">
            <v>2749819.8000000003</v>
          </cell>
          <cell r="R46">
            <v>1480672.2</v>
          </cell>
          <cell r="T46">
            <v>40360</v>
          </cell>
          <cell r="BG46">
            <v>40816.25</v>
          </cell>
        </row>
        <row r="47">
          <cell r="H47" t="str">
            <v>BADAMIERS</v>
          </cell>
          <cell r="L47">
            <v>32</v>
          </cell>
          <cell r="N47">
            <v>4854324</v>
          </cell>
          <cell r="O47">
            <v>3155310.6</v>
          </cell>
          <cell r="R47">
            <v>1699013.4</v>
          </cell>
          <cell r="T47">
            <v>40360</v>
          </cell>
          <cell r="BG47">
            <v>40816.25</v>
          </cell>
        </row>
        <row r="48">
          <cell r="H48" t="str">
            <v>LE CLOS DES MANGUIERS</v>
          </cell>
          <cell r="L48">
            <v>27</v>
          </cell>
          <cell r="N48">
            <v>4849250</v>
          </cell>
          <cell r="O48">
            <v>3152012.5</v>
          </cell>
          <cell r="R48">
            <v>1697237.5</v>
          </cell>
          <cell r="T48">
            <v>40360</v>
          </cell>
          <cell r="BG48">
            <v>40816.25</v>
          </cell>
        </row>
        <row r="49">
          <cell r="H49" t="str">
            <v>MARINE</v>
          </cell>
          <cell r="L49">
            <v>10</v>
          </cell>
          <cell r="N49">
            <v>1712054</v>
          </cell>
          <cell r="O49">
            <v>1112835.1000000001</v>
          </cell>
          <cell r="R49">
            <v>599218.89999999991</v>
          </cell>
          <cell r="T49">
            <v>40360</v>
          </cell>
          <cell r="BG49">
            <v>40816.25</v>
          </cell>
        </row>
        <row r="50">
          <cell r="H50" t="str">
            <v>LE DOMAINE DES CHENES</v>
          </cell>
          <cell r="L50">
            <v>12</v>
          </cell>
          <cell r="N50">
            <v>2357489</v>
          </cell>
          <cell r="O50">
            <v>1532367.85</v>
          </cell>
          <cell r="R50">
            <v>825121.14999999991</v>
          </cell>
          <cell r="T50">
            <v>40360</v>
          </cell>
          <cell r="BG50">
            <v>40360</v>
          </cell>
        </row>
        <row r="51">
          <cell r="H51" t="str">
            <v>SAINTE AGATHE</v>
          </cell>
          <cell r="L51">
            <v>18</v>
          </cell>
          <cell r="N51">
            <v>3431048</v>
          </cell>
          <cell r="O51">
            <v>2230181.2000000002</v>
          </cell>
          <cell r="R51">
            <v>1200866.7999999998</v>
          </cell>
          <cell r="T51">
            <v>40360</v>
          </cell>
          <cell r="BG51">
            <v>40816.25</v>
          </cell>
        </row>
        <row r="52">
          <cell r="H52" t="str">
            <v>SALVETERRE</v>
          </cell>
          <cell r="L52">
            <v>9</v>
          </cell>
          <cell r="N52">
            <v>1425316</v>
          </cell>
          <cell r="O52">
            <v>926455.4</v>
          </cell>
          <cell r="R52">
            <v>498860.6</v>
          </cell>
          <cell r="T52">
            <v>40452</v>
          </cell>
          <cell r="BG52">
            <v>40817</v>
          </cell>
        </row>
        <row r="53">
          <cell r="H53" t="str">
            <v>MARINA</v>
          </cell>
          <cell r="L53">
            <v>114</v>
          </cell>
          <cell r="N53">
            <v>20323949</v>
          </cell>
          <cell r="O53">
            <v>13210566.85</v>
          </cell>
          <cell r="R53">
            <v>7113382.1499999994</v>
          </cell>
          <cell r="T53">
            <v>40452</v>
          </cell>
          <cell r="BG53">
            <v>40999.5</v>
          </cell>
        </row>
        <row r="54">
          <cell r="H54" t="str">
            <v>SAPOTILLES</v>
          </cell>
          <cell r="L54">
            <v>14</v>
          </cell>
          <cell r="N54">
            <v>2385650</v>
          </cell>
          <cell r="O54">
            <v>1550672.5</v>
          </cell>
          <cell r="R54">
            <v>834977.5</v>
          </cell>
          <cell r="T54">
            <v>40452</v>
          </cell>
          <cell r="BG54">
            <v>40817</v>
          </cell>
        </row>
        <row r="55">
          <cell r="H55" t="str">
            <v>TAMARINA</v>
          </cell>
          <cell r="L55">
            <v>88</v>
          </cell>
          <cell r="N55">
            <v>14500000</v>
          </cell>
          <cell r="O55">
            <v>9425000</v>
          </cell>
          <cell r="R55">
            <v>5075000</v>
          </cell>
          <cell r="T55">
            <v>40452</v>
          </cell>
          <cell r="BG55">
            <v>40999.5</v>
          </cell>
        </row>
        <row r="56">
          <cell r="H56" t="str">
            <v>RAISSA</v>
          </cell>
          <cell r="L56">
            <v>25</v>
          </cell>
          <cell r="N56">
            <v>3478000</v>
          </cell>
          <cell r="O56">
            <v>2260700</v>
          </cell>
          <cell r="R56">
            <v>1217300</v>
          </cell>
          <cell r="T56">
            <v>40452</v>
          </cell>
          <cell r="BG56">
            <v>40877.833333333336</v>
          </cell>
        </row>
        <row r="57">
          <cell r="H57" t="str">
            <v>SAMIYA</v>
          </cell>
          <cell r="L57">
            <v>13</v>
          </cell>
          <cell r="N57">
            <v>2150400</v>
          </cell>
          <cell r="O57">
            <v>1397760</v>
          </cell>
          <cell r="R57">
            <v>752640</v>
          </cell>
          <cell r="T57">
            <v>40452</v>
          </cell>
          <cell r="BG57">
            <v>40817</v>
          </cell>
        </row>
        <row r="58">
          <cell r="H58" t="str">
            <v>LIANE PAPILLON</v>
          </cell>
          <cell r="L58">
            <v>12</v>
          </cell>
          <cell r="N58">
            <v>1694814</v>
          </cell>
          <cell r="O58">
            <v>1101629.1000000001</v>
          </cell>
          <cell r="R58">
            <v>593184.89999999991</v>
          </cell>
          <cell r="T58">
            <v>40452</v>
          </cell>
          <cell r="BG58">
            <v>40817</v>
          </cell>
        </row>
        <row r="59">
          <cell r="H59" t="str">
            <v>SAINT MAXIME</v>
          </cell>
          <cell r="L59">
            <v>34</v>
          </cell>
          <cell r="N59">
            <v>6396442.4800000004</v>
          </cell>
          <cell r="O59">
            <v>4157687.6120000007</v>
          </cell>
          <cell r="R59">
            <v>2238754.8679999998</v>
          </cell>
          <cell r="T59">
            <v>40452</v>
          </cell>
          <cell r="BG59">
            <v>40938.666666666664</v>
          </cell>
        </row>
        <row r="60">
          <cell r="H60" t="str">
            <v>ENTREE DE VILLE</v>
          </cell>
          <cell r="L60">
            <v>39</v>
          </cell>
          <cell r="N60">
            <v>6178200</v>
          </cell>
          <cell r="O60">
            <v>4015830</v>
          </cell>
          <cell r="R60">
            <v>2162370</v>
          </cell>
          <cell r="T60">
            <v>40452</v>
          </cell>
          <cell r="BG60">
            <v>40938.666666666664</v>
          </cell>
        </row>
        <row r="61">
          <cell r="H61" t="str">
            <v>Résidence ETANG DU GOL</v>
          </cell>
          <cell r="L61">
            <v>99</v>
          </cell>
          <cell r="N61">
            <v>18377434</v>
          </cell>
          <cell r="O61">
            <v>11945332.1</v>
          </cell>
          <cell r="R61">
            <v>6432101.8999999994</v>
          </cell>
          <cell r="T61">
            <v>40452</v>
          </cell>
          <cell r="BG61">
            <v>40999.5</v>
          </cell>
        </row>
        <row r="62">
          <cell r="H62" t="str">
            <v>PETIT FRERE</v>
          </cell>
          <cell r="L62">
            <v>25</v>
          </cell>
          <cell r="N62">
            <v>4237244</v>
          </cell>
          <cell r="O62">
            <v>2754208.6</v>
          </cell>
          <cell r="R62">
            <v>1483035.4</v>
          </cell>
          <cell r="T62">
            <v>40452</v>
          </cell>
          <cell r="BG62">
            <v>40847.416666666664</v>
          </cell>
        </row>
        <row r="63">
          <cell r="H63" t="str">
            <v>DOMAINE MONTVERT</v>
          </cell>
          <cell r="L63">
            <v>10</v>
          </cell>
          <cell r="N63">
            <v>1988825</v>
          </cell>
          <cell r="O63">
            <v>1292736.25</v>
          </cell>
          <cell r="R63">
            <v>696088.75</v>
          </cell>
          <cell r="T63">
            <v>40452</v>
          </cell>
          <cell r="BG63">
            <v>40817</v>
          </cell>
        </row>
        <row r="64">
          <cell r="H64" t="str">
            <v>PK22</v>
          </cell>
          <cell r="L64">
            <v>23</v>
          </cell>
          <cell r="N64">
            <v>4467529</v>
          </cell>
          <cell r="O64">
            <v>2903893.85</v>
          </cell>
          <cell r="R64">
            <v>1563635.15</v>
          </cell>
          <cell r="T64">
            <v>40452</v>
          </cell>
          <cell r="BG64">
            <v>40877.833333333336</v>
          </cell>
        </row>
        <row r="65">
          <cell r="H65" t="str">
            <v>LE CAP</v>
          </cell>
          <cell r="L65">
            <v>12</v>
          </cell>
          <cell r="N65">
            <v>2240128.7400000002</v>
          </cell>
          <cell r="O65">
            <v>1456083.6810000001</v>
          </cell>
          <cell r="R65">
            <v>784045.05900000001</v>
          </cell>
          <cell r="T65">
            <v>40452</v>
          </cell>
          <cell r="BG65">
            <v>40817</v>
          </cell>
        </row>
      </sheetData>
    </sheetDataSet>
  </externalBook>
</externalLink>
</file>

<file path=xl/externalLinks/externalLink3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uv"/>
      <sheetName val="Informations"/>
      <sheetName val="Surface"/>
      <sheetName val="CAO"/>
      <sheetName val="Bilan"/>
      <sheetName val="montage défiscalisation"/>
      <sheetName val="DDE et plan financement"/>
      <sheetName val="Crédit vendeur et cdt bail"/>
      <sheetName val="Trésorerie immeuble"/>
      <sheetName val="SNC"/>
      <sheetName val="gain fiscal et rentabilité"/>
      <sheetName val="Paramètres"/>
      <sheetName val="Aide"/>
      <sheetName val="Bloc (2)"/>
    </sheetNames>
    <sheetDataSet>
      <sheetData sheetId="0"/>
      <sheetData sheetId="1">
        <row r="9">
          <cell r="C9" t="str">
            <v>opération test defiscalisation</v>
          </cell>
        </row>
      </sheetData>
      <sheetData sheetId="2">
        <row r="60">
          <cell r="D60">
            <v>60</v>
          </cell>
        </row>
      </sheetData>
      <sheetData sheetId="3">
        <row r="8">
          <cell r="G8">
            <v>0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>
        <row r="24">
          <cell r="D24">
            <v>3.0000000000000001E-3</v>
          </cell>
        </row>
      </sheetData>
      <sheetData sheetId="12"/>
      <sheetData sheetId="13"/>
    </sheetDataSet>
  </externalBook>
</externalLink>
</file>

<file path=xl/externalLinks/externalLink3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ommaire"/>
      <sheetName val="Par. com."/>
      <sheetName val="Par. glob."/>
      <sheetName val="Par. prêt"/>
      <sheetName val="Par. Op."/>
      <sheetName val="Surf."/>
      <sheetName val="Prix rev.CE"/>
      <sheetName val="Defisc"/>
      <sheetName val="Prés."/>
      <sheetName val="CA"/>
      <sheetName val="Financeurs"/>
      <sheetName val="DDE - B simpl."/>
      <sheetName val="DDE - B détail."/>
      <sheetName val="DDE - Attest."/>
      <sheetName val="DDE - Cont."/>
      <sheetName val="CEX - Recap"/>
      <sheetName val="CEX - Graph."/>
      <sheetName val="CEX - Résult."/>
      <sheetName val="ODSDataSheet"/>
      <sheetName val="ODSTempDataSheet"/>
    </sheetNames>
    <sheetDataSet>
      <sheetData sheetId="0" refreshError="1"/>
      <sheetData sheetId="1" refreshError="1"/>
      <sheetData sheetId="2" refreshError="1"/>
      <sheetData sheetId="3" refreshError="1"/>
      <sheetData sheetId="4">
        <row r="5">
          <cell r="F5" t="str">
            <v>WALLIS</v>
          </cell>
        </row>
        <row r="7">
          <cell r="F7">
            <v>9643</v>
          </cell>
        </row>
        <row r="28">
          <cell r="F28" t="str">
            <v>St-PIERRE</v>
          </cell>
        </row>
      </sheetData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</sheetDataSet>
  </externalBook>
</externalLink>
</file>

<file path=xl/externalLinks/externalLink4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rille souscription F CFP"/>
      <sheetName val="Budget PAR BATIMENT"/>
      <sheetName val="Budget avec frais"/>
      <sheetName val="Data"/>
      <sheetName val="Invest"/>
      <sheetName val="Loyers SCI"/>
      <sheetName val="SCI"/>
      <sheetName val="SCI bis"/>
      <sheetName val="Emprunts"/>
      <sheetName val="Emprunt Investisseurs"/>
      <sheetName val="Encours Gage espèces"/>
      <sheetName val="Rém Compte séquestre CPI"/>
      <sheetName val="Plans de Financement"/>
      <sheetName val="Schéma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</sheetDataSet>
  </externalBook>
</externalLink>
</file>

<file path=xl/externalLinks/externalLink4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ATA"/>
    </sheetNames>
    <sheetDataSet>
      <sheetData sheetId="0" refreshError="1"/>
    </sheetDataSet>
  </externalBook>
</externalLink>
</file>

<file path=xl/externalLinks/externalLink4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 opération"/>
    </sheetNames>
    <sheetDataSet>
      <sheetData sheetId="0" refreshError="1"/>
    </sheetDataSet>
  </externalBook>
</externalLink>
</file>

<file path=xl/externalLinks/externalLink4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YP"/>
      <sheetName val="dette SAS"/>
      <sheetName val="dette BNPP SA"/>
      <sheetName val="Inv"/>
      <sheetName val="Amortissement"/>
      <sheetName val="SAS"/>
      <sheetName val="BNP P SA"/>
      <sheetName val="Echéancier d'IS"/>
      <sheetName val="Conso"/>
      <sheetName val="Synthèse"/>
      <sheetName val="Graph1"/>
      <sheetName val="Sortie"/>
      <sheetName val="taux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externalLinks/externalLink4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ypothèses de calcul"/>
      <sheetName val="Compte d'exploitation SAS"/>
      <sheetName val="Trésoreries"/>
      <sheetName val="TRI SORTIE CDC 2021"/>
      <sheetName val="TRI SORTIE CDC 2026"/>
      <sheetName val="Déterminat° px revient siege SP"/>
      <sheetName val="Budget détaillé de l'opération"/>
      <sheetName val="Evolution des loyers 12 ans"/>
      <sheetName val="Prêt 15 ans siège"/>
      <sheetName val="Prêt 15 ans amgt SODEGIS"/>
      <sheetName val="intérêts préfi"/>
      <sheetName val="Calendrier"/>
      <sheetName val="Rém CC associés pd constr"/>
      <sheetName val="Feuil1"/>
      <sheetName val="Feuil2"/>
    </sheetNames>
    <sheetDataSet>
      <sheetData sheetId="0" refreshError="1"/>
      <sheetData sheetId="1" refreshError="1"/>
      <sheetData sheetId="2" refreshError="1"/>
      <sheetData sheetId="3">
        <row r="16">
          <cell r="C16">
            <v>-40000</v>
          </cell>
          <cell r="D16">
            <v>-284000</v>
          </cell>
          <cell r="E16">
            <v>-196000</v>
          </cell>
          <cell r="F16">
            <v>134304</v>
          </cell>
          <cell r="G16">
            <v>130728</v>
          </cell>
          <cell r="H16">
            <v>127152</v>
          </cell>
          <cell r="I16">
            <v>123576</v>
          </cell>
          <cell r="J16">
            <v>0</v>
          </cell>
          <cell r="K16">
            <v>192292.60707983031</v>
          </cell>
        </row>
      </sheetData>
      <sheetData sheetId="4">
        <row r="16">
          <cell r="C16">
            <v>-40000</v>
          </cell>
          <cell r="D16">
            <v>-284000</v>
          </cell>
          <cell r="E16">
            <v>-196000</v>
          </cell>
          <cell r="F16">
            <v>134304</v>
          </cell>
          <cell r="G16">
            <v>130728</v>
          </cell>
          <cell r="H16">
            <v>127152</v>
          </cell>
          <cell r="I16">
            <v>123576</v>
          </cell>
          <cell r="J16">
            <v>0</v>
          </cell>
          <cell r="K16">
            <v>2686.5172546642198</v>
          </cell>
          <cell r="L16">
            <v>0</v>
          </cell>
          <cell r="M16">
            <v>0</v>
          </cell>
          <cell r="N16">
            <v>0</v>
          </cell>
          <cell r="O16">
            <v>0</v>
          </cell>
          <cell r="P16">
            <v>278749.77569497761</v>
          </cell>
        </row>
      </sheetData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</sheetDataSet>
  </externalBook>
</externalLink>
</file>

<file path=xl/externalLinks/externalLink4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ix rev.CE"/>
      <sheetName val="Par. Op."/>
    </sheetNames>
    <sheetDataSet>
      <sheetData sheetId="0" refreshError="1"/>
      <sheetData sheetId="1" refreshError="1"/>
    </sheetDataSet>
  </externalBook>
</externalLink>
</file>

<file path=xl/externalLinks/externalLink4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\\S3E116\partage\Affaires\116 E"/>
      <sheetName val="A faire 116 C 3646"/>
      <sheetName val="\Users\nbl\AppData\Local\Micros"/>
    </sheetNames>
    <definedNames>
      <definedName name="Macro3"/>
    </definedNames>
    <sheetDataSet>
      <sheetData sheetId="0" refreshError="1"/>
      <sheetData sheetId="1" refreshError="1"/>
      <sheetData sheetId="2" refreshError="1"/>
    </sheetDataSet>
  </externalBook>
</externalLink>
</file>

<file path=xl/externalLinks/externalLink4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ilan FRAFU LLTS"/>
      <sheetName val="Bilan FRAFU"/>
      <sheetName val="Bilan FRAFU.xls"/>
      <sheetName val="\4 - Département Opération et P"/>
    </sheetNames>
    <definedNames>
      <definedName name="Macro3" refersTo="#REF!"/>
      <definedName name="Macro4" refersTo="#REF!"/>
    </definedNames>
    <sheetDataSet>
      <sheetData sheetId="0" refreshError="1"/>
      <sheetData sheetId="1" refreshError="1"/>
      <sheetData sheetId="2" refreshError="1"/>
      <sheetData sheetId="3" refreshError="1"/>
    </sheetDataSet>
  </externalBook>
</externalLink>
</file>

<file path=xl/externalLinks/externalLink4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ypothèses"/>
      <sheetName val="Financement+loyers"/>
      <sheetName val="tréso"/>
      <sheetName val="Amortissement"/>
      <sheetName val="Amortissement gf"/>
      <sheetName val="Compta - RBT"/>
      <sheetName val="Echéancier d'IS"/>
      <sheetName val="Courbe"/>
    </sheetNames>
    <sheetDataSet>
      <sheetData sheetId="0"/>
      <sheetData sheetId="1"/>
      <sheetData sheetId="2"/>
      <sheetData sheetId="3"/>
      <sheetData sheetId="4"/>
      <sheetData sheetId="5">
        <row r="9">
          <cell r="B9">
            <v>1000000</v>
          </cell>
        </row>
      </sheetData>
      <sheetData sheetId="6"/>
      <sheetData sheetId="7"/>
    </sheetDataSet>
  </externalBook>
</externalLink>
</file>

<file path=xl/externalLinks/externalLink4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odèle financier"/>
      <sheetName val="Plan de financement"/>
      <sheetName val="Prix de revient"/>
      <sheetName val="Plan de trésorerie"/>
      <sheetName val="PRD"/>
      <sheetName val="Préfinancement"/>
      <sheetName val="GER"/>
      <sheetName val="Equipements"/>
      <sheetName val="Remplacement de composants"/>
      <sheetName val="LOYERS"/>
      <sheetName val="PLS 40 ans Tr"/>
      <sheetName val="Impôts et taxes"/>
      <sheetName val="Assurance"/>
      <sheetName val="Amortissements"/>
      <sheetName val="Reprise subvent°"/>
    </sheetNames>
    <sheetDataSet>
      <sheetData sheetId="0">
        <row r="6">
          <cell r="K6">
            <v>131850.00885142857</v>
          </cell>
        </row>
        <row r="14">
          <cell r="E14">
            <v>4050.95</v>
          </cell>
        </row>
      </sheetData>
      <sheetData sheetId="1">
        <row r="3">
          <cell r="H3">
            <v>2455687.7200000002</v>
          </cell>
        </row>
        <row r="4">
          <cell r="H4">
            <v>3306813.6103789355</v>
          </cell>
        </row>
        <row r="5">
          <cell r="D5">
            <v>580828.00475000008</v>
          </cell>
          <cell r="F5">
            <v>288125.06663356285</v>
          </cell>
        </row>
        <row r="6">
          <cell r="D6">
            <v>4646624.0380000006</v>
          </cell>
          <cell r="F6">
            <v>2305000.5330685028</v>
          </cell>
        </row>
        <row r="7">
          <cell r="D7">
            <v>1161656.0095000002</v>
          </cell>
          <cell r="F7">
            <v>576250.1332671257</v>
          </cell>
        </row>
        <row r="8">
          <cell r="D8">
            <v>580828.00475000008</v>
          </cell>
          <cell r="F8">
            <v>288125.06663356285</v>
          </cell>
        </row>
        <row r="10">
          <cell r="D10">
            <v>580828.00475000008</v>
          </cell>
          <cell r="F10">
            <v>288125.06663356285</v>
          </cell>
          <cell r="H10">
            <v>5854058.7599999998</v>
          </cell>
        </row>
        <row r="11">
          <cell r="D11">
            <v>464662.40380000003</v>
          </cell>
          <cell r="F11">
            <v>230500.05330685028</v>
          </cell>
        </row>
        <row r="12">
          <cell r="D12">
            <v>232331.20190000001</v>
          </cell>
          <cell r="F12">
            <v>115250.02665342514</v>
          </cell>
        </row>
        <row r="13">
          <cell r="D13">
            <v>464662.40380000003</v>
          </cell>
          <cell r="F13">
            <v>230500.05330685028</v>
          </cell>
        </row>
        <row r="14">
          <cell r="D14">
            <v>232331.20190000001</v>
          </cell>
          <cell r="F14">
            <v>115250.02665342514</v>
          </cell>
        </row>
        <row r="15">
          <cell r="D15">
            <v>116165.60095000001</v>
          </cell>
          <cell r="F15">
            <v>57625.013326712571</v>
          </cell>
        </row>
        <row r="16">
          <cell r="D16">
            <v>1742484.01425</v>
          </cell>
          <cell r="F16">
            <v>864375.19990068849</v>
          </cell>
        </row>
        <row r="17">
          <cell r="D17">
            <v>580828.00475000008</v>
          </cell>
          <cell r="F17">
            <v>288125.06663356285</v>
          </cell>
        </row>
        <row r="18">
          <cell r="D18">
            <v>232331.20190000001</v>
          </cell>
          <cell r="F18">
            <v>115250.02665342514</v>
          </cell>
        </row>
        <row r="22">
          <cell r="D22">
            <v>11616560.095000003</v>
          </cell>
        </row>
      </sheetData>
      <sheetData sheetId="2">
        <row r="2">
          <cell r="D2">
            <v>10739152.095000001</v>
          </cell>
        </row>
        <row r="3">
          <cell r="D3">
            <v>364819</v>
          </cell>
          <cell r="I3">
            <v>4646624.0380000006</v>
          </cell>
        </row>
        <row r="4">
          <cell r="D4">
            <v>290589</v>
          </cell>
          <cell r="I4">
            <v>1161656.0095000002</v>
          </cell>
        </row>
        <row r="5">
          <cell r="D5">
            <v>222000</v>
          </cell>
          <cell r="I5">
            <v>580828.00475000008</v>
          </cell>
        </row>
        <row r="6">
          <cell r="I6">
            <v>580828.00475000008</v>
          </cell>
        </row>
        <row r="7">
          <cell r="I7">
            <v>580828.00475000008</v>
          </cell>
        </row>
        <row r="8">
          <cell r="D8">
            <v>11616560.095000001</v>
          </cell>
          <cell r="I8">
            <v>464662.40380000003</v>
          </cell>
        </row>
        <row r="9">
          <cell r="I9">
            <v>232331.20190000001</v>
          </cell>
        </row>
        <row r="10">
          <cell r="D10">
            <v>2455687.7200000002</v>
          </cell>
          <cell r="I10">
            <v>464662.40380000003</v>
          </cell>
        </row>
        <row r="12">
          <cell r="D12">
            <v>3306813.6103789355</v>
          </cell>
          <cell r="I12">
            <v>232331.20190000001</v>
          </cell>
        </row>
        <row r="13">
          <cell r="D13">
            <v>5854058.7599999998</v>
          </cell>
          <cell r="I13">
            <v>116165.60095000001</v>
          </cell>
        </row>
        <row r="14">
          <cell r="I14">
            <v>1742484.01425</v>
          </cell>
        </row>
        <row r="15">
          <cell r="I15">
            <v>580828.00475000008</v>
          </cell>
        </row>
        <row r="16">
          <cell r="I16">
            <v>232331.20190000001</v>
          </cell>
        </row>
      </sheetData>
      <sheetData sheetId="3">
        <row r="2">
          <cell r="C2">
            <v>1610872.8142500001</v>
          </cell>
          <cell r="G2">
            <v>182409.5</v>
          </cell>
          <cell r="K2">
            <v>2015282</v>
          </cell>
        </row>
        <row r="3">
          <cell r="C3">
            <v>859132.16760000004</v>
          </cell>
          <cell r="K3">
            <v>0</v>
          </cell>
          <cell r="N3">
            <v>1227843.8600000001</v>
          </cell>
          <cell r="Q3">
            <v>1653406.8051894677</v>
          </cell>
        </row>
        <row r="4">
          <cell r="C4">
            <v>1288698.2514</v>
          </cell>
          <cell r="G4">
            <v>36481.9</v>
          </cell>
        </row>
        <row r="5">
          <cell r="C5">
            <v>1073915.2095000001</v>
          </cell>
          <cell r="G5">
            <v>43778.28</v>
          </cell>
          <cell r="J5">
            <v>43191</v>
          </cell>
          <cell r="K5">
            <v>1325181</v>
          </cell>
        </row>
        <row r="6">
          <cell r="C6">
            <v>1073915.2095000001</v>
          </cell>
          <cell r="G6">
            <v>18240.95</v>
          </cell>
          <cell r="J6">
            <v>43221</v>
          </cell>
          <cell r="K6">
            <v>982005</v>
          </cell>
        </row>
        <row r="7">
          <cell r="C7">
            <v>1610872.8142500001</v>
          </cell>
          <cell r="G7">
            <v>21889.14</v>
          </cell>
          <cell r="J7">
            <v>43313</v>
          </cell>
          <cell r="K7">
            <v>0</v>
          </cell>
          <cell r="N7">
            <v>613921.93000000005</v>
          </cell>
          <cell r="Q7">
            <v>826703.40259473387</v>
          </cell>
        </row>
        <row r="8">
          <cell r="C8">
            <v>1073915.2095000001</v>
          </cell>
          <cell r="G8">
            <v>21889.14</v>
          </cell>
          <cell r="J8">
            <v>43344</v>
          </cell>
          <cell r="K8">
            <v>672459</v>
          </cell>
          <cell r="L8">
            <v>962863</v>
          </cell>
        </row>
        <row r="9">
          <cell r="C9">
            <v>536957.60475000006</v>
          </cell>
          <cell r="J9">
            <v>43374</v>
          </cell>
          <cell r="K9">
            <v>0</v>
          </cell>
          <cell r="L9">
            <v>1093245</v>
          </cell>
          <cell r="N9">
            <v>613921.93000000005</v>
          </cell>
          <cell r="Q9">
            <v>826703.40259473387</v>
          </cell>
        </row>
        <row r="10">
          <cell r="C10">
            <v>536957.60475000006</v>
          </cell>
          <cell r="G10">
            <v>14592.76</v>
          </cell>
          <cell r="J10">
            <v>43466</v>
          </cell>
          <cell r="K10">
            <v>0</v>
          </cell>
          <cell r="L10">
            <v>536957</v>
          </cell>
        </row>
        <row r="11">
          <cell r="C11">
            <v>536957.60475000006</v>
          </cell>
          <cell r="G11">
            <v>21889.14</v>
          </cell>
          <cell r="J11">
            <v>43525</v>
          </cell>
          <cell r="K11">
            <v>0</v>
          </cell>
          <cell r="L11">
            <v>496476</v>
          </cell>
        </row>
        <row r="12">
          <cell r="C12">
            <v>536957.60475000006</v>
          </cell>
          <cell r="G12">
            <v>3648.19</v>
          </cell>
          <cell r="J12">
            <v>43586</v>
          </cell>
          <cell r="K12">
            <v>0</v>
          </cell>
          <cell r="L12">
            <v>0</v>
          </cell>
        </row>
        <row r="13">
          <cell r="J13">
            <v>43617</v>
          </cell>
          <cell r="L13">
            <v>217273</v>
          </cell>
        </row>
        <row r="14">
          <cell r="J14">
            <v>43678</v>
          </cell>
        </row>
        <row r="15">
          <cell r="J15">
            <v>43709</v>
          </cell>
        </row>
        <row r="16">
          <cell r="J16">
            <v>44044</v>
          </cell>
        </row>
      </sheetData>
      <sheetData sheetId="4">
        <row r="15">
          <cell r="N15">
            <v>43191</v>
          </cell>
          <cell r="O15">
            <v>43221</v>
          </cell>
          <cell r="R15">
            <v>43313</v>
          </cell>
          <cell r="S15">
            <v>43344</v>
          </cell>
          <cell r="T15">
            <v>43374</v>
          </cell>
          <cell r="Y15">
            <v>43525</v>
          </cell>
          <cell r="AA15">
            <v>43586</v>
          </cell>
          <cell r="AD15">
            <v>43678</v>
          </cell>
          <cell r="AE15">
            <v>43709</v>
          </cell>
          <cell r="AP15">
            <v>44044</v>
          </cell>
        </row>
        <row r="17">
          <cell r="I17">
            <v>2015282</v>
          </cell>
          <cell r="L17">
            <v>859132</v>
          </cell>
          <cell r="N17">
            <v>1325181</v>
          </cell>
          <cell r="O17">
            <v>982005</v>
          </cell>
          <cell r="S17">
            <v>672459</v>
          </cell>
        </row>
        <row r="18">
          <cell r="S18">
            <v>962863</v>
          </cell>
          <cell r="T18">
            <v>1093245</v>
          </cell>
          <cell r="W18">
            <v>536957</v>
          </cell>
          <cell r="Y18">
            <v>496476</v>
          </cell>
          <cell r="AB18">
            <v>217273</v>
          </cell>
          <cell r="AD18">
            <v>-2480111</v>
          </cell>
          <cell r="AP18">
            <v>-826703</v>
          </cell>
        </row>
      </sheetData>
      <sheetData sheetId="5"/>
      <sheetData sheetId="6">
        <row r="6">
          <cell r="AK6">
            <v>0</v>
          </cell>
        </row>
        <row r="7">
          <cell r="AK7">
            <v>0</v>
          </cell>
        </row>
        <row r="8">
          <cell r="AK8">
            <v>0</v>
          </cell>
        </row>
        <row r="9">
          <cell r="AK9">
            <v>0</v>
          </cell>
        </row>
        <row r="10">
          <cell r="AK10">
            <v>0</v>
          </cell>
        </row>
        <row r="11">
          <cell r="AK11">
            <v>0</v>
          </cell>
        </row>
        <row r="12">
          <cell r="AB12">
            <v>65925.004425714287</v>
          </cell>
          <cell r="AK12">
            <v>0</v>
          </cell>
        </row>
        <row r="13">
          <cell r="AB13">
            <v>131850.00885142857</v>
          </cell>
          <cell r="AK13">
            <v>0</v>
          </cell>
        </row>
        <row r="14">
          <cell r="AB14">
            <v>131850.00885142857</v>
          </cell>
          <cell r="AK14">
            <v>0</v>
          </cell>
        </row>
        <row r="15">
          <cell r="AB15">
            <v>131850.00885142857</v>
          </cell>
        </row>
        <row r="16">
          <cell r="AB16">
            <v>131850.00885142857</v>
          </cell>
          <cell r="AK16">
            <v>0</v>
          </cell>
        </row>
        <row r="17">
          <cell r="Z17">
            <v>166508.76400000002</v>
          </cell>
          <cell r="AB17">
            <v>131850.00885142857</v>
          </cell>
          <cell r="AK17">
            <v>16650.876400000001</v>
          </cell>
        </row>
        <row r="18">
          <cell r="AB18">
            <v>131850.00885142857</v>
          </cell>
          <cell r="AK18">
            <v>16650.876400000001</v>
          </cell>
        </row>
        <row r="19">
          <cell r="AB19">
            <v>131850.00885142857</v>
          </cell>
          <cell r="AK19">
            <v>16650.876400000001</v>
          </cell>
        </row>
        <row r="20">
          <cell r="AB20">
            <v>131850.00885142857</v>
          </cell>
          <cell r="AK20">
            <v>16650.876400000001</v>
          </cell>
        </row>
        <row r="21">
          <cell r="AB21">
            <v>131850.00885142857</v>
          </cell>
          <cell r="AK21">
            <v>16650.876400000001</v>
          </cell>
        </row>
        <row r="22">
          <cell r="Z22">
            <v>693082.36699999997</v>
          </cell>
          <cell r="AB22">
            <v>131850.00885142857</v>
          </cell>
          <cell r="AK22">
            <v>62856.36753333333</v>
          </cell>
        </row>
        <row r="23">
          <cell r="AB23">
            <v>131850.00885142857</v>
          </cell>
          <cell r="AK23">
            <v>62856.36753333333</v>
          </cell>
        </row>
        <row r="24">
          <cell r="AB24">
            <v>131850.00885142857</v>
          </cell>
          <cell r="AK24">
            <v>62856.36753333333</v>
          </cell>
        </row>
        <row r="25">
          <cell r="AB25">
            <v>131850.00885142857</v>
          </cell>
          <cell r="AK25">
            <v>62856.36753333333</v>
          </cell>
        </row>
        <row r="26">
          <cell r="AB26">
            <v>131850.00885142857</v>
          </cell>
          <cell r="AK26">
            <v>62856.36753333333</v>
          </cell>
        </row>
        <row r="27">
          <cell r="Z27">
            <v>368421.72400000005</v>
          </cell>
          <cell r="AB27">
            <v>131850.00885142857</v>
          </cell>
          <cell r="AK27">
            <v>72952.015533333324</v>
          </cell>
        </row>
        <row r="28">
          <cell r="AB28">
            <v>131850.00885142857</v>
          </cell>
          <cell r="AK28">
            <v>72952.015533333324</v>
          </cell>
        </row>
        <row r="29">
          <cell r="AB29">
            <v>131850.00885142857</v>
          </cell>
          <cell r="AK29">
            <v>72952.015533333324</v>
          </cell>
        </row>
        <row r="30">
          <cell r="AB30">
            <v>131850.00885142857</v>
          </cell>
          <cell r="AK30">
            <v>72952.015533333324</v>
          </cell>
        </row>
        <row r="31">
          <cell r="AB31">
            <v>131850.00885142857</v>
          </cell>
          <cell r="AK31">
            <v>72952.015533333324</v>
          </cell>
        </row>
        <row r="32">
          <cell r="Z32">
            <v>1629760.8358</v>
          </cell>
          <cell r="AB32">
            <v>131850.00885142857</v>
          </cell>
          <cell r="AK32">
            <v>174812.06777083332</v>
          </cell>
        </row>
        <row r="33">
          <cell r="AB33">
            <v>131850.00885142857</v>
          </cell>
          <cell r="AK33">
            <v>174812.06777083332</v>
          </cell>
        </row>
        <row r="34">
          <cell r="AB34">
            <v>131850.00885142857</v>
          </cell>
          <cell r="AK34">
            <v>174812.06777083332</v>
          </cell>
        </row>
        <row r="35">
          <cell r="AB35">
            <v>131850.00885142857</v>
          </cell>
          <cell r="AK35">
            <v>174812.06777083332</v>
          </cell>
        </row>
        <row r="36">
          <cell r="AB36">
            <v>131850.00885142857</v>
          </cell>
          <cell r="AK36">
            <v>174812.06777083332</v>
          </cell>
        </row>
        <row r="37">
          <cell r="AB37">
            <v>131850.00885142857</v>
          </cell>
          <cell r="AK37">
            <v>239701.67945568182</v>
          </cell>
        </row>
        <row r="38">
          <cell r="AB38">
            <v>131850.00885142857</v>
          </cell>
          <cell r="AK38">
            <v>239701.67945568182</v>
          </cell>
        </row>
        <row r="39">
          <cell r="AB39">
            <v>131850.00885142857</v>
          </cell>
          <cell r="AK39">
            <v>239701.67945568182</v>
          </cell>
        </row>
        <row r="40">
          <cell r="AB40">
            <v>131850.00885142857</v>
          </cell>
          <cell r="AK40">
            <v>239701.67945568182</v>
          </cell>
        </row>
        <row r="41">
          <cell r="AB41">
            <v>131850.00885142857</v>
          </cell>
          <cell r="AK41">
            <v>239701.67945568182</v>
          </cell>
        </row>
        <row r="42">
          <cell r="AB42">
            <v>131850.00885142857</v>
          </cell>
          <cell r="AK42">
            <v>239701.67945568182</v>
          </cell>
        </row>
        <row r="43">
          <cell r="AB43">
            <v>131850.00885142857</v>
          </cell>
          <cell r="AK43">
            <v>239701.67945568182</v>
          </cell>
        </row>
        <row r="44">
          <cell r="AB44">
            <v>131850.00885142857</v>
          </cell>
          <cell r="AK44">
            <v>239701.67945568182</v>
          </cell>
        </row>
        <row r="45">
          <cell r="AB45">
            <v>131850.00885142857</v>
          </cell>
          <cell r="AK45">
            <v>239701.67945568182</v>
          </cell>
        </row>
        <row r="46">
          <cell r="AB46">
            <v>131850.00885142857</v>
          </cell>
          <cell r="AK46">
            <v>239701.67945568182</v>
          </cell>
        </row>
        <row r="47">
          <cell r="AB47">
            <v>65925.004425714287</v>
          </cell>
          <cell r="AK47">
            <v>581376.87905568187</v>
          </cell>
        </row>
        <row r="49">
          <cell r="Z49">
            <v>4614750.3097999999</v>
          </cell>
        </row>
      </sheetData>
      <sheetData sheetId="7">
        <row r="74">
          <cell r="J74">
            <v>489790</v>
          </cell>
          <cell r="M74">
            <v>500</v>
          </cell>
          <cell r="N74">
            <v>90000</v>
          </cell>
          <cell r="O74">
            <v>49680</v>
          </cell>
          <cell r="P74">
            <v>208430</v>
          </cell>
        </row>
      </sheetData>
      <sheetData sheetId="8">
        <row r="6">
          <cell r="D6" t="str">
            <v>Toiture</v>
          </cell>
          <cell r="E6">
            <v>30</v>
          </cell>
          <cell r="G6">
            <v>147019</v>
          </cell>
          <cell r="J6">
            <v>1.25</v>
          </cell>
        </row>
        <row r="7">
          <cell r="D7" t="str">
            <v>Terrasses entières</v>
          </cell>
          <cell r="E7">
            <v>15</v>
          </cell>
          <cell r="G7">
            <v>30744</v>
          </cell>
          <cell r="J7">
            <v>1.25</v>
          </cell>
        </row>
        <row r="8">
          <cell r="D8" t="str">
            <v>Accessoires (Chenaux…)</v>
          </cell>
          <cell r="E8">
            <v>30</v>
          </cell>
          <cell r="G8">
            <v>15000</v>
          </cell>
          <cell r="J8">
            <v>1.25</v>
          </cell>
        </row>
        <row r="9">
          <cell r="D9" t="str">
            <v>Joints Silicone + Dégarnissage</v>
          </cell>
          <cell r="E9">
            <v>15</v>
          </cell>
          <cell r="G9">
            <v>10000</v>
          </cell>
          <cell r="J9">
            <v>1.25</v>
          </cell>
        </row>
        <row r="10">
          <cell r="D10" t="str">
            <v>Refection couche de roulement</v>
          </cell>
          <cell r="E10">
            <v>30</v>
          </cell>
          <cell r="G10">
            <v>35000</v>
          </cell>
          <cell r="J10">
            <v>1.25</v>
          </cell>
        </row>
        <row r="11">
          <cell r="D11" t="str">
            <v>Ravalement complet</v>
          </cell>
          <cell r="E11">
            <v>20</v>
          </cell>
          <cell r="G11">
            <v>220200</v>
          </cell>
          <cell r="J11">
            <v>0.5</v>
          </cell>
        </row>
        <row r="12">
          <cell r="D12" t="str">
            <v>Remplacement sols (Collectifs et studios)</v>
          </cell>
          <cell r="E12">
            <v>25</v>
          </cell>
          <cell r="G12">
            <v>419149</v>
          </cell>
          <cell r="J12">
            <v>1.5</v>
          </cell>
        </row>
        <row r="13">
          <cell r="D13" t="str">
            <v>Remplacement</v>
          </cell>
          <cell r="E13">
            <v>25</v>
          </cell>
          <cell r="G13">
            <v>44800</v>
          </cell>
          <cell r="J13">
            <v>1.5</v>
          </cell>
        </row>
        <row r="14">
          <cell r="D14" t="str">
            <v>Menuiserie alu</v>
          </cell>
          <cell r="E14">
            <v>25</v>
          </cell>
          <cell r="G14">
            <v>350713</v>
          </cell>
          <cell r="J14">
            <v>1.25</v>
          </cell>
        </row>
        <row r="15">
          <cell r="D15" t="str">
            <v>Menuiserie Jalousie</v>
          </cell>
          <cell r="E15">
            <v>15</v>
          </cell>
          <cell r="G15">
            <v>240027</v>
          </cell>
          <cell r="J15">
            <v>1.25</v>
          </cell>
        </row>
        <row r="16">
          <cell r="D16" t="str">
            <v>Fermetures alu yc portes d'accès</v>
          </cell>
          <cell r="E16">
            <v>15</v>
          </cell>
          <cell r="G16">
            <v>61740</v>
          </cell>
          <cell r="J16">
            <v>1.25</v>
          </cell>
        </row>
        <row r="17">
          <cell r="D17" t="str">
            <v>Gardes-corps</v>
          </cell>
          <cell r="E17">
            <v>25</v>
          </cell>
          <cell r="G17">
            <v>230358</v>
          </cell>
          <cell r="J17">
            <v>1.25</v>
          </cell>
        </row>
        <row r="18">
          <cell r="D18" t="str">
            <v>Canalisation yc AEP (EC+EF)</v>
          </cell>
          <cell r="E18">
            <v>15</v>
          </cell>
          <cell r="G18">
            <v>104102</v>
          </cell>
          <cell r="J18">
            <v>1.25</v>
          </cell>
        </row>
        <row r="19">
          <cell r="D19" t="str">
            <v>Evacuation yc EU</v>
          </cell>
          <cell r="E19">
            <v>15</v>
          </cell>
          <cell r="G19">
            <v>5969</v>
          </cell>
          <cell r="J19">
            <v>1.25</v>
          </cell>
        </row>
        <row r="20">
          <cell r="D20" t="str">
            <v>Canalisation</v>
          </cell>
          <cell r="E20">
            <v>30</v>
          </cell>
          <cell r="G20">
            <v>141898</v>
          </cell>
          <cell r="J20">
            <v>1.25</v>
          </cell>
        </row>
        <row r="21">
          <cell r="D21" t="str">
            <v>réfection (cablage)</v>
          </cell>
          <cell r="E21">
            <v>25</v>
          </cell>
          <cell r="G21">
            <v>250000</v>
          </cell>
          <cell r="J21">
            <v>1.25</v>
          </cell>
        </row>
        <row r="22">
          <cell r="D22" t="str">
            <v>Huisseries / Portes palières</v>
          </cell>
          <cell r="E22">
            <v>30</v>
          </cell>
          <cell r="G22">
            <v>154167</v>
          </cell>
          <cell r="J22">
            <v>1.25</v>
          </cell>
        </row>
        <row r="23">
          <cell r="D23" t="str">
            <v>Huisseries / Portes isoplanes</v>
          </cell>
          <cell r="E23">
            <v>15</v>
          </cell>
          <cell r="G23">
            <v>54737</v>
          </cell>
          <cell r="J23">
            <v>1.25</v>
          </cell>
        </row>
        <row r="24">
          <cell r="D24" t="str">
            <v>Appareillage citerne ECS</v>
          </cell>
          <cell r="E24">
            <v>15</v>
          </cell>
          <cell r="G24">
            <v>81508</v>
          </cell>
          <cell r="J24">
            <v>1.25</v>
          </cell>
        </row>
        <row r="25">
          <cell r="D25" t="str">
            <v>Appareillage pompe ECS</v>
          </cell>
          <cell r="E25">
            <v>10</v>
          </cell>
          <cell r="G25">
            <v>162584</v>
          </cell>
          <cell r="J25">
            <v>1.25</v>
          </cell>
        </row>
        <row r="26">
          <cell r="D26" t="str">
            <v>Appareillage panneaux solaires</v>
          </cell>
          <cell r="E26">
            <v>20</v>
          </cell>
          <cell r="G26">
            <v>60000</v>
          </cell>
          <cell r="J26">
            <v>1.25</v>
          </cell>
        </row>
        <row r="27">
          <cell r="D27" t="str">
            <v>Equipements (annexe 1)</v>
          </cell>
          <cell r="G27">
            <v>489790</v>
          </cell>
          <cell r="J27">
            <v>1.25</v>
          </cell>
        </row>
        <row r="28">
          <cell r="D28" t="str">
            <v>Equipements</v>
          </cell>
          <cell r="E28">
            <v>30</v>
          </cell>
          <cell r="G28">
            <v>25000</v>
          </cell>
          <cell r="J28">
            <v>1.25</v>
          </cell>
        </row>
      </sheetData>
      <sheetData sheetId="9">
        <row r="8">
          <cell r="D8">
            <v>0</v>
          </cell>
          <cell r="E8">
            <v>290589</v>
          </cell>
          <cell r="G8">
            <v>13333.137500000001</v>
          </cell>
        </row>
        <row r="9">
          <cell r="D9">
            <v>69077.57287130758</v>
          </cell>
          <cell r="E9">
            <v>205477.46247599999</v>
          </cell>
          <cell r="G9">
            <v>26666.275000000001</v>
          </cell>
        </row>
        <row r="10">
          <cell r="D10">
            <v>71502.195679090539</v>
          </cell>
          <cell r="E10">
            <v>203052.83966821709</v>
          </cell>
          <cell r="G10">
            <v>26666.275000000001</v>
          </cell>
        </row>
        <row r="11">
          <cell r="D11">
            <v>74011.922747426579</v>
          </cell>
          <cell r="E11">
            <v>200543.11259988099</v>
          </cell>
          <cell r="G11">
            <v>26666.275000000001</v>
          </cell>
        </row>
        <row r="12">
          <cell r="D12">
            <v>76609.741235861264</v>
          </cell>
          <cell r="E12">
            <v>197945.2941114463</v>
          </cell>
          <cell r="G12">
            <v>26666.275000000001</v>
          </cell>
        </row>
        <row r="13">
          <cell r="D13">
            <v>79298.743153239979</v>
          </cell>
          <cell r="E13">
            <v>195256.29219406759</v>
          </cell>
          <cell r="G13">
            <v>26666.275000000001</v>
          </cell>
        </row>
        <row r="14">
          <cell r="D14">
            <v>82082.128973357685</v>
          </cell>
          <cell r="E14">
            <v>188931.32887764173</v>
          </cell>
          <cell r="G14">
            <v>26666.275000000001</v>
          </cell>
        </row>
        <row r="15">
          <cell r="D15">
            <v>84963.211700322514</v>
          </cell>
          <cell r="E15">
            <v>186050.24615067686</v>
          </cell>
          <cell r="G15">
            <v>26666.275000000001</v>
          </cell>
        </row>
        <row r="16">
          <cell r="D16">
            <v>87945.420431003848</v>
          </cell>
          <cell r="E16">
            <v>183068.03741999558</v>
          </cell>
          <cell r="G16">
            <v>26666.275000000001</v>
          </cell>
        </row>
        <row r="17">
          <cell r="D17">
            <v>91032.304688132019</v>
          </cell>
          <cell r="E17">
            <v>179981.15316286735</v>
          </cell>
          <cell r="G17">
            <v>26666.275000000001</v>
          </cell>
        </row>
        <row r="18">
          <cell r="D18">
            <v>94227.538582685433</v>
          </cell>
          <cell r="E18">
            <v>176785.91926831397</v>
          </cell>
          <cell r="G18">
            <v>26666.275000000001</v>
          </cell>
        </row>
        <row r="19">
          <cell r="D19">
            <v>97534.925186937675</v>
          </cell>
          <cell r="E19">
            <v>173478.53266406167</v>
          </cell>
          <cell r="G19">
            <v>26666.275000000001</v>
          </cell>
        </row>
        <row r="20">
          <cell r="D20">
            <v>100958.40106099914</v>
          </cell>
          <cell r="E20">
            <v>170055.05679000018</v>
          </cell>
          <cell r="G20">
            <v>26666.275000000001</v>
          </cell>
        </row>
        <row r="21">
          <cell r="D21">
            <v>104502.0409382402</v>
          </cell>
          <cell r="E21">
            <v>166511.41691275913</v>
          </cell>
          <cell r="G21">
            <v>26666.275000000001</v>
          </cell>
        </row>
        <row r="22">
          <cell r="D22">
            <v>108170.06257517237</v>
          </cell>
          <cell r="E22">
            <v>162843.39527582689</v>
          </cell>
          <cell r="G22">
            <v>26666.275000000001</v>
          </cell>
        </row>
        <row r="23">
          <cell r="D23">
            <v>111966.83177156089</v>
          </cell>
          <cell r="E23">
            <v>159046.62607943831</v>
          </cell>
          <cell r="G23">
            <v>26666.275000000001</v>
          </cell>
        </row>
        <row r="24">
          <cell r="D24">
            <v>115896.86756674264</v>
          </cell>
          <cell r="E24">
            <v>155116.59028425656</v>
          </cell>
          <cell r="G24">
            <v>26666.275000000001</v>
          </cell>
        </row>
        <row r="25">
          <cell r="D25">
            <v>119964.84761833525</v>
          </cell>
          <cell r="E25">
            <v>151048.61023266386</v>
          </cell>
          <cell r="G25">
            <v>26666.275000000001</v>
          </cell>
        </row>
        <row r="26">
          <cell r="D26">
            <v>124175.61376973873</v>
          </cell>
          <cell r="E26">
            <v>146837.84408126029</v>
          </cell>
          <cell r="G26">
            <v>26666.275000000001</v>
          </cell>
        </row>
        <row r="27">
          <cell r="D27">
            <v>128534.17781305654</v>
          </cell>
          <cell r="E27">
            <v>142479.28003794246</v>
          </cell>
          <cell r="G27">
            <v>26666.275000000001</v>
          </cell>
        </row>
        <row r="28">
          <cell r="D28">
            <v>133045.72745429474</v>
          </cell>
          <cell r="E28">
            <v>137967.73039670417</v>
          </cell>
          <cell r="G28">
            <v>26666.275000000001</v>
          </cell>
        </row>
        <row r="29">
          <cell r="D29">
            <v>137715.63248794043</v>
          </cell>
          <cell r="E29">
            <v>133297.82536305842</v>
          </cell>
          <cell r="G29">
            <v>26666.275000000001</v>
          </cell>
        </row>
        <row r="30">
          <cell r="D30">
            <v>142549.45118826709</v>
          </cell>
          <cell r="E30">
            <v>128464.00666273173</v>
          </cell>
          <cell r="G30">
            <v>26666.275000000001</v>
          </cell>
        </row>
        <row r="31">
          <cell r="D31">
            <v>147552.93692497525</v>
          </cell>
          <cell r="E31">
            <v>123460.52092602357</v>
          </cell>
          <cell r="G31">
            <v>26666.275000000001</v>
          </cell>
        </row>
        <row r="32">
          <cell r="D32">
            <v>152732.04501104174</v>
          </cell>
          <cell r="E32">
            <v>118281.41283995693</v>
          </cell>
          <cell r="G32">
            <v>26666.275000000001</v>
          </cell>
        </row>
        <row r="33">
          <cell r="D33">
            <v>158092.93979092926</v>
          </cell>
          <cell r="E33">
            <v>112920.51806006939</v>
          </cell>
        </row>
        <row r="34">
          <cell r="D34">
            <v>163642.00197759079</v>
          </cell>
          <cell r="E34">
            <v>107371.45587340777</v>
          </cell>
          <cell r="G34">
            <v>26666.275000000001</v>
          </cell>
        </row>
        <row r="35">
          <cell r="D35">
            <v>169385.83624700413</v>
          </cell>
          <cell r="E35">
            <v>101627.62160399434</v>
          </cell>
          <cell r="G35">
            <v>26666.275000000001</v>
          </cell>
        </row>
        <row r="36">
          <cell r="D36">
            <v>175331.2790992739</v>
          </cell>
          <cell r="E36">
            <v>95682.17875172451</v>
          </cell>
          <cell r="G36">
            <v>26666.275000000001</v>
          </cell>
        </row>
        <row r="51">
          <cell r="H51">
            <v>16830236.511321485</v>
          </cell>
        </row>
      </sheetData>
      <sheetData sheetId="10">
        <row r="2">
          <cell r="R2">
            <v>290589</v>
          </cell>
          <cell r="S2">
            <v>0</v>
          </cell>
          <cell r="T2">
            <v>290589</v>
          </cell>
        </row>
        <row r="3">
          <cell r="R3">
            <v>274555.03534730757</v>
          </cell>
          <cell r="S3">
            <v>69077.57287130758</v>
          </cell>
          <cell r="T3">
            <v>205477.46247599999</v>
          </cell>
        </row>
        <row r="7">
          <cell r="R7">
            <v>274555.03534730762</v>
          </cell>
          <cell r="S7">
            <v>71502.195679090539</v>
          </cell>
          <cell r="T7">
            <v>203052.83966821709</v>
          </cell>
        </row>
        <row r="11">
          <cell r="R11">
            <v>274555.03534730757</v>
          </cell>
          <cell r="S11">
            <v>74011.922747426579</v>
          </cell>
          <cell r="T11">
            <v>200543.11259988099</v>
          </cell>
        </row>
        <row r="15">
          <cell r="R15">
            <v>274555.03534730757</v>
          </cell>
          <cell r="S15">
            <v>76609.741235861264</v>
          </cell>
          <cell r="T15">
            <v>197945.2941114463</v>
          </cell>
        </row>
        <row r="19">
          <cell r="R19">
            <v>274555.03534730757</v>
          </cell>
          <cell r="S19">
            <v>79298.743153239979</v>
          </cell>
          <cell r="T19">
            <v>195256.29219406759</v>
          </cell>
        </row>
        <row r="23">
          <cell r="R23">
            <v>271013.45785099943</v>
          </cell>
          <cell r="S23">
            <v>82082.128973357685</v>
          </cell>
          <cell r="T23">
            <v>188931.32887764173</v>
          </cell>
        </row>
        <row r="27">
          <cell r="R27">
            <v>271013.45785099937</v>
          </cell>
          <cell r="S27">
            <v>84963.211700322514</v>
          </cell>
          <cell r="T27">
            <v>186050.24615067686</v>
          </cell>
        </row>
        <row r="31">
          <cell r="R31">
            <v>271013.45785099943</v>
          </cell>
          <cell r="S31">
            <v>87945.420431003848</v>
          </cell>
          <cell r="T31">
            <v>183068.03741999558</v>
          </cell>
        </row>
        <row r="35">
          <cell r="R35">
            <v>271013.45785099943</v>
          </cell>
          <cell r="S35">
            <v>91032.304688132019</v>
          </cell>
          <cell r="T35">
            <v>179981.15316286735</v>
          </cell>
        </row>
        <row r="39">
          <cell r="R39">
            <v>271013.45785099937</v>
          </cell>
          <cell r="S39">
            <v>94227.538582685433</v>
          </cell>
          <cell r="T39">
            <v>176785.91926831397</v>
          </cell>
        </row>
        <row r="43">
          <cell r="R43">
            <v>271013.45785099932</v>
          </cell>
          <cell r="S43">
            <v>97534.925186937675</v>
          </cell>
          <cell r="T43">
            <v>173478.53266406167</v>
          </cell>
        </row>
        <row r="47">
          <cell r="R47">
            <v>271013.45785099932</v>
          </cell>
          <cell r="S47">
            <v>100958.40106099914</v>
          </cell>
          <cell r="T47">
            <v>170055.05679000018</v>
          </cell>
        </row>
        <row r="51">
          <cell r="R51">
            <v>271013.45785099932</v>
          </cell>
          <cell r="S51">
            <v>104502.0409382402</v>
          </cell>
          <cell r="T51">
            <v>166511.41691275913</v>
          </cell>
        </row>
        <row r="55">
          <cell r="R55">
            <v>271013.45785099926</v>
          </cell>
          <cell r="S55">
            <v>108170.06257517237</v>
          </cell>
          <cell r="T55">
            <v>162843.39527582689</v>
          </cell>
        </row>
        <row r="59">
          <cell r="R59">
            <v>271013.4578509992</v>
          </cell>
          <cell r="S59">
            <v>111966.83177156089</v>
          </cell>
          <cell r="T59">
            <v>159046.62607943831</v>
          </cell>
        </row>
        <row r="63">
          <cell r="R63">
            <v>271013.4578509992</v>
          </cell>
          <cell r="S63">
            <v>115896.86756674264</v>
          </cell>
          <cell r="T63">
            <v>155116.59028425656</v>
          </cell>
        </row>
        <row r="67">
          <cell r="R67">
            <v>271013.45785099908</v>
          </cell>
          <cell r="S67">
            <v>119964.84761833525</v>
          </cell>
          <cell r="T67">
            <v>151048.61023266386</v>
          </cell>
        </row>
        <row r="71">
          <cell r="R71">
            <v>271013.45785099902</v>
          </cell>
          <cell r="S71">
            <v>124175.61376973873</v>
          </cell>
          <cell r="T71">
            <v>146837.84408126029</v>
          </cell>
        </row>
        <row r="75">
          <cell r="R75">
            <v>271013.45785099897</v>
          </cell>
          <cell r="S75">
            <v>128534.17781305654</v>
          </cell>
          <cell r="T75">
            <v>142479.28003794246</v>
          </cell>
        </row>
        <row r="79">
          <cell r="R79">
            <v>271013.45785099897</v>
          </cell>
          <cell r="S79">
            <v>133045.72745429474</v>
          </cell>
          <cell r="T79">
            <v>137967.73039670417</v>
          </cell>
        </row>
        <row r="83">
          <cell r="R83">
            <v>271013.45785099885</v>
          </cell>
          <cell r="S83">
            <v>137715.63248794043</v>
          </cell>
          <cell r="T83">
            <v>133297.82536305842</v>
          </cell>
        </row>
        <row r="87">
          <cell r="R87">
            <v>271013.45785099879</v>
          </cell>
          <cell r="S87">
            <v>142549.45118826709</v>
          </cell>
          <cell r="T87">
            <v>128464.00666273173</v>
          </cell>
        </row>
        <row r="91">
          <cell r="R91">
            <v>271013.45785099879</v>
          </cell>
          <cell r="S91">
            <v>147552.93692497525</v>
          </cell>
          <cell r="T91">
            <v>123460.52092602357</v>
          </cell>
        </row>
        <row r="95">
          <cell r="R95">
            <v>271013.45785099867</v>
          </cell>
          <cell r="S95">
            <v>152732.04501104174</v>
          </cell>
          <cell r="T95">
            <v>118281.41283995693</v>
          </cell>
        </row>
        <row r="99">
          <cell r="R99">
            <v>271013.45785099862</v>
          </cell>
          <cell r="S99">
            <v>158092.93979092926</v>
          </cell>
          <cell r="T99">
            <v>112920.51806006939</v>
          </cell>
        </row>
        <row r="103">
          <cell r="R103">
            <v>271013.45785099856</v>
          </cell>
          <cell r="S103">
            <v>163642.00197759079</v>
          </cell>
          <cell r="T103">
            <v>107371.45587340777</v>
          </cell>
        </row>
        <row r="107">
          <cell r="R107">
            <v>271013.4578509985</v>
          </cell>
          <cell r="S107">
            <v>169385.83624700413</v>
          </cell>
          <cell r="T107">
            <v>101627.62160399434</v>
          </cell>
        </row>
        <row r="111">
          <cell r="R111">
            <v>271013.45785099838</v>
          </cell>
          <cell r="S111">
            <v>175331.2790992739</v>
          </cell>
          <cell r="T111">
            <v>95682.17875172451</v>
          </cell>
        </row>
        <row r="115">
          <cell r="R115">
            <v>271013.45785099827</v>
          </cell>
          <cell r="S115">
            <v>181485.4069956583</v>
          </cell>
          <cell r="T115">
            <v>89528.050855340014</v>
          </cell>
        </row>
        <row r="119">
          <cell r="R119">
            <v>271013.45785099827</v>
          </cell>
          <cell r="S119">
            <v>187855.54478120583</v>
          </cell>
          <cell r="T119">
            <v>83157.913069792397</v>
          </cell>
        </row>
        <row r="123">
          <cell r="R123">
            <v>271013.45785099809</v>
          </cell>
          <cell r="S123">
            <v>194449.27440302604</v>
          </cell>
          <cell r="T123">
            <v>76564.183447972086</v>
          </cell>
        </row>
        <row r="127">
          <cell r="R127">
            <v>271013.45785099798</v>
          </cell>
          <cell r="S127">
            <v>201274.44393457207</v>
          </cell>
          <cell r="T127">
            <v>69739.013916425873</v>
          </cell>
        </row>
        <row r="131">
          <cell r="R131">
            <v>271013.4578509978</v>
          </cell>
          <cell r="S131">
            <v>208339.17691667535</v>
          </cell>
          <cell r="T131">
            <v>62674.280934322414</v>
          </cell>
        </row>
        <row r="135">
          <cell r="R135">
            <v>271013.45785099757</v>
          </cell>
          <cell r="S135">
            <v>215651.88202645048</v>
          </cell>
          <cell r="T135">
            <v>55361.575824547108</v>
          </cell>
        </row>
        <row r="139">
          <cell r="R139">
            <v>271013.45785099734</v>
          </cell>
          <cell r="S139">
            <v>223221.26308557863</v>
          </cell>
          <cell r="T139">
            <v>47792.19476541871</v>
          </cell>
        </row>
        <row r="143">
          <cell r="R143">
            <v>271013.45785099693</v>
          </cell>
          <cell r="S143">
            <v>231056.32941988207</v>
          </cell>
          <cell r="T143">
            <v>39957.128431114907</v>
          </cell>
        </row>
        <row r="147">
          <cell r="R147">
            <v>271013.45785099664</v>
          </cell>
          <cell r="S147">
            <v>239166.40658251962</v>
          </cell>
          <cell r="T147">
            <v>31847.051268477058</v>
          </cell>
        </row>
        <row r="151">
          <cell r="R151">
            <v>271013.45785099623</v>
          </cell>
          <cell r="S151">
            <v>247561.14745356562</v>
          </cell>
          <cell r="T151">
            <v>23452.310397430636</v>
          </cell>
        </row>
        <row r="155">
          <cell r="R155">
            <v>271013.45785099553</v>
          </cell>
          <cell r="S155">
            <v>256250.54372918504</v>
          </cell>
          <cell r="T155">
            <v>14762.914121810505</v>
          </cell>
        </row>
        <row r="159">
          <cell r="R159">
            <v>271013.45785099384</v>
          </cell>
          <cell r="S159">
            <v>265244.93781407771</v>
          </cell>
          <cell r="T159">
            <v>5768.5200369161375</v>
          </cell>
        </row>
        <row r="163">
          <cell r="G163">
            <v>11148835.201521518</v>
          </cell>
          <cell r="H163">
            <v>5854058.7556869201</v>
          </cell>
          <cell r="I163">
            <v>5294776.4458345594</v>
          </cell>
        </row>
      </sheetData>
      <sheetData sheetId="11"/>
      <sheetData sheetId="12"/>
      <sheetData sheetId="13">
        <row r="7">
          <cell r="Q7">
            <v>221751.83467062502</v>
          </cell>
          <cell r="S7">
            <v>0</v>
          </cell>
        </row>
        <row r="8">
          <cell r="Q8">
            <v>443503.66934125003</v>
          </cell>
          <cell r="S8">
            <v>0</v>
          </cell>
        </row>
        <row r="9">
          <cell r="Q9">
            <v>443503.66934125003</v>
          </cell>
          <cell r="S9">
            <v>0</v>
          </cell>
        </row>
        <row r="10">
          <cell r="Q10">
            <v>443503.66934125003</v>
          </cell>
          <cell r="S10">
            <v>0</v>
          </cell>
        </row>
        <row r="11">
          <cell r="Q11">
            <v>443503.66934125003</v>
          </cell>
          <cell r="S11">
            <v>0</v>
          </cell>
        </row>
        <row r="12">
          <cell r="Q12">
            <v>443503.66934125003</v>
          </cell>
          <cell r="S12">
            <v>0</v>
          </cell>
        </row>
        <row r="13">
          <cell r="Q13">
            <v>443503.66934125003</v>
          </cell>
          <cell r="S13">
            <v>0</v>
          </cell>
        </row>
        <row r="14">
          <cell r="Q14">
            <v>443503.66934125003</v>
          </cell>
          <cell r="S14">
            <v>0</v>
          </cell>
        </row>
        <row r="15">
          <cell r="Q15">
            <v>443503.66934125003</v>
          </cell>
          <cell r="S15">
            <v>0</v>
          </cell>
        </row>
        <row r="16">
          <cell r="Q16">
            <v>443503.66934125003</v>
          </cell>
          <cell r="S16">
            <v>0</v>
          </cell>
        </row>
        <row r="17">
          <cell r="Q17">
            <v>420270.54915125004</v>
          </cell>
          <cell r="S17">
            <v>16650.876400000001</v>
          </cell>
        </row>
        <row r="18">
          <cell r="Q18">
            <v>397037.42896125</v>
          </cell>
          <cell r="S18">
            <v>16650.876400000001</v>
          </cell>
        </row>
        <row r="19">
          <cell r="Q19">
            <v>397037.42896125</v>
          </cell>
          <cell r="S19">
            <v>16650.876400000001</v>
          </cell>
        </row>
        <row r="20">
          <cell r="Q20">
            <v>397037.42896125</v>
          </cell>
          <cell r="S20">
            <v>16650.876400000001</v>
          </cell>
        </row>
        <row r="21">
          <cell r="Q21">
            <v>397037.42896125</v>
          </cell>
          <cell r="S21">
            <v>16650.876400000001</v>
          </cell>
        </row>
        <row r="22">
          <cell r="Q22">
            <v>354443.37527958339</v>
          </cell>
          <cell r="S22">
            <v>62856.36753333333</v>
          </cell>
        </row>
        <row r="23">
          <cell r="Q23">
            <v>311849.32159791666</v>
          </cell>
          <cell r="S23">
            <v>62856.36753333333</v>
          </cell>
        </row>
        <row r="24">
          <cell r="Q24">
            <v>311849.32159791666</v>
          </cell>
          <cell r="S24">
            <v>62856.36753333333</v>
          </cell>
        </row>
        <row r="25">
          <cell r="Q25">
            <v>311849.32159791666</v>
          </cell>
          <cell r="S25">
            <v>62856.36753333333</v>
          </cell>
        </row>
        <row r="26">
          <cell r="Q26">
            <v>311849.32159791666</v>
          </cell>
          <cell r="S26">
            <v>62856.36753333333</v>
          </cell>
        </row>
        <row r="27">
          <cell r="Q27">
            <v>253766.52112291669</v>
          </cell>
          <cell r="S27">
            <v>72952.015533333324</v>
          </cell>
        </row>
        <row r="28">
          <cell r="Q28">
            <v>195683.72064791669</v>
          </cell>
          <cell r="S28">
            <v>72952.015533333324</v>
          </cell>
        </row>
        <row r="29">
          <cell r="Q29">
            <v>195683.72064791669</v>
          </cell>
          <cell r="S29">
            <v>72952.015533333324</v>
          </cell>
        </row>
        <row r="30">
          <cell r="Q30">
            <v>195683.72064791669</v>
          </cell>
          <cell r="S30">
            <v>72952.015533333324</v>
          </cell>
        </row>
        <row r="31">
          <cell r="Q31">
            <v>195683.72064791669</v>
          </cell>
          <cell r="S31">
            <v>72952.015533333324</v>
          </cell>
        </row>
        <row r="32">
          <cell r="Q32">
            <v>195683.72064791669</v>
          </cell>
          <cell r="S32">
            <v>174812.06777083332</v>
          </cell>
        </row>
        <row r="33">
          <cell r="Q33">
            <v>195683.72064791669</v>
          </cell>
          <cell r="S33">
            <v>174812.06777083332</v>
          </cell>
        </row>
        <row r="34">
          <cell r="Q34">
            <v>195683.72064791669</v>
          </cell>
          <cell r="S34">
            <v>174812.06777083332</v>
          </cell>
        </row>
        <row r="35">
          <cell r="Q35">
            <v>195683.72064791669</v>
          </cell>
          <cell r="S35">
            <v>174812.06777083332</v>
          </cell>
        </row>
      </sheetData>
      <sheetData sheetId="14">
        <row r="7">
          <cell r="Q7">
            <v>110002.03436831382</v>
          </cell>
        </row>
        <row r="8">
          <cell r="Q8">
            <v>220004.06873662764</v>
          </cell>
        </row>
        <row r="9">
          <cell r="Q9">
            <v>220004.06873662764</v>
          </cell>
        </row>
        <row r="10">
          <cell r="Q10">
            <v>220004.06873662764</v>
          </cell>
        </row>
        <row r="11">
          <cell r="Q11">
            <v>220004.06873662764</v>
          </cell>
        </row>
        <row r="12">
          <cell r="Q12">
            <v>220004.06873662764</v>
          </cell>
        </row>
        <row r="13">
          <cell r="Q13">
            <v>220004.06873662764</v>
          </cell>
        </row>
        <row r="14">
          <cell r="Q14">
            <v>220004.06873662764</v>
          </cell>
        </row>
        <row r="15">
          <cell r="Q15">
            <v>220004.06873662764</v>
          </cell>
        </row>
        <row r="16">
          <cell r="Q16">
            <v>220004.06873662764</v>
          </cell>
        </row>
        <row r="17">
          <cell r="Q17">
            <v>208479.06607128514</v>
          </cell>
        </row>
        <row r="18">
          <cell r="Q18">
            <v>196954.06340594261</v>
          </cell>
        </row>
        <row r="19">
          <cell r="Q19">
            <v>196954.06340594261</v>
          </cell>
        </row>
        <row r="20">
          <cell r="Q20">
            <v>196954.06340594261</v>
          </cell>
        </row>
        <row r="21">
          <cell r="Q21">
            <v>196954.06340594261</v>
          </cell>
        </row>
        <row r="22">
          <cell r="Q22">
            <v>175824.89185281468</v>
          </cell>
        </row>
        <row r="23">
          <cell r="Q23">
            <v>154695.72029968671</v>
          </cell>
        </row>
        <row r="24">
          <cell r="Q24">
            <v>154695.72029968671</v>
          </cell>
        </row>
        <row r="25">
          <cell r="Q25">
            <v>154695.72029968671</v>
          </cell>
        </row>
        <row r="26">
          <cell r="Q26">
            <v>154695.72029968671</v>
          </cell>
        </row>
        <row r="27">
          <cell r="Q27">
            <v>125883.21363633045</v>
          </cell>
        </row>
        <row r="28">
          <cell r="Q28">
            <v>97070.706972974163</v>
          </cell>
        </row>
        <row r="29">
          <cell r="Q29">
            <v>97070.706972974163</v>
          </cell>
        </row>
        <row r="30">
          <cell r="Q30">
            <v>97070.706972974163</v>
          </cell>
        </row>
        <row r="31">
          <cell r="Q31">
            <v>97070.706972974163</v>
          </cell>
        </row>
        <row r="32">
          <cell r="Q32">
            <v>97070.706972974163</v>
          </cell>
        </row>
        <row r="33">
          <cell r="Q33">
            <v>97070.706972974163</v>
          </cell>
        </row>
        <row r="34">
          <cell r="Q34">
            <v>97070.706972974163</v>
          </cell>
        </row>
        <row r="35">
          <cell r="Q35">
            <v>97070.706972974163</v>
          </cell>
        </row>
      </sheetData>
    </sheetDataSet>
  </externalBook>
</externalLink>
</file>

<file path=xl/externalLinks/externalLink5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mpar."/>
    </sheetNames>
    <sheetDataSet>
      <sheetData sheetId="0" refreshError="1"/>
    </sheetDataSet>
  </externalBook>
</externalLink>
</file>

<file path=xl/externalLinks/externalLink5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LS-LLTS  BDG"/>
      <sheetName val="76 Budget"/>
    </sheetNames>
    <sheetDataSet>
      <sheetData sheetId="0" refreshError="1"/>
      <sheetData sheetId="1" refreshError="1"/>
    </sheetDataSet>
  </externalBook>
</externalLink>
</file>

<file path=xl/externalLinks/externalLink5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énéral"/>
    </sheetNames>
    <sheetDataSet>
      <sheetData sheetId="0" refreshError="1"/>
    </sheetDataSet>
  </externalBook>
</externalLink>
</file>

<file path=xl/externalLinks/externalLink5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chéancier des prêts"/>
    </sheetNames>
    <sheetDataSet>
      <sheetData sheetId="0" refreshError="1"/>
    </sheetDataSet>
  </externalBook>
</externalLink>
</file>

<file path=xl/externalLinks/externalLink5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qui pour DA (2)"/>
      <sheetName val="Fidji 15 individuels"/>
      <sheetName val="Fidji 16 colletifs"/>
      <sheetName val="Fidji 15 + 16 consol"/>
      <sheetName val="Subv Fidji"/>
      <sheetName val="Récap"/>
      <sheetName val="data"/>
      <sheetName val="Loyers"/>
      <sheetName val="Emprunts CDC &amp; 1%"/>
      <sheetName val="Prêt Promoteur"/>
      <sheetName val="Prêt Investisseur"/>
      <sheetName val="Amort&quot;FIDJI&quot;"/>
      <sheetName val="Amort&quot;WALLIS&quot;"/>
      <sheetName val="Amort&quot;FUTUNA&quot;"/>
      <sheetName val="Amort&quot;HEBRIDES&quot;"/>
      <sheetName val="Amort&quot;MARE A POULE&quot;"/>
      <sheetName val="Amort&quot;BEC ROSE&quot;"/>
      <sheetName val="Amort&quot;JAVA&quot;"/>
      <sheetName val="SNC comptes"/>
      <sheetName val="Appels travaux"/>
      <sheetName val="Amort&quot;cumul&quot;"/>
      <sheetName val="schéma CB"/>
      <sheetName val="Investisseur détails"/>
      <sheetName val="Equi pour DA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</sheetDataSet>
  </externalBook>
</externalLink>
</file>

<file path=xl/externalLinks/externalLink5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ée d'entrée"/>
      <sheetName val="GUIDE DEAL"/>
      <sheetName val="première page"/>
      <sheetName val="1"/>
      <sheetName val="2"/>
      <sheetName val="3"/>
      <sheetName val="4"/>
      <sheetName val="5"/>
      <sheetName val="6"/>
      <sheetName val="7"/>
      <sheetName val="8"/>
      <sheetName val="9"/>
      <sheetName val="Calculs détaillés"/>
      <sheetName val="Notice explicative"/>
      <sheetName val="Test de compensation"/>
      <sheetName val="FFD LLTS"/>
      <sheetName val="pièces 3.2 et 3.3"/>
      <sheetName val="DPR LLTS"/>
      <sheetName val="Bdgt"/>
      <sheetName val="Prgr. 2017"/>
      <sheetName val="Base éligible"/>
      <sheetName val="Estim MOE"/>
      <sheetName val="FFD LLS"/>
      <sheetName val="FRAFU AVS + LESG"/>
      <sheetName val="5.5 plafond aides"/>
      <sheetName val="DPR LL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>
        <row r="68">
          <cell r="E68">
            <v>222000</v>
          </cell>
        </row>
      </sheetData>
      <sheetData sheetId="18">
        <row r="9">
          <cell r="L9">
            <v>10739152.095000001</v>
          </cell>
        </row>
        <row r="133">
          <cell r="L133">
            <v>364819</v>
          </cell>
        </row>
        <row r="136">
          <cell r="L136">
            <v>290589</v>
          </cell>
        </row>
        <row r="159">
          <cell r="L159">
            <v>5854058.7599999998</v>
          </cell>
        </row>
        <row r="168">
          <cell r="L168">
            <v>2455687.7200000002</v>
          </cell>
        </row>
        <row r="175">
          <cell r="L175">
            <v>3306813.6103789355</v>
          </cell>
        </row>
      </sheetData>
      <sheetData sheetId="19"/>
      <sheetData sheetId="20"/>
      <sheetData sheetId="21"/>
      <sheetData sheetId="22"/>
      <sheetData sheetId="23"/>
      <sheetData sheetId="24"/>
      <sheetData sheetId="25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\\FICS-01\Organisation\Users\pco\AppData\Local\Microsoft\Windows\Temporary%20Internet%20Files\Content.Outlook\7NXPH8YQ\ESTIMATION%20TFPB%20CROUS1.xlsx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Stéphanie HOARAU" refreshedDate="42452.469739814813" createdVersion="4" refreshedVersion="4" minRefreshableVersion="3" recordCount="65">
  <cacheSource type="worksheet">
    <worksheetSource ref="B1:I66" sheet="TAMPON" r:id="rId2"/>
  </cacheSource>
  <cacheFields count="9">
    <cacheField name="N° opération" numFmtId="0">
      <sharedItems containsSemiMixedTypes="0" containsString="0" containsNumber="1" containsInteger="1" minValue="2" maxValue="19" count="6">
        <n v="19"/>
        <n v="14"/>
        <n v="13"/>
        <n v="7"/>
        <n v="5"/>
        <n v="2"/>
      </sharedItems>
    </cacheField>
    <cacheField name="TotalCotisation" numFmtId="0">
      <sharedItems containsSemiMixedTypes="0" containsString="0" containsNumber="1" containsInteger="1" minValue="404" maxValue="16783"/>
    </cacheField>
    <cacheField name="TEOM" numFmtId="0">
      <sharedItems containsSemiMixedTypes="0" containsString="0" containsNumber="1" containsInteger="1" minValue="112" maxValue="4696"/>
    </cacheField>
    <cacheField name="ROLETEOM" numFmtId="0">
      <sharedItems containsSemiMixedTypes="0" containsString="0" containsNumber="1" minValue="8.9600000000000009" maxValue="375.68"/>
    </cacheField>
    <cacheField name="TEOM+ROLE" numFmtId="0">
      <sharedItems containsSemiMixedTypes="0" containsString="0" containsNumber="1" minValue="120.96000000000001" maxValue="5071.68"/>
    </cacheField>
    <cacheField name="TFPB" numFmtId="0">
      <sharedItems containsSemiMixedTypes="0" containsString="0" containsNumber="1" containsInteger="1" minValue="292" maxValue="12087"/>
    </cacheField>
    <cacheField name="ROLE TFPB" numFmtId="0">
      <sharedItems containsSemiMixedTypes="0" containsString="0" containsNumber="1" minValue="8.76" maxValue="362.61"/>
    </cacheField>
    <cacheField name="TFPB+ROLE" numFmtId="0">
      <sharedItems containsSemiMixedTypes="0" containsString="0" containsNumber="1" minValue="300.76" maxValue="12449.61"/>
    </cacheField>
    <cacheField name="Année" numFmtId="0">
      <sharedItems containsSemiMixedTypes="0" containsString="0" containsNumber="1" containsInteger="1" minValue="2015" maxValue="201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5">
  <r>
    <x v="0"/>
    <n v="2132"/>
    <n v="597"/>
    <n v="47.76"/>
    <n v="644.76"/>
    <n v="1535"/>
    <n v="46.05"/>
    <n v="1581.05"/>
    <n v="2015"/>
  </r>
  <r>
    <x v="0"/>
    <n v="5169"/>
    <n v="1446"/>
    <n v="115.68"/>
    <n v="1561.68"/>
    <n v="3723"/>
    <n v="111.69"/>
    <n v="3834.69"/>
    <n v="2015"/>
  </r>
  <r>
    <x v="0"/>
    <n v="2502"/>
    <n v="700"/>
    <n v="56"/>
    <n v="756"/>
    <n v="1802"/>
    <n v="54.06"/>
    <n v="1856.06"/>
    <n v="2015"/>
  </r>
  <r>
    <x v="0"/>
    <n v="1112"/>
    <n v="311"/>
    <n v="24.88"/>
    <n v="335.88"/>
    <n v="801"/>
    <n v="24.03"/>
    <n v="825.03"/>
    <n v="2015"/>
  </r>
  <r>
    <x v="0"/>
    <n v="3311"/>
    <n v="926"/>
    <n v="74.08"/>
    <n v="1000.08"/>
    <n v="2385"/>
    <n v="71.55"/>
    <n v="2456.5500000000002"/>
    <n v="2015"/>
  </r>
  <r>
    <x v="0"/>
    <n v="6065"/>
    <n v="1697"/>
    <n v="135.76"/>
    <n v="1832.76"/>
    <n v="4368"/>
    <n v="131.04"/>
    <n v="4499.04"/>
    <n v="2015"/>
  </r>
  <r>
    <x v="1"/>
    <n v="5037"/>
    <n v="1409"/>
    <n v="112.72"/>
    <n v="1521.72"/>
    <n v="3628"/>
    <n v="108.84"/>
    <n v="3736.84"/>
    <n v="2015"/>
  </r>
  <r>
    <x v="1"/>
    <n v="705"/>
    <n v="197"/>
    <n v="15.76"/>
    <n v="212.76"/>
    <n v="508"/>
    <n v="15.24"/>
    <n v="523.24"/>
    <n v="2015"/>
  </r>
  <r>
    <x v="1"/>
    <n v="566"/>
    <n v="158"/>
    <n v="12.64"/>
    <n v="170.64"/>
    <n v="408"/>
    <n v="12.24"/>
    <n v="420.24"/>
    <n v="2015"/>
  </r>
  <r>
    <x v="1"/>
    <n v="566"/>
    <n v="158"/>
    <n v="12.64"/>
    <n v="170.64"/>
    <n v="408"/>
    <n v="12.24"/>
    <n v="420.24"/>
    <n v="2015"/>
  </r>
  <r>
    <x v="1"/>
    <n v="938"/>
    <n v="263"/>
    <n v="21.04"/>
    <n v="284.04000000000002"/>
    <n v="675"/>
    <n v="20.25"/>
    <n v="695.25"/>
    <n v="2015"/>
  </r>
  <r>
    <x v="1"/>
    <n v="938"/>
    <n v="263"/>
    <n v="21.04"/>
    <n v="284.04000000000002"/>
    <n v="675"/>
    <n v="20.25"/>
    <n v="695.25"/>
    <n v="2015"/>
  </r>
  <r>
    <x v="1"/>
    <n v="938"/>
    <n v="263"/>
    <n v="21.04"/>
    <n v="284.04000000000002"/>
    <n v="675"/>
    <n v="20.25"/>
    <n v="695.25"/>
    <n v="2015"/>
  </r>
  <r>
    <x v="1"/>
    <n v="873"/>
    <n v="244"/>
    <n v="19.52"/>
    <n v="263.52"/>
    <n v="629"/>
    <n v="18.87"/>
    <n v="647.87"/>
    <n v="2015"/>
  </r>
  <r>
    <x v="1"/>
    <n v="873"/>
    <n v="244"/>
    <n v="19.52"/>
    <n v="263.52"/>
    <n v="629"/>
    <n v="18.87"/>
    <n v="647.87"/>
    <n v="2015"/>
  </r>
  <r>
    <x v="1"/>
    <n v="873"/>
    <n v="244"/>
    <n v="19.52"/>
    <n v="263.52"/>
    <n v="629"/>
    <n v="18.87"/>
    <n v="647.87"/>
    <n v="2015"/>
  </r>
  <r>
    <x v="1"/>
    <n v="776"/>
    <n v="217"/>
    <n v="17.36"/>
    <n v="234.36"/>
    <n v="559"/>
    <n v="16.77"/>
    <n v="575.77"/>
    <n v="2015"/>
  </r>
  <r>
    <x v="1"/>
    <n v="697"/>
    <n v="195"/>
    <n v="15.6"/>
    <n v="210.6"/>
    <n v="502"/>
    <n v="15.06"/>
    <n v="517.05999999999995"/>
    <n v="2015"/>
  </r>
  <r>
    <x v="1"/>
    <n v="697"/>
    <n v="195"/>
    <n v="15.6"/>
    <n v="210.6"/>
    <n v="502"/>
    <n v="15.06"/>
    <n v="517.05999999999995"/>
    <n v="2015"/>
  </r>
  <r>
    <x v="1"/>
    <n v="776"/>
    <n v="217"/>
    <n v="17.36"/>
    <n v="234.36"/>
    <n v="559"/>
    <n v="16.77"/>
    <n v="575.77"/>
    <n v="2015"/>
  </r>
  <r>
    <x v="1"/>
    <n v="705"/>
    <n v="197"/>
    <n v="15.76"/>
    <n v="212.76"/>
    <n v="508"/>
    <n v="15.24"/>
    <n v="523.24"/>
    <n v="2015"/>
  </r>
  <r>
    <x v="1"/>
    <n v="784"/>
    <n v="219"/>
    <n v="17.52"/>
    <n v="236.52"/>
    <n v="565"/>
    <n v="16.95"/>
    <n v="581.95000000000005"/>
    <n v="2015"/>
  </r>
  <r>
    <x v="1"/>
    <n v="784"/>
    <n v="219"/>
    <n v="17.52"/>
    <n v="236.52"/>
    <n v="565"/>
    <n v="16.95"/>
    <n v="581.95000000000005"/>
    <n v="2015"/>
  </r>
  <r>
    <x v="2"/>
    <n v="439"/>
    <n v="123"/>
    <n v="9.84"/>
    <n v="132.84"/>
    <n v="316"/>
    <n v="9.48"/>
    <n v="325.48"/>
    <n v="2015"/>
  </r>
  <r>
    <x v="2"/>
    <n v="503"/>
    <n v="141"/>
    <n v="11.28"/>
    <n v="152.28"/>
    <n v="362"/>
    <n v="10.86"/>
    <n v="372.86"/>
    <n v="2015"/>
  </r>
  <r>
    <x v="2"/>
    <n v="404"/>
    <n v="112"/>
    <n v="8.9600000000000009"/>
    <n v="120.96000000000001"/>
    <n v="292"/>
    <n v="8.76"/>
    <n v="300.76"/>
    <n v="2015"/>
  </r>
  <r>
    <x v="2"/>
    <n v="3055"/>
    <n v="855"/>
    <n v="68.400000000000006"/>
    <n v="923.4"/>
    <n v="2200"/>
    <n v="66"/>
    <n v="2266"/>
    <n v="2015"/>
  </r>
  <r>
    <x v="2"/>
    <n v="735"/>
    <n v="206"/>
    <n v="16.48"/>
    <n v="222.48"/>
    <n v="529"/>
    <n v="15.87"/>
    <n v="544.87"/>
    <n v="2015"/>
  </r>
  <r>
    <x v="2"/>
    <n v="3109"/>
    <n v="870"/>
    <n v="69.599999999999994"/>
    <n v="939.6"/>
    <n v="2239"/>
    <n v="67.17"/>
    <n v="2306.17"/>
    <n v="2015"/>
  </r>
  <r>
    <x v="2"/>
    <n v="700"/>
    <n v="196"/>
    <n v="15.68"/>
    <n v="211.68"/>
    <n v="504"/>
    <n v="15.12"/>
    <n v="519.12"/>
    <n v="2015"/>
  </r>
  <r>
    <x v="2"/>
    <n v="594"/>
    <n v="166"/>
    <n v="13.28"/>
    <n v="179.28"/>
    <n v="428"/>
    <n v="12.84"/>
    <n v="440.84"/>
    <n v="2015"/>
  </r>
  <r>
    <x v="2"/>
    <n v="700"/>
    <n v="196"/>
    <n v="15.68"/>
    <n v="211.68"/>
    <n v="504"/>
    <n v="15.12"/>
    <n v="519.12"/>
    <n v="2015"/>
  </r>
  <r>
    <x v="2"/>
    <n v="2096"/>
    <n v="587"/>
    <n v="46.96"/>
    <n v="633.96"/>
    <n v="1509"/>
    <n v="45.27"/>
    <n v="1554.27"/>
    <n v="2015"/>
  </r>
  <r>
    <x v="2"/>
    <n v="700"/>
    <n v="196"/>
    <n v="15.68"/>
    <n v="211.68"/>
    <n v="504"/>
    <n v="15.12"/>
    <n v="519.12"/>
    <n v="2015"/>
  </r>
  <r>
    <x v="2"/>
    <n v="10355"/>
    <n v="2897"/>
    <n v="231.76"/>
    <n v="3128.76"/>
    <n v="7458"/>
    <n v="223.74"/>
    <n v="7681.74"/>
    <n v="2015"/>
  </r>
  <r>
    <x v="2"/>
    <n v="806"/>
    <n v="225"/>
    <n v="18"/>
    <n v="243"/>
    <n v="581"/>
    <n v="17.43"/>
    <n v="598.42999999999995"/>
    <n v="2015"/>
  </r>
  <r>
    <x v="2"/>
    <n v="700"/>
    <n v="196"/>
    <n v="15.68"/>
    <n v="211.68"/>
    <n v="504"/>
    <n v="15.12"/>
    <n v="519.12"/>
    <n v="2015"/>
  </r>
  <r>
    <x v="2"/>
    <n v="582"/>
    <n v="163"/>
    <n v="13.04"/>
    <n v="176.04"/>
    <n v="419"/>
    <n v="12.57"/>
    <n v="431.57"/>
    <n v="2015"/>
  </r>
  <r>
    <x v="2"/>
    <n v="700"/>
    <n v="196"/>
    <n v="15.68"/>
    <n v="211.68"/>
    <n v="504"/>
    <n v="15.12"/>
    <n v="519.12"/>
    <n v="2015"/>
  </r>
  <r>
    <x v="2"/>
    <n v="3109"/>
    <n v="870"/>
    <n v="69.599999999999994"/>
    <n v="939.6"/>
    <n v="2239"/>
    <n v="67.17"/>
    <n v="2306.17"/>
    <n v="2015"/>
  </r>
  <r>
    <x v="2"/>
    <n v="735"/>
    <n v="206"/>
    <n v="16.48"/>
    <n v="222.48"/>
    <n v="529"/>
    <n v="15.87"/>
    <n v="544.87"/>
    <n v="2015"/>
  </r>
  <r>
    <x v="2"/>
    <n v="525"/>
    <n v="147"/>
    <n v="11.76"/>
    <n v="158.76"/>
    <n v="378"/>
    <n v="11.34"/>
    <n v="389.34"/>
    <n v="2015"/>
  </r>
  <r>
    <x v="2"/>
    <n v="2473"/>
    <n v="692"/>
    <n v="55.36"/>
    <n v="747.36"/>
    <n v="1781"/>
    <n v="53.43"/>
    <n v="1834.43"/>
    <n v="2015"/>
  </r>
  <r>
    <x v="2"/>
    <n v="3109"/>
    <n v="870"/>
    <n v="69.599999999999994"/>
    <n v="939.6"/>
    <n v="2239"/>
    <n v="67.17"/>
    <n v="2306.17"/>
    <n v="2015"/>
  </r>
  <r>
    <x v="2"/>
    <n v="1278"/>
    <n v="358"/>
    <n v="28.64"/>
    <n v="386.64"/>
    <n v="920"/>
    <n v="27.6"/>
    <n v="947.6"/>
    <n v="2015"/>
  </r>
  <r>
    <x v="2"/>
    <n v="1554"/>
    <n v="435"/>
    <n v="34.799999999999997"/>
    <n v="469.8"/>
    <n v="1119"/>
    <n v="33.57"/>
    <n v="1152.57"/>
    <n v="2015"/>
  </r>
  <r>
    <x v="2"/>
    <n v="2272"/>
    <n v="636"/>
    <n v="50.88"/>
    <n v="686.88"/>
    <n v="1636"/>
    <n v="49.08"/>
    <n v="1685.08"/>
    <n v="2015"/>
  </r>
  <r>
    <x v="2"/>
    <n v="3709"/>
    <n v="1038"/>
    <n v="83.04"/>
    <n v="1121.04"/>
    <n v="2671"/>
    <n v="80.13"/>
    <n v="2751.13"/>
    <n v="2015"/>
  </r>
  <r>
    <x v="2"/>
    <n v="500"/>
    <n v="140"/>
    <n v="11.2"/>
    <n v="151.19999999999999"/>
    <n v="360"/>
    <n v="10.8"/>
    <n v="370.8"/>
    <n v="2015"/>
  </r>
  <r>
    <x v="3"/>
    <n v="10224"/>
    <n v="2861"/>
    <n v="228.88"/>
    <n v="3089.88"/>
    <n v="7363"/>
    <n v="220.89"/>
    <n v="7583.89"/>
    <n v="2015"/>
  </r>
  <r>
    <x v="3"/>
    <n v="16783"/>
    <n v="4696"/>
    <n v="375.68"/>
    <n v="5071.68"/>
    <n v="12087"/>
    <n v="362.61"/>
    <n v="12449.61"/>
    <n v="2015"/>
  </r>
  <r>
    <x v="3"/>
    <n v="6558"/>
    <n v="1835"/>
    <n v="146.80000000000001"/>
    <n v="1981.8"/>
    <n v="4723"/>
    <n v="141.69"/>
    <n v="4864.6899999999996"/>
    <n v="2015"/>
  </r>
  <r>
    <x v="3"/>
    <n v="5582"/>
    <n v="1562"/>
    <n v="124.96"/>
    <n v="1686.96"/>
    <n v="4020"/>
    <n v="120.6"/>
    <n v="4140.6000000000004"/>
    <n v="2015"/>
  </r>
  <r>
    <x v="3"/>
    <n v="5282"/>
    <n v="1478"/>
    <n v="118.24"/>
    <n v="1596.24"/>
    <n v="3804"/>
    <n v="114.12"/>
    <n v="3918.12"/>
    <n v="2015"/>
  </r>
  <r>
    <x v="3"/>
    <n v="10519"/>
    <n v="2943"/>
    <n v="235.44"/>
    <n v="3178.44"/>
    <n v="7576"/>
    <n v="227.28"/>
    <n v="7803.28"/>
    <n v="2015"/>
  </r>
  <r>
    <x v="3"/>
    <n v="4708"/>
    <n v="1317"/>
    <n v="105.36"/>
    <n v="1422.36"/>
    <n v="3391"/>
    <n v="101.73"/>
    <n v="3492.73"/>
    <n v="2015"/>
  </r>
  <r>
    <x v="3"/>
    <n v="8438"/>
    <n v="2361"/>
    <n v="188.88"/>
    <n v="2549.88"/>
    <n v="6077"/>
    <n v="182.31"/>
    <n v="6259.31"/>
    <n v="2015"/>
  </r>
  <r>
    <x v="4"/>
    <n v="10249"/>
    <n v="2867"/>
    <n v="229.36"/>
    <n v="3096.36"/>
    <n v="7382"/>
    <n v="221.46"/>
    <n v="7603.46"/>
    <n v="2015"/>
  </r>
  <r>
    <x v="4"/>
    <n v="15735"/>
    <n v="4392"/>
    <n v="351.36"/>
    <n v="4743.3599999999997"/>
    <n v="11343"/>
    <n v="340.29"/>
    <n v="11683.29"/>
    <n v="2015"/>
  </r>
  <r>
    <x v="4"/>
    <n v="12953"/>
    <n v="3624"/>
    <n v="289.92"/>
    <n v="3913.92"/>
    <n v="9329"/>
    <n v="279.87"/>
    <n v="9608.8700000000008"/>
    <n v="2015"/>
  </r>
  <r>
    <x v="4"/>
    <n v="7645"/>
    <n v="2139"/>
    <n v="171.12"/>
    <n v="2310.12"/>
    <n v="5506"/>
    <n v="165.18"/>
    <n v="5671.18"/>
    <n v="2015"/>
  </r>
  <r>
    <x v="5"/>
    <n v="13921"/>
    <n v="3895"/>
    <n v="311.60000000000002"/>
    <n v="4206.6000000000004"/>
    <n v="10026"/>
    <n v="300.77999999999997"/>
    <n v="10326.780000000001"/>
    <n v="2015"/>
  </r>
  <r>
    <x v="5"/>
    <n v="10788"/>
    <n v="3018"/>
    <n v="241.44"/>
    <n v="3259.44"/>
    <n v="7770"/>
    <n v="233.1"/>
    <n v="8003.1"/>
    <n v="2015"/>
  </r>
  <r>
    <x v="5"/>
    <n v="6208"/>
    <n v="1737"/>
    <n v="138.96"/>
    <n v="1875.96"/>
    <n v="4471"/>
    <n v="134.13"/>
    <n v="4605.13"/>
    <n v="2015"/>
  </r>
  <r>
    <x v="5"/>
    <n v="5297"/>
    <n v="1482"/>
    <n v="118.56"/>
    <n v="1600.56"/>
    <n v="3815"/>
    <n v="114.45"/>
    <n v="3929.45"/>
    <n v="201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2:C9" firstHeaderRow="0" firstDataRow="1" firstDataCol="1"/>
  <pivotFields count="9">
    <pivotField axis="axisRow" showAll="0">
      <items count="7">
        <item x="5"/>
        <item x="4"/>
        <item x="3"/>
        <item x="2"/>
        <item x="1"/>
        <item x="0"/>
        <item t="default"/>
      </items>
    </pivotField>
    <pivotField showAll="0"/>
    <pivotField showAll="0"/>
    <pivotField showAll="0"/>
    <pivotField dataField="1" showAll="0"/>
    <pivotField showAll="0"/>
    <pivotField showAll="0"/>
    <pivotField dataField="1" showAll="0"/>
    <pivotField showAll="0"/>
  </pivotFields>
  <rowFields count="1">
    <field x="0"/>
  </rowFields>
  <rowItems count="7">
    <i>
      <x/>
    </i>
    <i>
      <x v="1"/>
    </i>
    <i>
      <x v="2"/>
    </i>
    <i>
      <x v="3"/>
    </i>
    <i>
      <x v="4"/>
    </i>
    <i>
      <x v="5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TEOM+ROLE" fld="4" baseField="0" baseItem="2" numFmtId="4"/>
    <dataField name="Somme de TFPB+ROLE" fld="7" baseField="0" baseItem="2" numFmtId="4"/>
  </dataFields>
  <formats count="11">
    <format dxfId="10">
      <pivotArea field="0" type="button" dataOnly="0" labelOnly="1" outline="0" axis="axisRow" fieldPosition="0"/>
    </format>
    <format dxfId="9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8">
      <pivotArea type="all" dataOnly="0" outline="0" collapsedLevelsAreSubtotals="1" fieldPosition="0"/>
    </format>
    <format dxfId="7">
      <pivotArea type="all" dataOnly="0" outline="0" collapsedLevelsAreSubtotals="1" fieldPosition="0"/>
    </format>
    <format dxfId="6">
      <pivotArea type="all" dataOnly="0" outline="0" collapsedLevelsAreSubtotals="1" fieldPosition="0"/>
    </format>
    <format dxfId="5">
      <pivotArea outline="0" collapsedLevelsAreSubtotals="1" fieldPosition="0"/>
    </format>
    <format dxfId="4">
      <pivotArea type="all" dataOnly="0" outline="0" collapsedLevelsAreSubtotals="1" fieldPosition="0"/>
    </format>
    <format dxfId="3">
      <pivotArea field="0" type="button" dataOnly="0" labelOnly="1" outline="0" axis="axisRow" fieldPosition="0"/>
    </format>
    <format dxfId="2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1">
      <pivotArea grandRow="1" outline="0" collapsedLevelsAreSubtotals="1" fieldPosition="0"/>
    </format>
    <format dxfId="0">
      <pivotArea dataOnly="0" labelOnly="1" grandRow="1" outline="0" fieldPosition="0"/>
    </format>
  </format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2.bin"/><Relationship Id="rId1" Type="http://schemas.openxmlformats.org/officeDocument/2006/relationships/pivotTable" Target="../pivotTables/pivotTable1.x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F0"/>
    <pageSetUpPr fitToPage="1"/>
  </sheetPr>
  <dimension ref="A1:AV53"/>
  <sheetViews>
    <sheetView showGridLines="0" tabSelected="1" zoomScale="85" zoomScaleNormal="85" zoomScaleSheetLayoutView="85" workbookViewId="0">
      <pane xSplit="1" ySplit="1" topLeftCell="B2" activePane="bottomRight" state="frozen"/>
      <selection activeCell="G29" sqref="G29"/>
      <selection pane="topRight" activeCell="G29" sqref="G29"/>
      <selection pane="bottomLeft" activeCell="G29" sqref="G29"/>
      <selection pane="bottomRight" activeCell="F4" sqref="F4"/>
    </sheetView>
  </sheetViews>
  <sheetFormatPr baseColWidth="10" defaultRowHeight="12" outlineLevelRow="1"/>
  <cols>
    <col min="1" max="1" width="39.28515625" style="19" bestFit="1" customWidth="1"/>
    <col min="2" max="3" width="5.5703125" style="19" bestFit="1" customWidth="1"/>
    <col min="4" max="4" width="7" style="19" bestFit="1" customWidth="1"/>
    <col min="5" max="13" width="7.7109375" style="19" bestFit="1" customWidth="1"/>
    <col min="14" max="14" width="8.42578125" style="19" bestFit="1" customWidth="1"/>
    <col min="15" max="18" width="7.7109375" style="19" bestFit="1" customWidth="1"/>
    <col min="19" max="19" width="8.42578125" style="19" bestFit="1" customWidth="1"/>
    <col min="20" max="23" width="7.7109375" style="19" bestFit="1" customWidth="1"/>
    <col min="24" max="24" width="8.42578125" style="19" bestFit="1" customWidth="1"/>
    <col min="25" max="30" width="7.7109375" style="19" bestFit="1" customWidth="1"/>
    <col min="31" max="31" width="8.42578125" style="19" bestFit="1" customWidth="1"/>
    <col min="32" max="33" width="7.7109375" style="19" bestFit="1" customWidth="1"/>
    <col min="34" max="34" width="8.42578125" style="19" bestFit="1" customWidth="1"/>
    <col min="35" max="35" width="7.85546875" style="19" bestFit="1" customWidth="1"/>
    <col min="36" max="39" width="7.7109375" style="19" bestFit="1" customWidth="1"/>
    <col min="40" max="40" width="8.42578125" style="19" bestFit="1" customWidth="1"/>
    <col min="41" max="42" width="7.7109375" style="19" bestFit="1" customWidth="1"/>
    <col min="43" max="43" width="8.42578125" style="19" bestFit="1" customWidth="1"/>
    <col min="44" max="45" width="9" style="19" bestFit="1" customWidth="1"/>
    <col min="46" max="46" width="15" style="19" bestFit="1" customWidth="1"/>
    <col min="47" max="47" width="11.5703125" style="19" bestFit="1" customWidth="1"/>
    <col min="48" max="48" width="37.28515625" style="19" bestFit="1" customWidth="1"/>
    <col min="49" max="256" width="11.42578125" style="19"/>
    <col min="257" max="257" width="39.28515625" style="19" bestFit="1" customWidth="1"/>
    <col min="258" max="259" width="5.5703125" style="19" bestFit="1" customWidth="1"/>
    <col min="260" max="260" width="7" style="19" bestFit="1" customWidth="1"/>
    <col min="261" max="269" width="7.7109375" style="19" bestFit="1" customWidth="1"/>
    <col min="270" max="270" width="8.42578125" style="19" bestFit="1" customWidth="1"/>
    <col min="271" max="274" width="7.7109375" style="19" bestFit="1" customWidth="1"/>
    <col min="275" max="275" width="8.42578125" style="19" bestFit="1" customWidth="1"/>
    <col min="276" max="279" width="7.7109375" style="19" bestFit="1" customWidth="1"/>
    <col min="280" max="280" width="8.42578125" style="19" bestFit="1" customWidth="1"/>
    <col min="281" max="286" width="7.7109375" style="19" bestFit="1" customWidth="1"/>
    <col min="287" max="287" width="8.42578125" style="19" bestFit="1" customWidth="1"/>
    <col min="288" max="289" width="7.7109375" style="19" bestFit="1" customWidth="1"/>
    <col min="290" max="290" width="8.42578125" style="19" bestFit="1" customWidth="1"/>
    <col min="291" max="291" width="7.85546875" style="19" bestFit="1" customWidth="1"/>
    <col min="292" max="295" width="7.7109375" style="19" bestFit="1" customWidth="1"/>
    <col min="296" max="296" width="8.42578125" style="19" bestFit="1" customWidth="1"/>
    <col min="297" max="298" width="7.7109375" style="19" bestFit="1" customWidth="1"/>
    <col min="299" max="299" width="8.42578125" style="19" bestFit="1" customWidth="1"/>
    <col min="300" max="301" width="9" style="19" bestFit="1" customWidth="1"/>
    <col min="302" max="302" width="15" style="19" bestFit="1" customWidth="1"/>
    <col min="303" max="303" width="11.5703125" style="19" bestFit="1" customWidth="1"/>
    <col min="304" max="304" width="37.28515625" style="19" bestFit="1" customWidth="1"/>
    <col min="305" max="512" width="11.42578125" style="19"/>
    <col min="513" max="513" width="39.28515625" style="19" bestFit="1" customWidth="1"/>
    <col min="514" max="515" width="5.5703125" style="19" bestFit="1" customWidth="1"/>
    <col min="516" max="516" width="7" style="19" bestFit="1" customWidth="1"/>
    <col min="517" max="525" width="7.7109375" style="19" bestFit="1" customWidth="1"/>
    <col min="526" max="526" width="8.42578125" style="19" bestFit="1" customWidth="1"/>
    <col min="527" max="530" width="7.7109375" style="19" bestFit="1" customWidth="1"/>
    <col min="531" max="531" width="8.42578125" style="19" bestFit="1" customWidth="1"/>
    <col min="532" max="535" width="7.7109375" style="19" bestFit="1" customWidth="1"/>
    <col min="536" max="536" width="8.42578125" style="19" bestFit="1" customWidth="1"/>
    <col min="537" max="542" width="7.7109375" style="19" bestFit="1" customWidth="1"/>
    <col min="543" max="543" width="8.42578125" style="19" bestFit="1" customWidth="1"/>
    <col min="544" max="545" width="7.7109375" style="19" bestFit="1" customWidth="1"/>
    <col min="546" max="546" width="8.42578125" style="19" bestFit="1" customWidth="1"/>
    <col min="547" max="547" width="7.85546875" style="19" bestFit="1" customWidth="1"/>
    <col min="548" max="551" width="7.7109375" style="19" bestFit="1" customWidth="1"/>
    <col min="552" max="552" width="8.42578125" style="19" bestFit="1" customWidth="1"/>
    <col min="553" max="554" width="7.7109375" style="19" bestFit="1" customWidth="1"/>
    <col min="555" max="555" width="8.42578125" style="19" bestFit="1" customWidth="1"/>
    <col min="556" max="557" width="9" style="19" bestFit="1" customWidth="1"/>
    <col min="558" max="558" width="15" style="19" bestFit="1" customWidth="1"/>
    <col min="559" max="559" width="11.5703125" style="19" bestFit="1" customWidth="1"/>
    <col min="560" max="560" width="37.28515625" style="19" bestFit="1" customWidth="1"/>
    <col min="561" max="768" width="11.42578125" style="19"/>
    <col min="769" max="769" width="39.28515625" style="19" bestFit="1" customWidth="1"/>
    <col min="770" max="771" width="5.5703125" style="19" bestFit="1" customWidth="1"/>
    <col min="772" max="772" width="7" style="19" bestFit="1" customWidth="1"/>
    <col min="773" max="781" width="7.7109375" style="19" bestFit="1" customWidth="1"/>
    <col min="782" max="782" width="8.42578125" style="19" bestFit="1" customWidth="1"/>
    <col min="783" max="786" width="7.7109375" style="19" bestFit="1" customWidth="1"/>
    <col min="787" max="787" width="8.42578125" style="19" bestFit="1" customWidth="1"/>
    <col min="788" max="791" width="7.7109375" style="19" bestFit="1" customWidth="1"/>
    <col min="792" max="792" width="8.42578125" style="19" bestFit="1" customWidth="1"/>
    <col min="793" max="798" width="7.7109375" style="19" bestFit="1" customWidth="1"/>
    <col min="799" max="799" width="8.42578125" style="19" bestFit="1" customWidth="1"/>
    <col min="800" max="801" width="7.7109375" style="19" bestFit="1" customWidth="1"/>
    <col min="802" max="802" width="8.42578125" style="19" bestFit="1" customWidth="1"/>
    <col min="803" max="803" width="7.85546875" style="19" bestFit="1" customWidth="1"/>
    <col min="804" max="807" width="7.7109375" style="19" bestFit="1" customWidth="1"/>
    <col min="808" max="808" width="8.42578125" style="19" bestFit="1" customWidth="1"/>
    <col min="809" max="810" width="7.7109375" style="19" bestFit="1" customWidth="1"/>
    <col min="811" max="811" width="8.42578125" style="19" bestFit="1" customWidth="1"/>
    <col min="812" max="813" width="9" style="19" bestFit="1" customWidth="1"/>
    <col min="814" max="814" width="15" style="19" bestFit="1" customWidth="1"/>
    <col min="815" max="815" width="11.5703125" style="19" bestFit="1" customWidth="1"/>
    <col min="816" max="816" width="37.28515625" style="19" bestFit="1" customWidth="1"/>
    <col min="817" max="1024" width="11.42578125" style="19"/>
    <col min="1025" max="1025" width="39.28515625" style="19" bestFit="1" customWidth="1"/>
    <col min="1026" max="1027" width="5.5703125" style="19" bestFit="1" customWidth="1"/>
    <col min="1028" max="1028" width="7" style="19" bestFit="1" customWidth="1"/>
    <col min="1029" max="1037" width="7.7109375" style="19" bestFit="1" customWidth="1"/>
    <col min="1038" max="1038" width="8.42578125" style="19" bestFit="1" customWidth="1"/>
    <col min="1039" max="1042" width="7.7109375" style="19" bestFit="1" customWidth="1"/>
    <col min="1043" max="1043" width="8.42578125" style="19" bestFit="1" customWidth="1"/>
    <col min="1044" max="1047" width="7.7109375" style="19" bestFit="1" customWidth="1"/>
    <col min="1048" max="1048" width="8.42578125" style="19" bestFit="1" customWidth="1"/>
    <col min="1049" max="1054" width="7.7109375" style="19" bestFit="1" customWidth="1"/>
    <col min="1055" max="1055" width="8.42578125" style="19" bestFit="1" customWidth="1"/>
    <col min="1056" max="1057" width="7.7109375" style="19" bestFit="1" customWidth="1"/>
    <col min="1058" max="1058" width="8.42578125" style="19" bestFit="1" customWidth="1"/>
    <col min="1059" max="1059" width="7.85546875" style="19" bestFit="1" customWidth="1"/>
    <col min="1060" max="1063" width="7.7109375" style="19" bestFit="1" customWidth="1"/>
    <col min="1064" max="1064" width="8.42578125" style="19" bestFit="1" customWidth="1"/>
    <col min="1065" max="1066" width="7.7109375" style="19" bestFit="1" customWidth="1"/>
    <col min="1067" max="1067" width="8.42578125" style="19" bestFit="1" customWidth="1"/>
    <col min="1068" max="1069" width="9" style="19" bestFit="1" customWidth="1"/>
    <col min="1070" max="1070" width="15" style="19" bestFit="1" customWidth="1"/>
    <col min="1071" max="1071" width="11.5703125" style="19" bestFit="1" customWidth="1"/>
    <col min="1072" max="1072" width="37.28515625" style="19" bestFit="1" customWidth="1"/>
    <col min="1073" max="1280" width="11.42578125" style="19"/>
    <col min="1281" max="1281" width="39.28515625" style="19" bestFit="1" customWidth="1"/>
    <col min="1282" max="1283" width="5.5703125" style="19" bestFit="1" customWidth="1"/>
    <col min="1284" max="1284" width="7" style="19" bestFit="1" customWidth="1"/>
    <col min="1285" max="1293" width="7.7109375" style="19" bestFit="1" customWidth="1"/>
    <col min="1294" max="1294" width="8.42578125" style="19" bestFit="1" customWidth="1"/>
    <col min="1295" max="1298" width="7.7109375" style="19" bestFit="1" customWidth="1"/>
    <col min="1299" max="1299" width="8.42578125" style="19" bestFit="1" customWidth="1"/>
    <col min="1300" max="1303" width="7.7109375" style="19" bestFit="1" customWidth="1"/>
    <col min="1304" max="1304" width="8.42578125" style="19" bestFit="1" customWidth="1"/>
    <col min="1305" max="1310" width="7.7109375" style="19" bestFit="1" customWidth="1"/>
    <col min="1311" max="1311" width="8.42578125" style="19" bestFit="1" customWidth="1"/>
    <col min="1312" max="1313" width="7.7109375" style="19" bestFit="1" customWidth="1"/>
    <col min="1314" max="1314" width="8.42578125" style="19" bestFit="1" customWidth="1"/>
    <col min="1315" max="1315" width="7.85546875" style="19" bestFit="1" customWidth="1"/>
    <col min="1316" max="1319" width="7.7109375" style="19" bestFit="1" customWidth="1"/>
    <col min="1320" max="1320" width="8.42578125" style="19" bestFit="1" customWidth="1"/>
    <col min="1321" max="1322" width="7.7109375" style="19" bestFit="1" customWidth="1"/>
    <col min="1323" max="1323" width="8.42578125" style="19" bestFit="1" customWidth="1"/>
    <col min="1324" max="1325" width="9" style="19" bestFit="1" customWidth="1"/>
    <col min="1326" max="1326" width="15" style="19" bestFit="1" customWidth="1"/>
    <col min="1327" max="1327" width="11.5703125" style="19" bestFit="1" customWidth="1"/>
    <col min="1328" max="1328" width="37.28515625" style="19" bestFit="1" customWidth="1"/>
    <col min="1329" max="1536" width="11.42578125" style="19"/>
    <col min="1537" max="1537" width="39.28515625" style="19" bestFit="1" customWidth="1"/>
    <col min="1538" max="1539" width="5.5703125" style="19" bestFit="1" customWidth="1"/>
    <col min="1540" max="1540" width="7" style="19" bestFit="1" customWidth="1"/>
    <col min="1541" max="1549" width="7.7109375" style="19" bestFit="1" customWidth="1"/>
    <col min="1550" max="1550" width="8.42578125" style="19" bestFit="1" customWidth="1"/>
    <col min="1551" max="1554" width="7.7109375" style="19" bestFit="1" customWidth="1"/>
    <col min="1555" max="1555" width="8.42578125" style="19" bestFit="1" customWidth="1"/>
    <col min="1556" max="1559" width="7.7109375" style="19" bestFit="1" customWidth="1"/>
    <col min="1560" max="1560" width="8.42578125" style="19" bestFit="1" customWidth="1"/>
    <col min="1561" max="1566" width="7.7109375" style="19" bestFit="1" customWidth="1"/>
    <col min="1567" max="1567" width="8.42578125" style="19" bestFit="1" customWidth="1"/>
    <col min="1568" max="1569" width="7.7109375" style="19" bestFit="1" customWidth="1"/>
    <col min="1570" max="1570" width="8.42578125" style="19" bestFit="1" customWidth="1"/>
    <col min="1571" max="1571" width="7.85546875" style="19" bestFit="1" customWidth="1"/>
    <col min="1572" max="1575" width="7.7109375" style="19" bestFit="1" customWidth="1"/>
    <col min="1576" max="1576" width="8.42578125" style="19" bestFit="1" customWidth="1"/>
    <col min="1577" max="1578" width="7.7109375" style="19" bestFit="1" customWidth="1"/>
    <col min="1579" max="1579" width="8.42578125" style="19" bestFit="1" customWidth="1"/>
    <col min="1580" max="1581" width="9" style="19" bestFit="1" customWidth="1"/>
    <col min="1582" max="1582" width="15" style="19" bestFit="1" customWidth="1"/>
    <col min="1583" max="1583" width="11.5703125" style="19" bestFit="1" customWidth="1"/>
    <col min="1584" max="1584" width="37.28515625" style="19" bestFit="1" customWidth="1"/>
    <col min="1585" max="1792" width="11.42578125" style="19"/>
    <col min="1793" max="1793" width="39.28515625" style="19" bestFit="1" customWidth="1"/>
    <col min="1794" max="1795" width="5.5703125" style="19" bestFit="1" customWidth="1"/>
    <col min="1796" max="1796" width="7" style="19" bestFit="1" customWidth="1"/>
    <col min="1797" max="1805" width="7.7109375" style="19" bestFit="1" customWidth="1"/>
    <col min="1806" max="1806" width="8.42578125" style="19" bestFit="1" customWidth="1"/>
    <col min="1807" max="1810" width="7.7109375" style="19" bestFit="1" customWidth="1"/>
    <col min="1811" max="1811" width="8.42578125" style="19" bestFit="1" customWidth="1"/>
    <col min="1812" max="1815" width="7.7109375" style="19" bestFit="1" customWidth="1"/>
    <col min="1816" max="1816" width="8.42578125" style="19" bestFit="1" customWidth="1"/>
    <col min="1817" max="1822" width="7.7109375" style="19" bestFit="1" customWidth="1"/>
    <col min="1823" max="1823" width="8.42578125" style="19" bestFit="1" customWidth="1"/>
    <col min="1824" max="1825" width="7.7109375" style="19" bestFit="1" customWidth="1"/>
    <col min="1826" max="1826" width="8.42578125" style="19" bestFit="1" customWidth="1"/>
    <col min="1827" max="1827" width="7.85546875" style="19" bestFit="1" customWidth="1"/>
    <col min="1828" max="1831" width="7.7109375" style="19" bestFit="1" customWidth="1"/>
    <col min="1832" max="1832" width="8.42578125" style="19" bestFit="1" customWidth="1"/>
    <col min="1833" max="1834" width="7.7109375" style="19" bestFit="1" customWidth="1"/>
    <col min="1835" max="1835" width="8.42578125" style="19" bestFit="1" customWidth="1"/>
    <col min="1836" max="1837" width="9" style="19" bestFit="1" customWidth="1"/>
    <col min="1838" max="1838" width="15" style="19" bestFit="1" customWidth="1"/>
    <col min="1839" max="1839" width="11.5703125" style="19" bestFit="1" customWidth="1"/>
    <col min="1840" max="1840" width="37.28515625" style="19" bestFit="1" customWidth="1"/>
    <col min="1841" max="2048" width="11.42578125" style="19"/>
    <col min="2049" max="2049" width="39.28515625" style="19" bestFit="1" customWidth="1"/>
    <col min="2050" max="2051" width="5.5703125" style="19" bestFit="1" customWidth="1"/>
    <col min="2052" max="2052" width="7" style="19" bestFit="1" customWidth="1"/>
    <col min="2053" max="2061" width="7.7109375" style="19" bestFit="1" customWidth="1"/>
    <col min="2062" max="2062" width="8.42578125" style="19" bestFit="1" customWidth="1"/>
    <col min="2063" max="2066" width="7.7109375" style="19" bestFit="1" customWidth="1"/>
    <col min="2067" max="2067" width="8.42578125" style="19" bestFit="1" customWidth="1"/>
    <col min="2068" max="2071" width="7.7109375" style="19" bestFit="1" customWidth="1"/>
    <col min="2072" max="2072" width="8.42578125" style="19" bestFit="1" customWidth="1"/>
    <col min="2073" max="2078" width="7.7109375" style="19" bestFit="1" customWidth="1"/>
    <col min="2079" max="2079" width="8.42578125" style="19" bestFit="1" customWidth="1"/>
    <col min="2080" max="2081" width="7.7109375" style="19" bestFit="1" customWidth="1"/>
    <col min="2082" max="2082" width="8.42578125" style="19" bestFit="1" customWidth="1"/>
    <col min="2083" max="2083" width="7.85546875" style="19" bestFit="1" customWidth="1"/>
    <col min="2084" max="2087" width="7.7109375" style="19" bestFit="1" customWidth="1"/>
    <col min="2088" max="2088" width="8.42578125" style="19" bestFit="1" customWidth="1"/>
    <col min="2089" max="2090" width="7.7109375" style="19" bestFit="1" customWidth="1"/>
    <col min="2091" max="2091" width="8.42578125" style="19" bestFit="1" customWidth="1"/>
    <col min="2092" max="2093" width="9" style="19" bestFit="1" customWidth="1"/>
    <col min="2094" max="2094" width="15" style="19" bestFit="1" customWidth="1"/>
    <col min="2095" max="2095" width="11.5703125" style="19" bestFit="1" customWidth="1"/>
    <col min="2096" max="2096" width="37.28515625" style="19" bestFit="1" customWidth="1"/>
    <col min="2097" max="2304" width="11.42578125" style="19"/>
    <col min="2305" max="2305" width="39.28515625" style="19" bestFit="1" customWidth="1"/>
    <col min="2306" max="2307" width="5.5703125" style="19" bestFit="1" customWidth="1"/>
    <col min="2308" max="2308" width="7" style="19" bestFit="1" customWidth="1"/>
    <col min="2309" max="2317" width="7.7109375" style="19" bestFit="1" customWidth="1"/>
    <col min="2318" max="2318" width="8.42578125" style="19" bestFit="1" customWidth="1"/>
    <col min="2319" max="2322" width="7.7109375" style="19" bestFit="1" customWidth="1"/>
    <col min="2323" max="2323" width="8.42578125" style="19" bestFit="1" customWidth="1"/>
    <col min="2324" max="2327" width="7.7109375" style="19" bestFit="1" customWidth="1"/>
    <col min="2328" max="2328" width="8.42578125" style="19" bestFit="1" customWidth="1"/>
    <col min="2329" max="2334" width="7.7109375" style="19" bestFit="1" customWidth="1"/>
    <col min="2335" max="2335" width="8.42578125" style="19" bestFit="1" customWidth="1"/>
    <col min="2336" max="2337" width="7.7109375" style="19" bestFit="1" customWidth="1"/>
    <col min="2338" max="2338" width="8.42578125" style="19" bestFit="1" customWidth="1"/>
    <col min="2339" max="2339" width="7.85546875" style="19" bestFit="1" customWidth="1"/>
    <col min="2340" max="2343" width="7.7109375" style="19" bestFit="1" customWidth="1"/>
    <col min="2344" max="2344" width="8.42578125" style="19" bestFit="1" customWidth="1"/>
    <col min="2345" max="2346" width="7.7109375" style="19" bestFit="1" customWidth="1"/>
    <col min="2347" max="2347" width="8.42578125" style="19" bestFit="1" customWidth="1"/>
    <col min="2348" max="2349" width="9" style="19" bestFit="1" customWidth="1"/>
    <col min="2350" max="2350" width="15" style="19" bestFit="1" customWidth="1"/>
    <col min="2351" max="2351" width="11.5703125" style="19" bestFit="1" customWidth="1"/>
    <col min="2352" max="2352" width="37.28515625" style="19" bestFit="1" customWidth="1"/>
    <col min="2353" max="2560" width="11.42578125" style="19"/>
    <col min="2561" max="2561" width="39.28515625" style="19" bestFit="1" customWidth="1"/>
    <col min="2562" max="2563" width="5.5703125" style="19" bestFit="1" customWidth="1"/>
    <col min="2564" max="2564" width="7" style="19" bestFit="1" customWidth="1"/>
    <col min="2565" max="2573" width="7.7109375" style="19" bestFit="1" customWidth="1"/>
    <col min="2574" max="2574" width="8.42578125" style="19" bestFit="1" customWidth="1"/>
    <col min="2575" max="2578" width="7.7109375" style="19" bestFit="1" customWidth="1"/>
    <col min="2579" max="2579" width="8.42578125" style="19" bestFit="1" customWidth="1"/>
    <col min="2580" max="2583" width="7.7109375" style="19" bestFit="1" customWidth="1"/>
    <col min="2584" max="2584" width="8.42578125" style="19" bestFit="1" customWidth="1"/>
    <col min="2585" max="2590" width="7.7109375" style="19" bestFit="1" customWidth="1"/>
    <col min="2591" max="2591" width="8.42578125" style="19" bestFit="1" customWidth="1"/>
    <col min="2592" max="2593" width="7.7109375" style="19" bestFit="1" customWidth="1"/>
    <col min="2594" max="2594" width="8.42578125" style="19" bestFit="1" customWidth="1"/>
    <col min="2595" max="2595" width="7.85546875" style="19" bestFit="1" customWidth="1"/>
    <col min="2596" max="2599" width="7.7109375" style="19" bestFit="1" customWidth="1"/>
    <col min="2600" max="2600" width="8.42578125" style="19" bestFit="1" customWidth="1"/>
    <col min="2601" max="2602" width="7.7109375" style="19" bestFit="1" customWidth="1"/>
    <col min="2603" max="2603" width="8.42578125" style="19" bestFit="1" customWidth="1"/>
    <col min="2604" max="2605" width="9" style="19" bestFit="1" customWidth="1"/>
    <col min="2606" max="2606" width="15" style="19" bestFit="1" customWidth="1"/>
    <col min="2607" max="2607" width="11.5703125" style="19" bestFit="1" customWidth="1"/>
    <col min="2608" max="2608" width="37.28515625" style="19" bestFit="1" customWidth="1"/>
    <col min="2609" max="2816" width="11.42578125" style="19"/>
    <col min="2817" max="2817" width="39.28515625" style="19" bestFit="1" customWidth="1"/>
    <col min="2818" max="2819" width="5.5703125" style="19" bestFit="1" customWidth="1"/>
    <col min="2820" max="2820" width="7" style="19" bestFit="1" customWidth="1"/>
    <col min="2821" max="2829" width="7.7109375" style="19" bestFit="1" customWidth="1"/>
    <col min="2830" max="2830" width="8.42578125" style="19" bestFit="1" customWidth="1"/>
    <col min="2831" max="2834" width="7.7109375" style="19" bestFit="1" customWidth="1"/>
    <col min="2835" max="2835" width="8.42578125" style="19" bestFit="1" customWidth="1"/>
    <col min="2836" max="2839" width="7.7109375" style="19" bestFit="1" customWidth="1"/>
    <col min="2840" max="2840" width="8.42578125" style="19" bestFit="1" customWidth="1"/>
    <col min="2841" max="2846" width="7.7109375" style="19" bestFit="1" customWidth="1"/>
    <col min="2847" max="2847" width="8.42578125" style="19" bestFit="1" customWidth="1"/>
    <col min="2848" max="2849" width="7.7109375" style="19" bestFit="1" customWidth="1"/>
    <col min="2850" max="2850" width="8.42578125" style="19" bestFit="1" customWidth="1"/>
    <col min="2851" max="2851" width="7.85546875" style="19" bestFit="1" customWidth="1"/>
    <col min="2852" max="2855" width="7.7109375" style="19" bestFit="1" customWidth="1"/>
    <col min="2856" max="2856" width="8.42578125" style="19" bestFit="1" customWidth="1"/>
    <col min="2857" max="2858" width="7.7109375" style="19" bestFit="1" customWidth="1"/>
    <col min="2859" max="2859" width="8.42578125" style="19" bestFit="1" customWidth="1"/>
    <col min="2860" max="2861" width="9" style="19" bestFit="1" customWidth="1"/>
    <col min="2862" max="2862" width="15" style="19" bestFit="1" customWidth="1"/>
    <col min="2863" max="2863" width="11.5703125" style="19" bestFit="1" customWidth="1"/>
    <col min="2864" max="2864" width="37.28515625" style="19" bestFit="1" customWidth="1"/>
    <col min="2865" max="3072" width="11.42578125" style="19"/>
    <col min="3073" max="3073" width="39.28515625" style="19" bestFit="1" customWidth="1"/>
    <col min="3074" max="3075" width="5.5703125" style="19" bestFit="1" customWidth="1"/>
    <col min="3076" max="3076" width="7" style="19" bestFit="1" customWidth="1"/>
    <col min="3077" max="3085" width="7.7109375" style="19" bestFit="1" customWidth="1"/>
    <col min="3086" max="3086" width="8.42578125" style="19" bestFit="1" customWidth="1"/>
    <col min="3087" max="3090" width="7.7109375" style="19" bestFit="1" customWidth="1"/>
    <col min="3091" max="3091" width="8.42578125" style="19" bestFit="1" customWidth="1"/>
    <col min="3092" max="3095" width="7.7109375" style="19" bestFit="1" customWidth="1"/>
    <col min="3096" max="3096" width="8.42578125" style="19" bestFit="1" customWidth="1"/>
    <col min="3097" max="3102" width="7.7109375" style="19" bestFit="1" customWidth="1"/>
    <col min="3103" max="3103" width="8.42578125" style="19" bestFit="1" customWidth="1"/>
    <col min="3104" max="3105" width="7.7109375" style="19" bestFit="1" customWidth="1"/>
    <col min="3106" max="3106" width="8.42578125" style="19" bestFit="1" customWidth="1"/>
    <col min="3107" max="3107" width="7.85546875" style="19" bestFit="1" customWidth="1"/>
    <col min="3108" max="3111" width="7.7109375" style="19" bestFit="1" customWidth="1"/>
    <col min="3112" max="3112" width="8.42578125" style="19" bestFit="1" customWidth="1"/>
    <col min="3113" max="3114" width="7.7109375" style="19" bestFit="1" customWidth="1"/>
    <col min="3115" max="3115" width="8.42578125" style="19" bestFit="1" customWidth="1"/>
    <col min="3116" max="3117" width="9" style="19" bestFit="1" customWidth="1"/>
    <col min="3118" max="3118" width="15" style="19" bestFit="1" customWidth="1"/>
    <col min="3119" max="3119" width="11.5703125" style="19" bestFit="1" customWidth="1"/>
    <col min="3120" max="3120" width="37.28515625" style="19" bestFit="1" customWidth="1"/>
    <col min="3121" max="3328" width="11.42578125" style="19"/>
    <col min="3329" max="3329" width="39.28515625" style="19" bestFit="1" customWidth="1"/>
    <col min="3330" max="3331" width="5.5703125" style="19" bestFit="1" customWidth="1"/>
    <col min="3332" max="3332" width="7" style="19" bestFit="1" customWidth="1"/>
    <col min="3333" max="3341" width="7.7109375" style="19" bestFit="1" customWidth="1"/>
    <col min="3342" max="3342" width="8.42578125" style="19" bestFit="1" customWidth="1"/>
    <col min="3343" max="3346" width="7.7109375" style="19" bestFit="1" customWidth="1"/>
    <col min="3347" max="3347" width="8.42578125" style="19" bestFit="1" customWidth="1"/>
    <col min="3348" max="3351" width="7.7109375" style="19" bestFit="1" customWidth="1"/>
    <col min="3352" max="3352" width="8.42578125" style="19" bestFit="1" customWidth="1"/>
    <col min="3353" max="3358" width="7.7109375" style="19" bestFit="1" customWidth="1"/>
    <col min="3359" max="3359" width="8.42578125" style="19" bestFit="1" customWidth="1"/>
    <col min="3360" max="3361" width="7.7109375" style="19" bestFit="1" customWidth="1"/>
    <col min="3362" max="3362" width="8.42578125" style="19" bestFit="1" customWidth="1"/>
    <col min="3363" max="3363" width="7.85546875" style="19" bestFit="1" customWidth="1"/>
    <col min="3364" max="3367" width="7.7109375" style="19" bestFit="1" customWidth="1"/>
    <col min="3368" max="3368" width="8.42578125" style="19" bestFit="1" customWidth="1"/>
    <col min="3369" max="3370" width="7.7109375" style="19" bestFit="1" customWidth="1"/>
    <col min="3371" max="3371" width="8.42578125" style="19" bestFit="1" customWidth="1"/>
    <col min="3372" max="3373" width="9" style="19" bestFit="1" customWidth="1"/>
    <col min="3374" max="3374" width="15" style="19" bestFit="1" customWidth="1"/>
    <col min="3375" max="3375" width="11.5703125" style="19" bestFit="1" customWidth="1"/>
    <col min="3376" max="3376" width="37.28515625" style="19" bestFit="1" customWidth="1"/>
    <col min="3377" max="3584" width="11.42578125" style="19"/>
    <col min="3585" max="3585" width="39.28515625" style="19" bestFit="1" customWidth="1"/>
    <col min="3586" max="3587" width="5.5703125" style="19" bestFit="1" customWidth="1"/>
    <col min="3588" max="3588" width="7" style="19" bestFit="1" customWidth="1"/>
    <col min="3589" max="3597" width="7.7109375" style="19" bestFit="1" customWidth="1"/>
    <col min="3598" max="3598" width="8.42578125" style="19" bestFit="1" customWidth="1"/>
    <col min="3599" max="3602" width="7.7109375" style="19" bestFit="1" customWidth="1"/>
    <col min="3603" max="3603" width="8.42578125" style="19" bestFit="1" customWidth="1"/>
    <col min="3604" max="3607" width="7.7109375" style="19" bestFit="1" customWidth="1"/>
    <col min="3608" max="3608" width="8.42578125" style="19" bestFit="1" customWidth="1"/>
    <col min="3609" max="3614" width="7.7109375" style="19" bestFit="1" customWidth="1"/>
    <col min="3615" max="3615" width="8.42578125" style="19" bestFit="1" customWidth="1"/>
    <col min="3616" max="3617" width="7.7109375" style="19" bestFit="1" customWidth="1"/>
    <col min="3618" max="3618" width="8.42578125" style="19" bestFit="1" customWidth="1"/>
    <col min="3619" max="3619" width="7.85546875" style="19" bestFit="1" customWidth="1"/>
    <col min="3620" max="3623" width="7.7109375" style="19" bestFit="1" customWidth="1"/>
    <col min="3624" max="3624" width="8.42578125" style="19" bestFit="1" customWidth="1"/>
    <col min="3625" max="3626" width="7.7109375" style="19" bestFit="1" customWidth="1"/>
    <col min="3627" max="3627" width="8.42578125" style="19" bestFit="1" customWidth="1"/>
    <col min="3628" max="3629" width="9" style="19" bestFit="1" customWidth="1"/>
    <col min="3630" max="3630" width="15" style="19" bestFit="1" customWidth="1"/>
    <col min="3631" max="3631" width="11.5703125" style="19" bestFit="1" customWidth="1"/>
    <col min="3632" max="3632" width="37.28515625" style="19" bestFit="1" customWidth="1"/>
    <col min="3633" max="3840" width="11.42578125" style="19"/>
    <col min="3841" max="3841" width="39.28515625" style="19" bestFit="1" customWidth="1"/>
    <col min="3842" max="3843" width="5.5703125" style="19" bestFit="1" customWidth="1"/>
    <col min="3844" max="3844" width="7" style="19" bestFit="1" customWidth="1"/>
    <col min="3845" max="3853" width="7.7109375" style="19" bestFit="1" customWidth="1"/>
    <col min="3854" max="3854" width="8.42578125" style="19" bestFit="1" customWidth="1"/>
    <col min="3855" max="3858" width="7.7109375" style="19" bestFit="1" customWidth="1"/>
    <col min="3859" max="3859" width="8.42578125" style="19" bestFit="1" customWidth="1"/>
    <col min="3860" max="3863" width="7.7109375" style="19" bestFit="1" customWidth="1"/>
    <col min="3864" max="3864" width="8.42578125" style="19" bestFit="1" customWidth="1"/>
    <col min="3865" max="3870" width="7.7109375" style="19" bestFit="1" customWidth="1"/>
    <col min="3871" max="3871" width="8.42578125" style="19" bestFit="1" customWidth="1"/>
    <col min="3872" max="3873" width="7.7109375" style="19" bestFit="1" customWidth="1"/>
    <col min="3874" max="3874" width="8.42578125" style="19" bestFit="1" customWidth="1"/>
    <col min="3875" max="3875" width="7.85546875" style="19" bestFit="1" customWidth="1"/>
    <col min="3876" max="3879" width="7.7109375" style="19" bestFit="1" customWidth="1"/>
    <col min="3880" max="3880" width="8.42578125" style="19" bestFit="1" customWidth="1"/>
    <col min="3881" max="3882" width="7.7109375" style="19" bestFit="1" customWidth="1"/>
    <col min="3883" max="3883" width="8.42578125" style="19" bestFit="1" customWidth="1"/>
    <col min="3884" max="3885" width="9" style="19" bestFit="1" customWidth="1"/>
    <col min="3886" max="3886" width="15" style="19" bestFit="1" customWidth="1"/>
    <col min="3887" max="3887" width="11.5703125" style="19" bestFit="1" customWidth="1"/>
    <col min="3888" max="3888" width="37.28515625" style="19" bestFit="1" customWidth="1"/>
    <col min="3889" max="4096" width="11.42578125" style="19"/>
    <col min="4097" max="4097" width="39.28515625" style="19" bestFit="1" customWidth="1"/>
    <col min="4098" max="4099" width="5.5703125" style="19" bestFit="1" customWidth="1"/>
    <col min="4100" max="4100" width="7" style="19" bestFit="1" customWidth="1"/>
    <col min="4101" max="4109" width="7.7109375" style="19" bestFit="1" customWidth="1"/>
    <col min="4110" max="4110" width="8.42578125" style="19" bestFit="1" customWidth="1"/>
    <col min="4111" max="4114" width="7.7109375" style="19" bestFit="1" customWidth="1"/>
    <col min="4115" max="4115" width="8.42578125" style="19" bestFit="1" customWidth="1"/>
    <col min="4116" max="4119" width="7.7109375" style="19" bestFit="1" customWidth="1"/>
    <col min="4120" max="4120" width="8.42578125" style="19" bestFit="1" customWidth="1"/>
    <col min="4121" max="4126" width="7.7109375" style="19" bestFit="1" customWidth="1"/>
    <col min="4127" max="4127" width="8.42578125" style="19" bestFit="1" customWidth="1"/>
    <col min="4128" max="4129" width="7.7109375" style="19" bestFit="1" customWidth="1"/>
    <col min="4130" max="4130" width="8.42578125" style="19" bestFit="1" customWidth="1"/>
    <col min="4131" max="4131" width="7.85546875" style="19" bestFit="1" customWidth="1"/>
    <col min="4132" max="4135" width="7.7109375" style="19" bestFit="1" customWidth="1"/>
    <col min="4136" max="4136" width="8.42578125" style="19" bestFit="1" customWidth="1"/>
    <col min="4137" max="4138" width="7.7109375" style="19" bestFit="1" customWidth="1"/>
    <col min="4139" max="4139" width="8.42578125" style="19" bestFit="1" customWidth="1"/>
    <col min="4140" max="4141" width="9" style="19" bestFit="1" customWidth="1"/>
    <col min="4142" max="4142" width="15" style="19" bestFit="1" customWidth="1"/>
    <col min="4143" max="4143" width="11.5703125" style="19" bestFit="1" customWidth="1"/>
    <col min="4144" max="4144" width="37.28515625" style="19" bestFit="1" customWidth="1"/>
    <col min="4145" max="4352" width="11.42578125" style="19"/>
    <col min="4353" max="4353" width="39.28515625" style="19" bestFit="1" customWidth="1"/>
    <col min="4354" max="4355" width="5.5703125" style="19" bestFit="1" customWidth="1"/>
    <col min="4356" max="4356" width="7" style="19" bestFit="1" customWidth="1"/>
    <col min="4357" max="4365" width="7.7109375" style="19" bestFit="1" customWidth="1"/>
    <col min="4366" max="4366" width="8.42578125" style="19" bestFit="1" customWidth="1"/>
    <col min="4367" max="4370" width="7.7109375" style="19" bestFit="1" customWidth="1"/>
    <col min="4371" max="4371" width="8.42578125" style="19" bestFit="1" customWidth="1"/>
    <col min="4372" max="4375" width="7.7109375" style="19" bestFit="1" customWidth="1"/>
    <col min="4376" max="4376" width="8.42578125" style="19" bestFit="1" customWidth="1"/>
    <col min="4377" max="4382" width="7.7109375" style="19" bestFit="1" customWidth="1"/>
    <col min="4383" max="4383" width="8.42578125" style="19" bestFit="1" customWidth="1"/>
    <col min="4384" max="4385" width="7.7109375" style="19" bestFit="1" customWidth="1"/>
    <col min="4386" max="4386" width="8.42578125" style="19" bestFit="1" customWidth="1"/>
    <col min="4387" max="4387" width="7.85546875" style="19" bestFit="1" customWidth="1"/>
    <col min="4388" max="4391" width="7.7109375" style="19" bestFit="1" customWidth="1"/>
    <col min="4392" max="4392" width="8.42578125" style="19" bestFit="1" customWidth="1"/>
    <col min="4393" max="4394" width="7.7109375" style="19" bestFit="1" customWidth="1"/>
    <col min="4395" max="4395" width="8.42578125" style="19" bestFit="1" customWidth="1"/>
    <col min="4396" max="4397" width="9" style="19" bestFit="1" customWidth="1"/>
    <col min="4398" max="4398" width="15" style="19" bestFit="1" customWidth="1"/>
    <col min="4399" max="4399" width="11.5703125" style="19" bestFit="1" customWidth="1"/>
    <col min="4400" max="4400" width="37.28515625" style="19" bestFit="1" customWidth="1"/>
    <col min="4401" max="4608" width="11.42578125" style="19"/>
    <col min="4609" max="4609" width="39.28515625" style="19" bestFit="1" customWidth="1"/>
    <col min="4610" max="4611" width="5.5703125" style="19" bestFit="1" customWidth="1"/>
    <col min="4612" max="4612" width="7" style="19" bestFit="1" customWidth="1"/>
    <col min="4613" max="4621" width="7.7109375" style="19" bestFit="1" customWidth="1"/>
    <col min="4622" max="4622" width="8.42578125" style="19" bestFit="1" customWidth="1"/>
    <col min="4623" max="4626" width="7.7109375" style="19" bestFit="1" customWidth="1"/>
    <col min="4627" max="4627" width="8.42578125" style="19" bestFit="1" customWidth="1"/>
    <col min="4628" max="4631" width="7.7109375" style="19" bestFit="1" customWidth="1"/>
    <col min="4632" max="4632" width="8.42578125" style="19" bestFit="1" customWidth="1"/>
    <col min="4633" max="4638" width="7.7109375" style="19" bestFit="1" customWidth="1"/>
    <col min="4639" max="4639" width="8.42578125" style="19" bestFit="1" customWidth="1"/>
    <col min="4640" max="4641" width="7.7109375" style="19" bestFit="1" customWidth="1"/>
    <col min="4642" max="4642" width="8.42578125" style="19" bestFit="1" customWidth="1"/>
    <col min="4643" max="4643" width="7.85546875" style="19" bestFit="1" customWidth="1"/>
    <col min="4644" max="4647" width="7.7109375" style="19" bestFit="1" customWidth="1"/>
    <col min="4648" max="4648" width="8.42578125" style="19" bestFit="1" customWidth="1"/>
    <col min="4649" max="4650" width="7.7109375" style="19" bestFit="1" customWidth="1"/>
    <col min="4651" max="4651" width="8.42578125" style="19" bestFit="1" customWidth="1"/>
    <col min="4652" max="4653" width="9" style="19" bestFit="1" customWidth="1"/>
    <col min="4654" max="4654" width="15" style="19" bestFit="1" customWidth="1"/>
    <col min="4655" max="4655" width="11.5703125" style="19" bestFit="1" customWidth="1"/>
    <col min="4656" max="4656" width="37.28515625" style="19" bestFit="1" customWidth="1"/>
    <col min="4657" max="4864" width="11.42578125" style="19"/>
    <col min="4865" max="4865" width="39.28515625" style="19" bestFit="1" customWidth="1"/>
    <col min="4866" max="4867" width="5.5703125" style="19" bestFit="1" customWidth="1"/>
    <col min="4868" max="4868" width="7" style="19" bestFit="1" customWidth="1"/>
    <col min="4869" max="4877" width="7.7109375" style="19" bestFit="1" customWidth="1"/>
    <col min="4878" max="4878" width="8.42578125" style="19" bestFit="1" customWidth="1"/>
    <col min="4879" max="4882" width="7.7109375" style="19" bestFit="1" customWidth="1"/>
    <col min="4883" max="4883" width="8.42578125" style="19" bestFit="1" customWidth="1"/>
    <col min="4884" max="4887" width="7.7109375" style="19" bestFit="1" customWidth="1"/>
    <col min="4888" max="4888" width="8.42578125" style="19" bestFit="1" customWidth="1"/>
    <col min="4889" max="4894" width="7.7109375" style="19" bestFit="1" customWidth="1"/>
    <col min="4895" max="4895" width="8.42578125" style="19" bestFit="1" customWidth="1"/>
    <col min="4896" max="4897" width="7.7109375" style="19" bestFit="1" customWidth="1"/>
    <col min="4898" max="4898" width="8.42578125" style="19" bestFit="1" customWidth="1"/>
    <col min="4899" max="4899" width="7.85546875" style="19" bestFit="1" customWidth="1"/>
    <col min="4900" max="4903" width="7.7109375" style="19" bestFit="1" customWidth="1"/>
    <col min="4904" max="4904" width="8.42578125" style="19" bestFit="1" customWidth="1"/>
    <col min="4905" max="4906" width="7.7109375" style="19" bestFit="1" customWidth="1"/>
    <col min="4907" max="4907" width="8.42578125" style="19" bestFit="1" customWidth="1"/>
    <col min="4908" max="4909" width="9" style="19" bestFit="1" customWidth="1"/>
    <col min="4910" max="4910" width="15" style="19" bestFit="1" customWidth="1"/>
    <col min="4911" max="4911" width="11.5703125" style="19" bestFit="1" customWidth="1"/>
    <col min="4912" max="4912" width="37.28515625" style="19" bestFit="1" customWidth="1"/>
    <col min="4913" max="5120" width="11.42578125" style="19"/>
    <col min="5121" max="5121" width="39.28515625" style="19" bestFit="1" customWidth="1"/>
    <col min="5122" max="5123" width="5.5703125" style="19" bestFit="1" customWidth="1"/>
    <col min="5124" max="5124" width="7" style="19" bestFit="1" customWidth="1"/>
    <col min="5125" max="5133" width="7.7109375" style="19" bestFit="1" customWidth="1"/>
    <col min="5134" max="5134" width="8.42578125" style="19" bestFit="1" customWidth="1"/>
    <col min="5135" max="5138" width="7.7109375" style="19" bestFit="1" customWidth="1"/>
    <col min="5139" max="5139" width="8.42578125" style="19" bestFit="1" customWidth="1"/>
    <col min="5140" max="5143" width="7.7109375" style="19" bestFit="1" customWidth="1"/>
    <col min="5144" max="5144" width="8.42578125" style="19" bestFit="1" customWidth="1"/>
    <col min="5145" max="5150" width="7.7109375" style="19" bestFit="1" customWidth="1"/>
    <col min="5151" max="5151" width="8.42578125" style="19" bestFit="1" customWidth="1"/>
    <col min="5152" max="5153" width="7.7109375" style="19" bestFit="1" customWidth="1"/>
    <col min="5154" max="5154" width="8.42578125" style="19" bestFit="1" customWidth="1"/>
    <col min="5155" max="5155" width="7.85546875" style="19" bestFit="1" customWidth="1"/>
    <col min="5156" max="5159" width="7.7109375" style="19" bestFit="1" customWidth="1"/>
    <col min="5160" max="5160" width="8.42578125" style="19" bestFit="1" customWidth="1"/>
    <col min="5161" max="5162" width="7.7109375" style="19" bestFit="1" customWidth="1"/>
    <col min="5163" max="5163" width="8.42578125" style="19" bestFit="1" customWidth="1"/>
    <col min="5164" max="5165" width="9" style="19" bestFit="1" customWidth="1"/>
    <col min="5166" max="5166" width="15" style="19" bestFit="1" customWidth="1"/>
    <col min="5167" max="5167" width="11.5703125" style="19" bestFit="1" customWidth="1"/>
    <col min="5168" max="5168" width="37.28515625" style="19" bestFit="1" customWidth="1"/>
    <col min="5169" max="5376" width="11.42578125" style="19"/>
    <col min="5377" max="5377" width="39.28515625" style="19" bestFit="1" customWidth="1"/>
    <col min="5378" max="5379" width="5.5703125" style="19" bestFit="1" customWidth="1"/>
    <col min="5380" max="5380" width="7" style="19" bestFit="1" customWidth="1"/>
    <col min="5381" max="5389" width="7.7109375" style="19" bestFit="1" customWidth="1"/>
    <col min="5390" max="5390" width="8.42578125" style="19" bestFit="1" customWidth="1"/>
    <col min="5391" max="5394" width="7.7109375" style="19" bestFit="1" customWidth="1"/>
    <col min="5395" max="5395" width="8.42578125" style="19" bestFit="1" customWidth="1"/>
    <col min="5396" max="5399" width="7.7109375" style="19" bestFit="1" customWidth="1"/>
    <col min="5400" max="5400" width="8.42578125" style="19" bestFit="1" customWidth="1"/>
    <col min="5401" max="5406" width="7.7109375" style="19" bestFit="1" customWidth="1"/>
    <col min="5407" max="5407" width="8.42578125" style="19" bestFit="1" customWidth="1"/>
    <col min="5408" max="5409" width="7.7109375" style="19" bestFit="1" customWidth="1"/>
    <col min="5410" max="5410" width="8.42578125" style="19" bestFit="1" customWidth="1"/>
    <col min="5411" max="5411" width="7.85546875" style="19" bestFit="1" customWidth="1"/>
    <col min="5412" max="5415" width="7.7109375" style="19" bestFit="1" customWidth="1"/>
    <col min="5416" max="5416" width="8.42578125" style="19" bestFit="1" customWidth="1"/>
    <col min="5417" max="5418" width="7.7109375" style="19" bestFit="1" customWidth="1"/>
    <col min="5419" max="5419" width="8.42578125" style="19" bestFit="1" customWidth="1"/>
    <col min="5420" max="5421" width="9" style="19" bestFit="1" customWidth="1"/>
    <col min="5422" max="5422" width="15" style="19" bestFit="1" customWidth="1"/>
    <col min="5423" max="5423" width="11.5703125" style="19" bestFit="1" customWidth="1"/>
    <col min="5424" max="5424" width="37.28515625" style="19" bestFit="1" customWidth="1"/>
    <col min="5425" max="5632" width="11.42578125" style="19"/>
    <col min="5633" max="5633" width="39.28515625" style="19" bestFit="1" customWidth="1"/>
    <col min="5634" max="5635" width="5.5703125" style="19" bestFit="1" customWidth="1"/>
    <col min="5636" max="5636" width="7" style="19" bestFit="1" customWidth="1"/>
    <col min="5637" max="5645" width="7.7109375" style="19" bestFit="1" customWidth="1"/>
    <col min="5646" max="5646" width="8.42578125" style="19" bestFit="1" customWidth="1"/>
    <col min="5647" max="5650" width="7.7109375" style="19" bestFit="1" customWidth="1"/>
    <col min="5651" max="5651" width="8.42578125" style="19" bestFit="1" customWidth="1"/>
    <col min="5652" max="5655" width="7.7109375" style="19" bestFit="1" customWidth="1"/>
    <col min="5656" max="5656" width="8.42578125" style="19" bestFit="1" customWidth="1"/>
    <col min="5657" max="5662" width="7.7109375" style="19" bestFit="1" customWidth="1"/>
    <col min="5663" max="5663" width="8.42578125" style="19" bestFit="1" customWidth="1"/>
    <col min="5664" max="5665" width="7.7109375" style="19" bestFit="1" customWidth="1"/>
    <col min="5666" max="5666" width="8.42578125" style="19" bestFit="1" customWidth="1"/>
    <col min="5667" max="5667" width="7.85546875" style="19" bestFit="1" customWidth="1"/>
    <col min="5668" max="5671" width="7.7109375" style="19" bestFit="1" customWidth="1"/>
    <col min="5672" max="5672" width="8.42578125" style="19" bestFit="1" customWidth="1"/>
    <col min="5673" max="5674" width="7.7109375" style="19" bestFit="1" customWidth="1"/>
    <col min="5675" max="5675" width="8.42578125" style="19" bestFit="1" customWidth="1"/>
    <col min="5676" max="5677" width="9" style="19" bestFit="1" customWidth="1"/>
    <col min="5678" max="5678" width="15" style="19" bestFit="1" customWidth="1"/>
    <col min="5679" max="5679" width="11.5703125" style="19" bestFit="1" customWidth="1"/>
    <col min="5680" max="5680" width="37.28515625" style="19" bestFit="1" customWidth="1"/>
    <col min="5681" max="5888" width="11.42578125" style="19"/>
    <col min="5889" max="5889" width="39.28515625" style="19" bestFit="1" customWidth="1"/>
    <col min="5890" max="5891" width="5.5703125" style="19" bestFit="1" customWidth="1"/>
    <col min="5892" max="5892" width="7" style="19" bestFit="1" customWidth="1"/>
    <col min="5893" max="5901" width="7.7109375" style="19" bestFit="1" customWidth="1"/>
    <col min="5902" max="5902" width="8.42578125" style="19" bestFit="1" customWidth="1"/>
    <col min="5903" max="5906" width="7.7109375" style="19" bestFit="1" customWidth="1"/>
    <col min="5907" max="5907" width="8.42578125" style="19" bestFit="1" customWidth="1"/>
    <col min="5908" max="5911" width="7.7109375" style="19" bestFit="1" customWidth="1"/>
    <col min="5912" max="5912" width="8.42578125" style="19" bestFit="1" customWidth="1"/>
    <col min="5913" max="5918" width="7.7109375" style="19" bestFit="1" customWidth="1"/>
    <col min="5919" max="5919" width="8.42578125" style="19" bestFit="1" customWidth="1"/>
    <col min="5920" max="5921" width="7.7109375" style="19" bestFit="1" customWidth="1"/>
    <col min="5922" max="5922" width="8.42578125" style="19" bestFit="1" customWidth="1"/>
    <col min="5923" max="5923" width="7.85546875" style="19" bestFit="1" customWidth="1"/>
    <col min="5924" max="5927" width="7.7109375" style="19" bestFit="1" customWidth="1"/>
    <col min="5928" max="5928" width="8.42578125" style="19" bestFit="1" customWidth="1"/>
    <col min="5929" max="5930" width="7.7109375" style="19" bestFit="1" customWidth="1"/>
    <col min="5931" max="5931" width="8.42578125" style="19" bestFit="1" customWidth="1"/>
    <col min="5932" max="5933" width="9" style="19" bestFit="1" customWidth="1"/>
    <col min="5934" max="5934" width="15" style="19" bestFit="1" customWidth="1"/>
    <col min="5935" max="5935" width="11.5703125" style="19" bestFit="1" customWidth="1"/>
    <col min="5936" max="5936" width="37.28515625" style="19" bestFit="1" customWidth="1"/>
    <col min="5937" max="6144" width="11.42578125" style="19"/>
    <col min="6145" max="6145" width="39.28515625" style="19" bestFit="1" customWidth="1"/>
    <col min="6146" max="6147" width="5.5703125" style="19" bestFit="1" customWidth="1"/>
    <col min="6148" max="6148" width="7" style="19" bestFit="1" customWidth="1"/>
    <col min="6149" max="6157" width="7.7109375" style="19" bestFit="1" customWidth="1"/>
    <col min="6158" max="6158" width="8.42578125" style="19" bestFit="1" customWidth="1"/>
    <col min="6159" max="6162" width="7.7109375" style="19" bestFit="1" customWidth="1"/>
    <col min="6163" max="6163" width="8.42578125" style="19" bestFit="1" customWidth="1"/>
    <col min="6164" max="6167" width="7.7109375" style="19" bestFit="1" customWidth="1"/>
    <col min="6168" max="6168" width="8.42578125" style="19" bestFit="1" customWidth="1"/>
    <col min="6169" max="6174" width="7.7109375" style="19" bestFit="1" customWidth="1"/>
    <col min="6175" max="6175" width="8.42578125" style="19" bestFit="1" customWidth="1"/>
    <col min="6176" max="6177" width="7.7109375" style="19" bestFit="1" customWidth="1"/>
    <col min="6178" max="6178" width="8.42578125" style="19" bestFit="1" customWidth="1"/>
    <col min="6179" max="6179" width="7.85546875" style="19" bestFit="1" customWidth="1"/>
    <col min="6180" max="6183" width="7.7109375" style="19" bestFit="1" customWidth="1"/>
    <col min="6184" max="6184" width="8.42578125" style="19" bestFit="1" customWidth="1"/>
    <col min="6185" max="6186" width="7.7109375" style="19" bestFit="1" customWidth="1"/>
    <col min="6187" max="6187" width="8.42578125" style="19" bestFit="1" customWidth="1"/>
    <col min="6188" max="6189" width="9" style="19" bestFit="1" customWidth="1"/>
    <col min="6190" max="6190" width="15" style="19" bestFit="1" customWidth="1"/>
    <col min="6191" max="6191" width="11.5703125" style="19" bestFit="1" customWidth="1"/>
    <col min="6192" max="6192" width="37.28515625" style="19" bestFit="1" customWidth="1"/>
    <col min="6193" max="6400" width="11.42578125" style="19"/>
    <col min="6401" max="6401" width="39.28515625" style="19" bestFit="1" customWidth="1"/>
    <col min="6402" max="6403" width="5.5703125" style="19" bestFit="1" customWidth="1"/>
    <col min="6404" max="6404" width="7" style="19" bestFit="1" customWidth="1"/>
    <col min="6405" max="6413" width="7.7109375" style="19" bestFit="1" customWidth="1"/>
    <col min="6414" max="6414" width="8.42578125" style="19" bestFit="1" customWidth="1"/>
    <col min="6415" max="6418" width="7.7109375" style="19" bestFit="1" customWidth="1"/>
    <col min="6419" max="6419" width="8.42578125" style="19" bestFit="1" customWidth="1"/>
    <col min="6420" max="6423" width="7.7109375" style="19" bestFit="1" customWidth="1"/>
    <col min="6424" max="6424" width="8.42578125" style="19" bestFit="1" customWidth="1"/>
    <col min="6425" max="6430" width="7.7109375" style="19" bestFit="1" customWidth="1"/>
    <col min="6431" max="6431" width="8.42578125" style="19" bestFit="1" customWidth="1"/>
    <col min="6432" max="6433" width="7.7109375" style="19" bestFit="1" customWidth="1"/>
    <col min="6434" max="6434" width="8.42578125" style="19" bestFit="1" customWidth="1"/>
    <col min="6435" max="6435" width="7.85546875" style="19" bestFit="1" customWidth="1"/>
    <col min="6436" max="6439" width="7.7109375" style="19" bestFit="1" customWidth="1"/>
    <col min="6440" max="6440" width="8.42578125" style="19" bestFit="1" customWidth="1"/>
    <col min="6441" max="6442" width="7.7109375" style="19" bestFit="1" customWidth="1"/>
    <col min="6443" max="6443" width="8.42578125" style="19" bestFit="1" customWidth="1"/>
    <col min="6444" max="6445" width="9" style="19" bestFit="1" customWidth="1"/>
    <col min="6446" max="6446" width="15" style="19" bestFit="1" customWidth="1"/>
    <col min="6447" max="6447" width="11.5703125" style="19" bestFit="1" customWidth="1"/>
    <col min="6448" max="6448" width="37.28515625" style="19" bestFit="1" customWidth="1"/>
    <col min="6449" max="6656" width="11.42578125" style="19"/>
    <col min="6657" max="6657" width="39.28515625" style="19" bestFit="1" customWidth="1"/>
    <col min="6658" max="6659" width="5.5703125" style="19" bestFit="1" customWidth="1"/>
    <col min="6660" max="6660" width="7" style="19" bestFit="1" customWidth="1"/>
    <col min="6661" max="6669" width="7.7109375" style="19" bestFit="1" customWidth="1"/>
    <col min="6670" max="6670" width="8.42578125" style="19" bestFit="1" customWidth="1"/>
    <col min="6671" max="6674" width="7.7109375" style="19" bestFit="1" customWidth="1"/>
    <col min="6675" max="6675" width="8.42578125" style="19" bestFit="1" customWidth="1"/>
    <col min="6676" max="6679" width="7.7109375" style="19" bestFit="1" customWidth="1"/>
    <col min="6680" max="6680" width="8.42578125" style="19" bestFit="1" customWidth="1"/>
    <col min="6681" max="6686" width="7.7109375" style="19" bestFit="1" customWidth="1"/>
    <col min="6687" max="6687" width="8.42578125" style="19" bestFit="1" customWidth="1"/>
    <col min="6688" max="6689" width="7.7109375" style="19" bestFit="1" customWidth="1"/>
    <col min="6690" max="6690" width="8.42578125" style="19" bestFit="1" customWidth="1"/>
    <col min="6691" max="6691" width="7.85546875" style="19" bestFit="1" customWidth="1"/>
    <col min="6692" max="6695" width="7.7109375" style="19" bestFit="1" customWidth="1"/>
    <col min="6696" max="6696" width="8.42578125" style="19" bestFit="1" customWidth="1"/>
    <col min="6697" max="6698" width="7.7109375" style="19" bestFit="1" customWidth="1"/>
    <col min="6699" max="6699" width="8.42578125" style="19" bestFit="1" customWidth="1"/>
    <col min="6700" max="6701" width="9" style="19" bestFit="1" customWidth="1"/>
    <col min="6702" max="6702" width="15" style="19" bestFit="1" customWidth="1"/>
    <col min="6703" max="6703" width="11.5703125" style="19" bestFit="1" customWidth="1"/>
    <col min="6704" max="6704" width="37.28515625" style="19" bestFit="1" customWidth="1"/>
    <col min="6705" max="6912" width="11.42578125" style="19"/>
    <col min="6913" max="6913" width="39.28515625" style="19" bestFit="1" customWidth="1"/>
    <col min="6914" max="6915" width="5.5703125" style="19" bestFit="1" customWidth="1"/>
    <col min="6916" max="6916" width="7" style="19" bestFit="1" customWidth="1"/>
    <col min="6917" max="6925" width="7.7109375" style="19" bestFit="1" customWidth="1"/>
    <col min="6926" max="6926" width="8.42578125" style="19" bestFit="1" customWidth="1"/>
    <col min="6927" max="6930" width="7.7109375" style="19" bestFit="1" customWidth="1"/>
    <col min="6931" max="6931" width="8.42578125" style="19" bestFit="1" customWidth="1"/>
    <col min="6932" max="6935" width="7.7109375" style="19" bestFit="1" customWidth="1"/>
    <col min="6936" max="6936" width="8.42578125" style="19" bestFit="1" customWidth="1"/>
    <col min="6937" max="6942" width="7.7109375" style="19" bestFit="1" customWidth="1"/>
    <col min="6943" max="6943" width="8.42578125" style="19" bestFit="1" customWidth="1"/>
    <col min="6944" max="6945" width="7.7109375" style="19" bestFit="1" customWidth="1"/>
    <col min="6946" max="6946" width="8.42578125" style="19" bestFit="1" customWidth="1"/>
    <col min="6947" max="6947" width="7.85546875" style="19" bestFit="1" customWidth="1"/>
    <col min="6948" max="6951" width="7.7109375" style="19" bestFit="1" customWidth="1"/>
    <col min="6952" max="6952" width="8.42578125" style="19" bestFit="1" customWidth="1"/>
    <col min="6953" max="6954" width="7.7109375" style="19" bestFit="1" customWidth="1"/>
    <col min="6955" max="6955" width="8.42578125" style="19" bestFit="1" customWidth="1"/>
    <col min="6956" max="6957" width="9" style="19" bestFit="1" customWidth="1"/>
    <col min="6958" max="6958" width="15" style="19" bestFit="1" customWidth="1"/>
    <col min="6959" max="6959" width="11.5703125" style="19" bestFit="1" customWidth="1"/>
    <col min="6960" max="6960" width="37.28515625" style="19" bestFit="1" customWidth="1"/>
    <col min="6961" max="7168" width="11.42578125" style="19"/>
    <col min="7169" max="7169" width="39.28515625" style="19" bestFit="1" customWidth="1"/>
    <col min="7170" max="7171" width="5.5703125" style="19" bestFit="1" customWidth="1"/>
    <col min="7172" max="7172" width="7" style="19" bestFit="1" customWidth="1"/>
    <col min="7173" max="7181" width="7.7109375" style="19" bestFit="1" customWidth="1"/>
    <col min="7182" max="7182" width="8.42578125" style="19" bestFit="1" customWidth="1"/>
    <col min="7183" max="7186" width="7.7109375" style="19" bestFit="1" customWidth="1"/>
    <col min="7187" max="7187" width="8.42578125" style="19" bestFit="1" customWidth="1"/>
    <col min="7188" max="7191" width="7.7109375" style="19" bestFit="1" customWidth="1"/>
    <col min="7192" max="7192" width="8.42578125" style="19" bestFit="1" customWidth="1"/>
    <col min="7193" max="7198" width="7.7109375" style="19" bestFit="1" customWidth="1"/>
    <col min="7199" max="7199" width="8.42578125" style="19" bestFit="1" customWidth="1"/>
    <col min="7200" max="7201" width="7.7109375" style="19" bestFit="1" customWidth="1"/>
    <col min="7202" max="7202" width="8.42578125" style="19" bestFit="1" customWidth="1"/>
    <col min="7203" max="7203" width="7.85546875" style="19" bestFit="1" customWidth="1"/>
    <col min="7204" max="7207" width="7.7109375" style="19" bestFit="1" customWidth="1"/>
    <col min="7208" max="7208" width="8.42578125" style="19" bestFit="1" customWidth="1"/>
    <col min="7209" max="7210" width="7.7109375" style="19" bestFit="1" customWidth="1"/>
    <col min="7211" max="7211" width="8.42578125" style="19" bestFit="1" customWidth="1"/>
    <col min="7212" max="7213" width="9" style="19" bestFit="1" customWidth="1"/>
    <col min="7214" max="7214" width="15" style="19" bestFit="1" customWidth="1"/>
    <col min="7215" max="7215" width="11.5703125" style="19" bestFit="1" customWidth="1"/>
    <col min="7216" max="7216" width="37.28515625" style="19" bestFit="1" customWidth="1"/>
    <col min="7217" max="7424" width="11.42578125" style="19"/>
    <col min="7425" max="7425" width="39.28515625" style="19" bestFit="1" customWidth="1"/>
    <col min="7426" max="7427" width="5.5703125" style="19" bestFit="1" customWidth="1"/>
    <col min="7428" max="7428" width="7" style="19" bestFit="1" customWidth="1"/>
    <col min="7429" max="7437" width="7.7109375" style="19" bestFit="1" customWidth="1"/>
    <col min="7438" max="7438" width="8.42578125" style="19" bestFit="1" customWidth="1"/>
    <col min="7439" max="7442" width="7.7109375" style="19" bestFit="1" customWidth="1"/>
    <col min="7443" max="7443" width="8.42578125" style="19" bestFit="1" customWidth="1"/>
    <col min="7444" max="7447" width="7.7109375" style="19" bestFit="1" customWidth="1"/>
    <col min="7448" max="7448" width="8.42578125" style="19" bestFit="1" customWidth="1"/>
    <col min="7449" max="7454" width="7.7109375" style="19" bestFit="1" customWidth="1"/>
    <col min="7455" max="7455" width="8.42578125" style="19" bestFit="1" customWidth="1"/>
    <col min="7456" max="7457" width="7.7109375" style="19" bestFit="1" customWidth="1"/>
    <col min="7458" max="7458" width="8.42578125" style="19" bestFit="1" customWidth="1"/>
    <col min="7459" max="7459" width="7.85546875" style="19" bestFit="1" customWidth="1"/>
    <col min="7460" max="7463" width="7.7109375" style="19" bestFit="1" customWidth="1"/>
    <col min="7464" max="7464" width="8.42578125" style="19" bestFit="1" customWidth="1"/>
    <col min="7465" max="7466" width="7.7109375" style="19" bestFit="1" customWidth="1"/>
    <col min="7467" max="7467" width="8.42578125" style="19" bestFit="1" customWidth="1"/>
    <col min="7468" max="7469" width="9" style="19" bestFit="1" customWidth="1"/>
    <col min="7470" max="7470" width="15" style="19" bestFit="1" customWidth="1"/>
    <col min="7471" max="7471" width="11.5703125" style="19" bestFit="1" customWidth="1"/>
    <col min="7472" max="7472" width="37.28515625" style="19" bestFit="1" customWidth="1"/>
    <col min="7473" max="7680" width="11.42578125" style="19"/>
    <col min="7681" max="7681" width="39.28515625" style="19" bestFit="1" customWidth="1"/>
    <col min="7682" max="7683" width="5.5703125" style="19" bestFit="1" customWidth="1"/>
    <col min="7684" max="7684" width="7" style="19" bestFit="1" customWidth="1"/>
    <col min="7685" max="7693" width="7.7109375" style="19" bestFit="1" customWidth="1"/>
    <col min="7694" max="7694" width="8.42578125" style="19" bestFit="1" customWidth="1"/>
    <col min="7695" max="7698" width="7.7109375" style="19" bestFit="1" customWidth="1"/>
    <col min="7699" max="7699" width="8.42578125" style="19" bestFit="1" customWidth="1"/>
    <col min="7700" max="7703" width="7.7109375" style="19" bestFit="1" customWidth="1"/>
    <col min="7704" max="7704" width="8.42578125" style="19" bestFit="1" customWidth="1"/>
    <col min="7705" max="7710" width="7.7109375" style="19" bestFit="1" customWidth="1"/>
    <col min="7711" max="7711" width="8.42578125" style="19" bestFit="1" customWidth="1"/>
    <col min="7712" max="7713" width="7.7109375" style="19" bestFit="1" customWidth="1"/>
    <col min="7714" max="7714" width="8.42578125" style="19" bestFit="1" customWidth="1"/>
    <col min="7715" max="7715" width="7.85546875" style="19" bestFit="1" customWidth="1"/>
    <col min="7716" max="7719" width="7.7109375" style="19" bestFit="1" customWidth="1"/>
    <col min="7720" max="7720" width="8.42578125" style="19" bestFit="1" customWidth="1"/>
    <col min="7721" max="7722" width="7.7109375" style="19" bestFit="1" customWidth="1"/>
    <col min="7723" max="7723" width="8.42578125" style="19" bestFit="1" customWidth="1"/>
    <col min="7724" max="7725" width="9" style="19" bestFit="1" customWidth="1"/>
    <col min="7726" max="7726" width="15" style="19" bestFit="1" customWidth="1"/>
    <col min="7727" max="7727" width="11.5703125" style="19" bestFit="1" customWidth="1"/>
    <col min="7728" max="7728" width="37.28515625" style="19" bestFit="1" customWidth="1"/>
    <col min="7729" max="7936" width="11.42578125" style="19"/>
    <col min="7937" max="7937" width="39.28515625" style="19" bestFit="1" customWidth="1"/>
    <col min="7938" max="7939" width="5.5703125" style="19" bestFit="1" customWidth="1"/>
    <col min="7940" max="7940" width="7" style="19" bestFit="1" customWidth="1"/>
    <col min="7941" max="7949" width="7.7109375" style="19" bestFit="1" customWidth="1"/>
    <col min="7950" max="7950" width="8.42578125" style="19" bestFit="1" customWidth="1"/>
    <col min="7951" max="7954" width="7.7109375" style="19" bestFit="1" customWidth="1"/>
    <col min="7955" max="7955" width="8.42578125" style="19" bestFit="1" customWidth="1"/>
    <col min="7956" max="7959" width="7.7109375" style="19" bestFit="1" customWidth="1"/>
    <col min="7960" max="7960" width="8.42578125" style="19" bestFit="1" customWidth="1"/>
    <col min="7961" max="7966" width="7.7109375" style="19" bestFit="1" customWidth="1"/>
    <col min="7967" max="7967" width="8.42578125" style="19" bestFit="1" customWidth="1"/>
    <col min="7968" max="7969" width="7.7109375" style="19" bestFit="1" customWidth="1"/>
    <col min="7970" max="7970" width="8.42578125" style="19" bestFit="1" customWidth="1"/>
    <col min="7971" max="7971" width="7.85546875" style="19" bestFit="1" customWidth="1"/>
    <col min="7972" max="7975" width="7.7109375" style="19" bestFit="1" customWidth="1"/>
    <col min="7976" max="7976" width="8.42578125" style="19" bestFit="1" customWidth="1"/>
    <col min="7977" max="7978" width="7.7109375" style="19" bestFit="1" customWidth="1"/>
    <col min="7979" max="7979" width="8.42578125" style="19" bestFit="1" customWidth="1"/>
    <col min="7980" max="7981" width="9" style="19" bestFit="1" customWidth="1"/>
    <col min="7982" max="7982" width="15" style="19" bestFit="1" customWidth="1"/>
    <col min="7983" max="7983" width="11.5703125" style="19" bestFit="1" customWidth="1"/>
    <col min="7984" max="7984" width="37.28515625" style="19" bestFit="1" customWidth="1"/>
    <col min="7985" max="8192" width="11.42578125" style="19"/>
    <col min="8193" max="8193" width="39.28515625" style="19" bestFit="1" customWidth="1"/>
    <col min="8194" max="8195" width="5.5703125" style="19" bestFit="1" customWidth="1"/>
    <col min="8196" max="8196" width="7" style="19" bestFit="1" customWidth="1"/>
    <col min="8197" max="8205" width="7.7109375" style="19" bestFit="1" customWidth="1"/>
    <col min="8206" max="8206" width="8.42578125" style="19" bestFit="1" customWidth="1"/>
    <col min="8207" max="8210" width="7.7109375" style="19" bestFit="1" customWidth="1"/>
    <col min="8211" max="8211" width="8.42578125" style="19" bestFit="1" customWidth="1"/>
    <col min="8212" max="8215" width="7.7109375" style="19" bestFit="1" customWidth="1"/>
    <col min="8216" max="8216" width="8.42578125" style="19" bestFit="1" customWidth="1"/>
    <col min="8217" max="8222" width="7.7109375" style="19" bestFit="1" customWidth="1"/>
    <col min="8223" max="8223" width="8.42578125" style="19" bestFit="1" customWidth="1"/>
    <col min="8224" max="8225" width="7.7109375" style="19" bestFit="1" customWidth="1"/>
    <col min="8226" max="8226" width="8.42578125" style="19" bestFit="1" customWidth="1"/>
    <col min="8227" max="8227" width="7.85546875" style="19" bestFit="1" customWidth="1"/>
    <col min="8228" max="8231" width="7.7109375" style="19" bestFit="1" customWidth="1"/>
    <col min="8232" max="8232" width="8.42578125" style="19" bestFit="1" customWidth="1"/>
    <col min="8233" max="8234" width="7.7109375" style="19" bestFit="1" customWidth="1"/>
    <col min="8235" max="8235" width="8.42578125" style="19" bestFit="1" customWidth="1"/>
    <col min="8236" max="8237" width="9" style="19" bestFit="1" customWidth="1"/>
    <col min="8238" max="8238" width="15" style="19" bestFit="1" customWidth="1"/>
    <col min="8239" max="8239" width="11.5703125" style="19" bestFit="1" customWidth="1"/>
    <col min="8240" max="8240" width="37.28515625" style="19" bestFit="1" customWidth="1"/>
    <col min="8241" max="8448" width="11.42578125" style="19"/>
    <col min="8449" max="8449" width="39.28515625" style="19" bestFit="1" customWidth="1"/>
    <col min="8450" max="8451" width="5.5703125" style="19" bestFit="1" customWidth="1"/>
    <col min="8452" max="8452" width="7" style="19" bestFit="1" customWidth="1"/>
    <col min="8453" max="8461" width="7.7109375" style="19" bestFit="1" customWidth="1"/>
    <col min="8462" max="8462" width="8.42578125" style="19" bestFit="1" customWidth="1"/>
    <col min="8463" max="8466" width="7.7109375" style="19" bestFit="1" customWidth="1"/>
    <col min="8467" max="8467" width="8.42578125" style="19" bestFit="1" customWidth="1"/>
    <col min="8468" max="8471" width="7.7109375" style="19" bestFit="1" customWidth="1"/>
    <col min="8472" max="8472" width="8.42578125" style="19" bestFit="1" customWidth="1"/>
    <col min="8473" max="8478" width="7.7109375" style="19" bestFit="1" customWidth="1"/>
    <col min="8479" max="8479" width="8.42578125" style="19" bestFit="1" customWidth="1"/>
    <col min="8480" max="8481" width="7.7109375" style="19" bestFit="1" customWidth="1"/>
    <col min="8482" max="8482" width="8.42578125" style="19" bestFit="1" customWidth="1"/>
    <col min="8483" max="8483" width="7.85546875" style="19" bestFit="1" customWidth="1"/>
    <col min="8484" max="8487" width="7.7109375" style="19" bestFit="1" customWidth="1"/>
    <col min="8488" max="8488" width="8.42578125" style="19" bestFit="1" customWidth="1"/>
    <col min="8489" max="8490" width="7.7109375" style="19" bestFit="1" customWidth="1"/>
    <col min="8491" max="8491" width="8.42578125" style="19" bestFit="1" customWidth="1"/>
    <col min="8492" max="8493" width="9" style="19" bestFit="1" customWidth="1"/>
    <col min="8494" max="8494" width="15" style="19" bestFit="1" customWidth="1"/>
    <col min="8495" max="8495" width="11.5703125" style="19" bestFit="1" customWidth="1"/>
    <col min="8496" max="8496" width="37.28515625" style="19" bestFit="1" customWidth="1"/>
    <col min="8497" max="8704" width="11.42578125" style="19"/>
    <col min="8705" max="8705" width="39.28515625" style="19" bestFit="1" customWidth="1"/>
    <col min="8706" max="8707" width="5.5703125" style="19" bestFit="1" customWidth="1"/>
    <col min="8708" max="8708" width="7" style="19" bestFit="1" customWidth="1"/>
    <col min="8709" max="8717" width="7.7109375" style="19" bestFit="1" customWidth="1"/>
    <col min="8718" max="8718" width="8.42578125" style="19" bestFit="1" customWidth="1"/>
    <col min="8719" max="8722" width="7.7109375" style="19" bestFit="1" customWidth="1"/>
    <col min="8723" max="8723" width="8.42578125" style="19" bestFit="1" customWidth="1"/>
    <col min="8724" max="8727" width="7.7109375" style="19" bestFit="1" customWidth="1"/>
    <col min="8728" max="8728" width="8.42578125" style="19" bestFit="1" customWidth="1"/>
    <col min="8729" max="8734" width="7.7109375" style="19" bestFit="1" customWidth="1"/>
    <col min="8735" max="8735" width="8.42578125" style="19" bestFit="1" customWidth="1"/>
    <col min="8736" max="8737" width="7.7109375" style="19" bestFit="1" customWidth="1"/>
    <col min="8738" max="8738" width="8.42578125" style="19" bestFit="1" customWidth="1"/>
    <col min="8739" max="8739" width="7.85546875" style="19" bestFit="1" customWidth="1"/>
    <col min="8740" max="8743" width="7.7109375" style="19" bestFit="1" customWidth="1"/>
    <col min="8744" max="8744" width="8.42578125" style="19" bestFit="1" customWidth="1"/>
    <col min="8745" max="8746" width="7.7109375" style="19" bestFit="1" customWidth="1"/>
    <col min="8747" max="8747" width="8.42578125" style="19" bestFit="1" customWidth="1"/>
    <col min="8748" max="8749" width="9" style="19" bestFit="1" customWidth="1"/>
    <col min="8750" max="8750" width="15" style="19" bestFit="1" customWidth="1"/>
    <col min="8751" max="8751" width="11.5703125" style="19" bestFit="1" customWidth="1"/>
    <col min="8752" max="8752" width="37.28515625" style="19" bestFit="1" customWidth="1"/>
    <col min="8753" max="8960" width="11.42578125" style="19"/>
    <col min="8961" max="8961" width="39.28515625" style="19" bestFit="1" customWidth="1"/>
    <col min="8962" max="8963" width="5.5703125" style="19" bestFit="1" customWidth="1"/>
    <col min="8964" max="8964" width="7" style="19" bestFit="1" customWidth="1"/>
    <col min="8965" max="8973" width="7.7109375" style="19" bestFit="1" customWidth="1"/>
    <col min="8974" max="8974" width="8.42578125" style="19" bestFit="1" customWidth="1"/>
    <col min="8975" max="8978" width="7.7109375" style="19" bestFit="1" customWidth="1"/>
    <col min="8979" max="8979" width="8.42578125" style="19" bestFit="1" customWidth="1"/>
    <col min="8980" max="8983" width="7.7109375" style="19" bestFit="1" customWidth="1"/>
    <col min="8984" max="8984" width="8.42578125" style="19" bestFit="1" customWidth="1"/>
    <col min="8985" max="8990" width="7.7109375" style="19" bestFit="1" customWidth="1"/>
    <col min="8991" max="8991" width="8.42578125" style="19" bestFit="1" customWidth="1"/>
    <col min="8992" max="8993" width="7.7109375" style="19" bestFit="1" customWidth="1"/>
    <col min="8994" max="8994" width="8.42578125" style="19" bestFit="1" customWidth="1"/>
    <col min="8995" max="8995" width="7.85546875" style="19" bestFit="1" customWidth="1"/>
    <col min="8996" max="8999" width="7.7109375" style="19" bestFit="1" customWidth="1"/>
    <col min="9000" max="9000" width="8.42578125" style="19" bestFit="1" customWidth="1"/>
    <col min="9001" max="9002" width="7.7109375" style="19" bestFit="1" customWidth="1"/>
    <col min="9003" max="9003" width="8.42578125" style="19" bestFit="1" customWidth="1"/>
    <col min="9004" max="9005" width="9" style="19" bestFit="1" customWidth="1"/>
    <col min="9006" max="9006" width="15" style="19" bestFit="1" customWidth="1"/>
    <col min="9007" max="9007" width="11.5703125" style="19" bestFit="1" customWidth="1"/>
    <col min="9008" max="9008" width="37.28515625" style="19" bestFit="1" customWidth="1"/>
    <col min="9009" max="9216" width="11.42578125" style="19"/>
    <col min="9217" max="9217" width="39.28515625" style="19" bestFit="1" customWidth="1"/>
    <col min="9218" max="9219" width="5.5703125" style="19" bestFit="1" customWidth="1"/>
    <col min="9220" max="9220" width="7" style="19" bestFit="1" customWidth="1"/>
    <col min="9221" max="9229" width="7.7109375" style="19" bestFit="1" customWidth="1"/>
    <col min="9230" max="9230" width="8.42578125" style="19" bestFit="1" customWidth="1"/>
    <col min="9231" max="9234" width="7.7109375" style="19" bestFit="1" customWidth="1"/>
    <col min="9235" max="9235" width="8.42578125" style="19" bestFit="1" customWidth="1"/>
    <col min="9236" max="9239" width="7.7109375" style="19" bestFit="1" customWidth="1"/>
    <col min="9240" max="9240" width="8.42578125" style="19" bestFit="1" customWidth="1"/>
    <col min="9241" max="9246" width="7.7109375" style="19" bestFit="1" customWidth="1"/>
    <col min="9247" max="9247" width="8.42578125" style="19" bestFit="1" customWidth="1"/>
    <col min="9248" max="9249" width="7.7109375" style="19" bestFit="1" customWidth="1"/>
    <col min="9250" max="9250" width="8.42578125" style="19" bestFit="1" customWidth="1"/>
    <col min="9251" max="9251" width="7.85546875" style="19" bestFit="1" customWidth="1"/>
    <col min="9252" max="9255" width="7.7109375" style="19" bestFit="1" customWidth="1"/>
    <col min="9256" max="9256" width="8.42578125" style="19" bestFit="1" customWidth="1"/>
    <col min="9257" max="9258" width="7.7109375" style="19" bestFit="1" customWidth="1"/>
    <col min="9259" max="9259" width="8.42578125" style="19" bestFit="1" customWidth="1"/>
    <col min="9260" max="9261" width="9" style="19" bestFit="1" customWidth="1"/>
    <col min="9262" max="9262" width="15" style="19" bestFit="1" customWidth="1"/>
    <col min="9263" max="9263" width="11.5703125" style="19" bestFit="1" customWidth="1"/>
    <col min="9264" max="9264" width="37.28515625" style="19" bestFit="1" customWidth="1"/>
    <col min="9265" max="9472" width="11.42578125" style="19"/>
    <col min="9473" max="9473" width="39.28515625" style="19" bestFit="1" customWidth="1"/>
    <col min="9474" max="9475" width="5.5703125" style="19" bestFit="1" customWidth="1"/>
    <col min="9476" max="9476" width="7" style="19" bestFit="1" customWidth="1"/>
    <col min="9477" max="9485" width="7.7109375" style="19" bestFit="1" customWidth="1"/>
    <col min="9486" max="9486" width="8.42578125" style="19" bestFit="1" customWidth="1"/>
    <col min="9487" max="9490" width="7.7109375" style="19" bestFit="1" customWidth="1"/>
    <col min="9491" max="9491" width="8.42578125" style="19" bestFit="1" customWidth="1"/>
    <col min="9492" max="9495" width="7.7109375" style="19" bestFit="1" customWidth="1"/>
    <col min="9496" max="9496" width="8.42578125" style="19" bestFit="1" customWidth="1"/>
    <col min="9497" max="9502" width="7.7109375" style="19" bestFit="1" customWidth="1"/>
    <col min="9503" max="9503" width="8.42578125" style="19" bestFit="1" customWidth="1"/>
    <col min="9504" max="9505" width="7.7109375" style="19" bestFit="1" customWidth="1"/>
    <col min="9506" max="9506" width="8.42578125" style="19" bestFit="1" customWidth="1"/>
    <col min="9507" max="9507" width="7.85546875" style="19" bestFit="1" customWidth="1"/>
    <col min="9508" max="9511" width="7.7109375" style="19" bestFit="1" customWidth="1"/>
    <col min="9512" max="9512" width="8.42578125" style="19" bestFit="1" customWidth="1"/>
    <col min="9513" max="9514" width="7.7109375" style="19" bestFit="1" customWidth="1"/>
    <col min="9515" max="9515" width="8.42578125" style="19" bestFit="1" customWidth="1"/>
    <col min="9516" max="9517" width="9" style="19" bestFit="1" customWidth="1"/>
    <col min="9518" max="9518" width="15" style="19" bestFit="1" customWidth="1"/>
    <col min="9519" max="9519" width="11.5703125" style="19" bestFit="1" customWidth="1"/>
    <col min="9520" max="9520" width="37.28515625" style="19" bestFit="1" customWidth="1"/>
    <col min="9521" max="9728" width="11.42578125" style="19"/>
    <col min="9729" max="9729" width="39.28515625" style="19" bestFit="1" customWidth="1"/>
    <col min="9730" max="9731" width="5.5703125" style="19" bestFit="1" customWidth="1"/>
    <col min="9732" max="9732" width="7" style="19" bestFit="1" customWidth="1"/>
    <col min="9733" max="9741" width="7.7109375" style="19" bestFit="1" customWidth="1"/>
    <col min="9742" max="9742" width="8.42578125" style="19" bestFit="1" customWidth="1"/>
    <col min="9743" max="9746" width="7.7109375" style="19" bestFit="1" customWidth="1"/>
    <col min="9747" max="9747" width="8.42578125" style="19" bestFit="1" customWidth="1"/>
    <col min="9748" max="9751" width="7.7109375" style="19" bestFit="1" customWidth="1"/>
    <col min="9752" max="9752" width="8.42578125" style="19" bestFit="1" customWidth="1"/>
    <col min="9753" max="9758" width="7.7109375" style="19" bestFit="1" customWidth="1"/>
    <col min="9759" max="9759" width="8.42578125" style="19" bestFit="1" customWidth="1"/>
    <col min="9760" max="9761" width="7.7109375" style="19" bestFit="1" customWidth="1"/>
    <col min="9762" max="9762" width="8.42578125" style="19" bestFit="1" customWidth="1"/>
    <col min="9763" max="9763" width="7.85546875" style="19" bestFit="1" customWidth="1"/>
    <col min="9764" max="9767" width="7.7109375" style="19" bestFit="1" customWidth="1"/>
    <col min="9768" max="9768" width="8.42578125" style="19" bestFit="1" customWidth="1"/>
    <col min="9769" max="9770" width="7.7109375" style="19" bestFit="1" customWidth="1"/>
    <col min="9771" max="9771" width="8.42578125" style="19" bestFit="1" customWidth="1"/>
    <col min="9772" max="9773" width="9" style="19" bestFit="1" customWidth="1"/>
    <col min="9774" max="9774" width="15" style="19" bestFit="1" customWidth="1"/>
    <col min="9775" max="9775" width="11.5703125" style="19" bestFit="1" customWidth="1"/>
    <col min="9776" max="9776" width="37.28515625" style="19" bestFit="1" customWidth="1"/>
    <col min="9777" max="9984" width="11.42578125" style="19"/>
    <col min="9985" max="9985" width="39.28515625" style="19" bestFit="1" customWidth="1"/>
    <col min="9986" max="9987" width="5.5703125" style="19" bestFit="1" customWidth="1"/>
    <col min="9988" max="9988" width="7" style="19" bestFit="1" customWidth="1"/>
    <col min="9989" max="9997" width="7.7109375" style="19" bestFit="1" customWidth="1"/>
    <col min="9998" max="9998" width="8.42578125" style="19" bestFit="1" customWidth="1"/>
    <col min="9999" max="10002" width="7.7109375" style="19" bestFit="1" customWidth="1"/>
    <col min="10003" max="10003" width="8.42578125" style="19" bestFit="1" customWidth="1"/>
    <col min="10004" max="10007" width="7.7109375" style="19" bestFit="1" customWidth="1"/>
    <col min="10008" max="10008" width="8.42578125" style="19" bestFit="1" customWidth="1"/>
    <col min="10009" max="10014" width="7.7109375" style="19" bestFit="1" customWidth="1"/>
    <col min="10015" max="10015" width="8.42578125" style="19" bestFit="1" customWidth="1"/>
    <col min="10016" max="10017" width="7.7109375" style="19" bestFit="1" customWidth="1"/>
    <col min="10018" max="10018" width="8.42578125" style="19" bestFit="1" customWidth="1"/>
    <col min="10019" max="10019" width="7.85546875" style="19" bestFit="1" customWidth="1"/>
    <col min="10020" max="10023" width="7.7109375" style="19" bestFit="1" customWidth="1"/>
    <col min="10024" max="10024" width="8.42578125" style="19" bestFit="1" customWidth="1"/>
    <col min="10025" max="10026" width="7.7109375" style="19" bestFit="1" customWidth="1"/>
    <col min="10027" max="10027" width="8.42578125" style="19" bestFit="1" customWidth="1"/>
    <col min="10028" max="10029" width="9" style="19" bestFit="1" customWidth="1"/>
    <col min="10030" max="10030" width="15" style="19" bestFit="1" customWidth="1"/>
    <col min="10031" max="10031" width="11.5703125" style="19" bestFit="1" customWidth="1"/>
    <col min="10032" max="10032" width="37.28515625" style="19" bestFit="1" customWidth="1"/>
    <col min="10033" max="10240" width="11.42578125" style="19"/>
    <col min="10241" max="10241" width="39.28515625" style="19" bestFit="1" customWidth="1"/>
    <col min="10242" max="10243" width="5.5703125" style="19" bestFit="1" customWidth="1"/>
    <col min="10244" max="10244" width="7" style="19" bestFit="1" customWidth="1"/>
    <col min="10245" max="10253" width="7.7109375" style="19" bestFit="1" customWidth="1"/>
    <col min="10254" max="10254" width="8.42578125" style="19" bestFit="1" customWidth="1"/>
    <col min="10255" max="10258" width="7.7109375" style="19" bestFit="1" customWidth="1"/>
    <col min="10259" max="10259" width="8.42578125" style="19" bestFit="1" customWidth="1"/>
    <col min="10260" max="10263" width="7.7109375" style="19" bestFit="1" customWidth="1"/>
    <col min="10264" max="10264" width="8.42578125" style="19" bestFit="1" customWidth="1"/>
    <col min="10265" max="10270" width="7.7109375" style="19" bestFit="1" customWidth="1"/>
    <col min="10271" max="10271" width="8.42578125" style="19" bestFit="1" customWidth="1"/>
    <col min="10272" max="10273" width="7.7109375" style="19" bestFit="1" customWidth="1"/>
    <col min="10274" max="10274" width="8.42578125" style="19" bestFit="1" customWidth="1"/>
    <col min="10275" max="10275" width="7.85546875" style="19" bestFit="1" customWidth="1"/>
    <col min="10276" max="10279" width="7.7109375" style="19" bestFit="1" customWidth="1"/>
    <col min="10280" max="10280" width="8.42578125" style="19" bestFit="1" customWidth="1"/>
    <col min="10281" max="10282" width="7.7109375" style="19" bestFit="1" customWidth="1"/>
    <col min="10283" max="10283" width="8.42578125" style="19" bestFit="1" customWidth="1"/>
    <col min="10284" max="10285" width="9" style="19" bestFit="1" customWidth="1"/>
    <col min="10286" max="10286" width="15" style="19" bestFit="1" customWidth="1"/>
    <col min="10287" max="10287" width="11.5703125" style="19" bestFit="1" customWidth="1"/>
    <col min="10288" max="10288" width="37.28515625" style="19" bestFit="1" customWidth="1"/>
    <col min="10289" max="10496" width="11.42578125" style="19"/>
    <col min="10497" max="10497" width="39.28515625" style="19" bestFit="1" customWidth="1"/>
    <col min="10498" max="10499" width="5.5703125" style="19" bestFit="1" customWidth="1"/>
    <col min="10500" max="10500" width="7" style="19" bestFit="1" customWidth="1"/>
    <col min="10501" max="10509" width="7.7109375" style="19" bestFit="1" customWidth="1"/>
    <col min="10510" max="10510" width="8.42578125" style="19" bestFit="1" customWidth="1"/>
    <col min="10511" max="10514" width="7.7109375" style="19" bestFit="1" customWidth="1"/>
    <col min="10515" max="10515" width="8.42578125" style="19" bestFit="1" customWidth="1"/>
    <col min="10516" max="10519" width="7.7109375" style="19" bestFit="1" customWidth="1"/>
    <col min="10520" max="10520" width="8.42578125" style="19" bestFit="1" customWidth="1"/>
    <col min="10521" max="10526" width="7.7109375" style="19" bestFit="1" customWidth="1"/>
    <col min="10527" max="10527" width="8.42578125" style="19" bestFit="1" customWidth="1"/>
    <col min="10528" max="10529" width="7.7109375" style="19" bestFit="1" customWidth="1"/>
    <col min="10530" max="10530" width="8.42578125" style="19" bestFit="1" customWidth="1"/>
    <col min="10531" max="10531" width="7.85546875" style="19" bestFit="1" customWidth="1"/>
    <col min="10532" max="10535" width="7.7109375" style="19" bestFit="1" customWidth="1"/>
    <col min="10536" max="10536" width="8.42578125" style="19" bestFit="1" customWidth="1"/>
    <col min="10537" max="10538" width="7.7109375" style="19" bestFit="1" customWidth="1"/>
    <col min="10539" max="10539" width="8.42578125" style="19" bestFit="1" customWidth="1"/>
    <col min="10540" max="10541" width="9" style="19" bestFit="1" customWidth="1"/>
    <col min="10542" max="10542" width="15" style="19" bestFit="1" customWidth="1"/>
    <col min="10543" max="10543" width="11.5703125" style="19" bestFit="1" customWidth="1"/>
    <col min="10544" max="10544" width="37.28515625" style="19" bestFit="1" customWidth="1"/>
    <col min="10545" max="10752" width="11.42578125" style="19"/>
    <col min="10753" max="10753" width="39.28515625" style="19" bestFit="1" customWidth="1"/>
    <col min="10754" max="10755" width="5.5703125" style="19" bestFit="1" customWidth="1"/>
    <col min="10756" max="10756" width="7" style="19" bestFit="1" customWidth="1"/>
    <col min="10757" max="10765" width="7.7109375" style="19" bestFit="1" customWidth="1"/>
    <col min="10766" max="10766" width="8.42578125" style="19" bestFit="1" customWidth="1"/>
    <col min="10767" max="10770" width="7.7109375" style="19" bestFit="1" customWidth="1"/>
    <col min="10771" max="10771" width="8.42578125" style="19" bestFit="1" customWidth="1"/>
    <col min="10772" max="10775" width="7.7109375" style="19" bestFit="1" customWidth="1"/>
    <col min="10776" max="10776" width="8.42578125" style="19" bestFit="1" customWidth="1"/>
    <col min="10777" max="10782" width="7.7109375" style="19" bestFit="1" customWidth="1"/>
    <col min="10783" max="10783" width="8.42578125" style="19" bestFit="1" customWidth="1"/>
    <col min="10784" max="10785" width="7.7109375" style="19" bestFit="1" customWidth="1"/>
    <col min="10786" max="10786" width="8.42578125" style="19" bestFit="1" customWidth="1"/>
    <col min="10787" max="10787" width="7.85546875" style="19" bestFit="1" customWidth="1"/>
    <col min="10788" max="10791" width="7.7109375" style="19" bestFit="1" customWidth="1"/>
    <col min="10792" max="10792" width="8.42578125" style="19" bestFit="1" customWidth="1"/>
    <col min="10793" max="10794" width="7.7109375" style="19" bestFit="1" customWidth="1"/>
    <col min="10795" max="10795" width="8.42578125" style="19" bestFit="1" customWidth="1"/>
    <col min="10796" max="10797" width="9" style="19" bestFit="1" customWidth="1"/>
    <col min="10798" max="10798" width="15" style="19" bestFit="1" customWidth="1"/>
    <col min="10799" max="10799" width="11.5703125" style="19" bestFit="1" customWidth="1"/>
    <col min="10800" max="10800" width="37.28515625" style="19" bestFit="1" customWidth="1"/>
    <col min="10801" max="11008" width="11.42578125" style="19"/>
    <col min="11009" max="11009" width="39.28515625" style="19" bestFit="1" customWidth="1"/>
    <col min="11010" max="11011" width="5.5703125" style="19" bestFit="1" customWidth="1"/>
    <col min="11012" max="11012" width="7" style="19" bestFit="1" customWidth="1"/>
    <col min="11013" max="11021" width="7.7109375" style="19" bestFit="1" customWidth="1"/>
    <col min="11022" max="11022" width="8.42578125" style="19" bestFit="1" customWidth="1"/>
    <col min="11023" max="11026" width="7.7109375" style="19" bestFit="1" customWidth="1"/>
    <col min="11027" max="11027" width="8.42578125" style="19" bestFit="1" customWidth="1"/>
    <col min="11028" max="11031" width="7.7109375" style="19" bestFit="1" customWidth="1"/>
    <col min="11032" max="11032" width="8.42578125" style="19" bestFit="1" customWidth="1"/>
    <col min="11033" max="11038" width="7.7109375" style="19" bestFit="1" customWidth="1"/>
    <col min="11039" max="11039" width="8.42578125" style="19" bestFit="1" customWidth="1"/>
    <col min="11040" max="11041" width="7.7109375" style="19" bestFit="1" customWidth="1"/>
    <col min="11042" max="11042" width="8.42578125" style="19" bestFit="1" customWidth="1"/>
    <col min="11043" max="11043" width="7.85546875" style="19" bestFit="1" customWidth="1"/>
    <col min="11044" max="11047" width="7.7109375" style="19" bestFit="1" customWidth="1"/>
    <col min="11048" max="11048" width="8.42578125" style="19" bestFit="1" customWidth="1"/>
    <col min="11049" max="11050" width="7.7109375" style="19" bestFit="1" customWidth="1"/>
    <col min="11051" max="11051" width="8.42578125" style="19" bestFit="1" customWidth="1"/>
    <col min="11052" max="11053" width="9" style="19" bestFit="1" customWidth="1"/>
    <col min="11054" max="11054" width="15" style="19" bestFit="1" customWidth="1"/>
    <col min="11055" max="11055" width="11.5703125" style="19" bestFit="1" customWidth="1"/>
    <col min="11056" max="11056" width="37.28515625" style="19" bestFit="1" customWidth="1"/>
    <col min="11057" max="11264" width="11.42578125" style="19"/>
    <col min="11265" max="11265" width="39.28515625" style="19" bestFit="1" customWidth="1"/>
    <col min="11266" max="11267" width="5.5703125" style="19" bestFit="1" customWidth="1"/>
    <col min="11268" max="11268" width="7" style="19" bestFit="1" customWidth="1"/>
    <col min="11269" max="11277" width="7.7109375" style="19" bestFit="1" customWidth="1"/>
    <col min="11278" max="11278" width="8.42578125" style="19" bestFit="1" customWidth="1"/>
    <col min="11279" max="11282" width="7.7109375" style="19" bestFit="1" customWidth="1"/>
    <col min="11283" max="11283" width="8.42578125" style="19" bestFit="1" customWidth="1"/>
    <col min="11284" max="11287" width="7.7109375" style="19" bestFit="1" customWidth="1"/>
    <col min="11288" max="11288" width="8.42578125" style="19" bestFit="1" customWidth="1"/>
    <col min="11289" max="11294" width="7.7109375" style="19" bestFit="1" customWidth="1"/>
    <col min="11295" max="11295" width="8.42578125" style="19" bestFit="1" customWidth="1"/>
    <col min="11296" max="11297" width="7.7109375" style="19" bestFit="1" customWidth="1"/>
    <col min="11298" max="11298" width="8.42578125" style="19" bestFit="1" customWidth="1"/>
    <col min="11299" max="11299" width="7.85546875" style="19" bestFit="1" customWidth="1"/>
    <col min="11300" max="11303" width="7.7109375" style="19" bestFit="1" customWidth="1"/>
    <col min="11304" max="11304" width="8.42578125" style="19" bestFit="1" customWidth="1"/>
    <col min="11305" max="11306" width="7.7109375" style="19" bestFit="1" customWidth="1"/>
    <col min="11307" max="11307" width="8.42578125" style="19" bestFit="1" customWidth="1"/>
    <col min="11308" max="11309" width="9" style="19" bestFit="1" customWidth="1"/>
    <col min="11310" max="11310" width="15" style="19" bestFit="1" customWidth="1"/>
    <col min="11311" max="11311" width="11.5703125" style="19" bestFit="1" customWidth="1"/>
    <col min="11312" max="11312" width="37.28515625" style="19" bestFit="1" customWidth="1"/>
    <col min="11313" max="11520" width="11.42578125" style="19"/>
    <col min="11521" max="11521" width="39.28515625" style="19" bestFit="1" customWidth="1"/>
    <col min="11522" max="11523" width="5.5703125" style="19" bestFit="1" customWidth="1"/>
    <col min="11524" max="11524" width="7" style="19" bestFit="1" customWidth="1"/>
    <col min="11525" max="11533" width="7.7109375" style="19" bestFit="1" customWidth="1"/>
    <col min="11534" max="11534" width="8.42578125" style="19" bestFit="1" customWidth="1"/>
    <col min="11535" max="11538" width="7.7109375" style="19" bestFit="1" customWidth="1"/>
    <col min="11539" max="11539" width="8.42578125" style="19" bestFit="1" customWidth="1"/>
    <col min="11540" max="11543" width="7.7109375" style="19" bestFit="1" customWidth="1"/>
    <col min="11544" max="11544" width="8.42578125" style="19" bestFit="1" customWidth="1"/>
    <col min="11545" max="11550" width="7.7109375" style="19" bestFit="1" customWidth="1"/>
    <col min="11551" max="11551" width="8.42578125" style="19" bestFit="1" customWidth="1"/>
    <col min="11552" max="11553" width="7.7109375" style="19" bestFit="1" customWidth="1"/>
    <col min="11554" max="11554" width="8.42578125" style="19" bestFit="1" customWidth="1"/>
    <col min="11555" max="11555" width="7.85546875" style="19" bestFit="1" customWidth="1"/>
    <col min="11556" max="11559" width="7.7109375" style="19" bestFit="1" customWidth="1"/>
    <col min="11560" max="11560" width="8.42578125" style="19" bestFit="1" customWidth="1"/>
    <col min="11561" max="11562" width="7.7109375" style="19" bestFit="1" customWidth="1"/>
    <col min="11563" max="11563" width="8.42578125" style="19" bestFit="1" customWidth="1"/>
    <col min="11564" max="11565" width="9" style="19" bestFit="1" customWidth="1"/>
    <col min="11566" max="11566" width="15" style="19" bestFit="1" customWidth="1"/>
    <col min="11567" max="11567" width="11.5703125" style="19" bestFit="1" customWidth="1"/>
    <col min="11568" max="11568" width="37.28515625" style="19" bestFit="1" customWidth="1"/>
    <col min="11569" max="11776" width="11.42578125" style="19"/>
    <col min="11777" max="11777" width="39.28515625" style="19" bestFit="1" customWidth="1"/>
    <col min="11778" max="11779" width="5.5703125" style="19" bestFit="1" customWidth="1"/>
    <col min="11780" max="11780" width="7" style="19" bestFit="1" customWidth="1"/>
    <col min="11781" max="11789" width="7.7109375" style="19" bestFit="1" customWidth="1"/>
    <col min="11790" max="11790" width="8.42578125" style="19" bestFit="1" customWidth="1"/>
    <col min="11791" max="11794" width="7.7109375" style="19" bestFit="1" customWidth="1"/>
    <col min="11795" max="11795" width="8.42578125" style="19" bestFit="1" customWidth="1"/>
    <col min="11796" max="11799" width="7.7109375" style="19" bestFit="1" customWidth="1"/>
    <col min="11800" max="11800" width="8.42578125" style="19" bestFit="1" customWidth="1"/>
    <col min="11801" max="11806" width="7.7109375" style="19" bestFit="1" customWidth="1"/>
    <col min="11807" max="11807" width="8.42578125" style="19" bestFit="1" customWidth="1"/>
    <col min="11808" max="11809" width="7.7109375" style="19" bestFit="1" customWidth="1"/>
    <col min="11810" max="11810" width="8.42578125" style="19" bestFit="1" customWidth="1"/>
    <col min="11811" max="11811" width="7.85546875" style="19" bestFit="1" customWidth="1"/>
    <col min="11812" max="11815" width="7.7109375" style="19" bestFit="1" customWidth="1"/>
    <col min="11816" max="11816" width="8.42578125" style="19" bestFit="1" customWidth="1"/>
    <col min="11817" max="11818" width="7.7109375" style="19" bestFit="1" customWidth="1"/>
    <col min="11819" max="11819" width="8.42578125" style="19" bestFit="1" customWidth="1"/>
    <col min="11820" max="11821" width="9" style="19" bestFit="1" customWidth="1"/>
    <col min="11822" max="11822" width="15" style="19" bestFit="1" customWidth="1"/>
    <col min="11823" max="11823" width="11.5703125" style="19" bestFit="1" customWidth="1"/>
    <col min="11824" max="11824" width="37.28515625" style="19" bestFit="1" customWidth="1"/>
    <col min="11825" max="12032" width="11.42578125" style="19"/>
    <col min="12033" max="12033" width="39.28515625" style="19" bestFit="1" customWidth="1"/>
    <col min="12034" max="12035" width="5.5703125" style="19" bestFit="1" customWidth="1"/>
    <col min="12036" max="12036" width="7" style="19" bestFit="1" customWidth="1"/>
    <col min="12037" max="12045" width="7.7109375" style="19" bestFit="1" customWidth="1"/>
    <col min="12046" max="12046" width="8.42578125" style="19" bestFit="1" customWidth="1"/>
    <col min="12047" max="12050" width="7.7109375" style="19" bestFit="1" customWidth="1"/>
    <col min="12051" max="12051" width="8.42578125" style="19" bestFit="1" customWidth="1"/>
    <col min="12052" max="12055" width="7.7109375" style="19" bestFit="1" customWidth="1"/>
    <col min="12056" max="12056" width="8.42578125" style="19" bestFit="1" customWidth="1"/>
    <col min="12057" max="12062" width="7.7109375" style="19" bestFit="1" customWidth="1"/>
    <col min="12063" max="12063" width="8.42578125" style="19" bestFit="1" customWidth="1"/>
    <col min="12064" max="12065" width="7.7109375" style="19" bestFit="1" customWidth="1"/>
    <col min="12066" max="12066" width="8.42578125" style="19" bestFit="1" customWidth="1"/>
    <col min="12067" max="12067" width="7.85546875" style="19" bestFit="1" customWidth="1"/>
    <col min="12068" max="12071" width="7.7109375" style="19" bestFit="1" customWidth="1"/>
    <col min="12072" max="12072" width="8.42578125" style="19" bestFit="1" customWidth="1"/>
    <col min="12073" max="12074" width="7.7109375" style="19" bestFit="1" customWidth="1"/>
    <col min="12075" max="12075" width="8.42578125" style="19" bestFit="1" customWidth="1"/>
    <col min="12076" max="12077" width="9" style="19" bestFit="1" customWidth="1"/>
    <col min="12078" max="12078" width="15" style="19" bestFit="1" customWidth="1"/>
    <col min="12079" max="12079" width="11.5703125" style="19" bestFit="1" customWidth="1"/>
    <col min="12080" max="12080" width="37.28515625" style="19" bestFit="1" customWidth="1"/>
    <col min="12081" max="12288" width="11.42578125" style="19"/>
    <col min="12289" max="12289" width="39.28515625" style="19" bestFit="1" customWidth="1"/>
    <col min="12290" max="12291" width="5.5703125" style="19" bestFit="1" customWidth="1"/>
    <col min="12292" max="12292" width="7" style="19" bestFit="1" customWidth="1"/>
    <col min="12293" max="12301" width="7.7109375" style="19" bestFit="1" customWidth="1"/>
    <col min="12302" max="12302" width="8.42578125" style="19" bestFit="1" customWidth="1"/>
    <col min="12303" max="12306" width="7.7109375" style="19" bestFit="1" customWidth="1"/>
    <col min="12307" max="12307" width="8.42578125" style="19" bestFit="1" customWidth="1"/>
    <col min="12308" max="12311" width="7.7109375" style="19" bestFit="1" customWidth="1"/>
    <col min="12312" max="12312" width="8.42578125" style="19" bestFit="1" customWidth="1"/>
    <col min="12313" max="12318" width="7.7109375" style="19" bestFit="1" customWidth="1"/>
    <col min="12319" max="12319" width="8.42578125" style="19" bestFit="1" customWidth="1"/>
    <col min="12320" max="12321" width="7.7109375" style="19" bestFit="1" customWidth="1"/>
    <col min="12322" max="12322" width="8.42578125" style="19" bestFit="1" customWidth="1"/>
    <col min="12323" max="12323" width="7.85546875" style="19" bestFit="1" customWidth="1"/>
    <col min="12324" max="12327" width="7.7109375" style="19" bestFit="1" customWidth="1"/>
    <col min="12328" max="12328" width="8.42578125" style="19" bestFit="1" customWidth="1"/>
    <col min="12329" max="12330" width="7.7109375" style="19" bestFit="1" customWidth="1"/>
    <col min="12331" max="12331" width="8.42578125" style="19" bestFit="1" customWidth="1"/>
    <col min="12332" max="12333" width="9" style="19" bestFit="1" customWidth="1"/>
    <col min="12334" max="12334" width="15" style="19" bestFit="1" customWidth="1"/>
    <col min="12335" max="12335" width="11.5703125" style="19" bestFit="1" customWidth="1"/>
    <col min="12336" max="12336" width="37.28515625" style="19" bestFit="1" customWidth="1"/>
    <col min="12337" max="12544" width="11.42578125" style="19"/>
    <col min="12545" max="12545" width="39.28515625" style="19" bestFit="1" customWidth="1"/>
    <col min="12546" max="12547" width="5.5703125" style="19" bestFit="1" customWidth="1"/>
    <col min="12548" max="12548" width="7" style="19" bestFit="1" customWidth="1"/>
    <col min="12549" max="12557" width="7.7109375" style="19" bestFit="1" customWidth="1"/>
    <col min="12558" max="12558" width="8.42578125" style="19" bestFit="1" customWidth="1"/>
    <col min="12559" max="12562" width="7.7109375" style="19" bestFit="1" customWidth="1"/>
    <col min="12563" max="12563" width="8.42578125" style="19" bestFit="1" customWidth="1"/>
    <col min="12564" max="12567" width="7.7109375" style="19" bestFit="1" customWidth="1"/>
    <col min="12568" max="12568" width="8.42578125" style="19" bestFit="1" customWidth="1"/>
    <col min="12569" max="12574" width="7.7109375" style="19" bestFit="1" customWidth="1"/>
    <col min="12575" max="12575" width="8.42578125" style="19" bestFit="1" customWidth="1"/>
    <col min="12576" max="12577" width="7.7109375" style="19" bestFit="1" customWidth="1"/>
    <col min="12578" max="12578" width="8.42578125" style="19" bestFit="1" customWidth="1"/>
    <col min="12579" max="12579" width="7.85546875" style="19" bestFit="1" customWidth="1"/>
    <col min="12580" max="12583" width="7.7109375" style="19" bestFit="1" customWidth="1"/>
    <col min="12584" max="12584" width="8.42578125" style="19" bestFit="1" customWidth="1"/>
    <col min="12585" max="12586" width="7.7109375" style="19" bestFit="1" customWidth="1"/>
    <col min="12587" max="12587" width="8.42578125" style="19" bestFit="1" customWidth="1"/>
    <col min="12588" max="12589" width="9" style="19" bestFit="1" customWidth="1"/>
    <col min="12590" max="12590" width="15" style="19" bestFit="1" customWidth="1"/>
    <col min="12591" max="12591" width="11.5703125" style="19" bestFit="1" customWidth="1"/>
    <col min="12592" max="12592" width="37.28515625" style="19" bestFit="1" customWidth="1"/>
    <col min="12593" max="12800" width="11.42578125" style="19"/>
    <col min="12801" max="12801" width="39.28515625" style="19" bestFit="1" customWidth="1"/>
    <col min="12802" max="12803" width="5.5703125" style="19" bestFit="1" customWidth="1"/>
    <col min="12804" max="12804" width="7" style="19" bestFit="1" customWidth="1"/>
    <col min="12805" max="12813" width="7.7109375" style="19" bestFit="1" customWidth="1"/>
    <col min="12814" max="12814" width="8.42578125" style="19" bestFit="1" customWidth="1"/>
    <col min="12815" max="12818" width="7.7109375" style="19" bestFit="1" customWidth="1"/>
    <col min="12819" max="12819" width="8.42578125" style="19" bestFit="1" customWidth="1"/>
    <col min="12820" max="12823" width="7.7109375" style="19" bestFit="1" customWidth="1"/>
    <col min="12824" max="12824" width="8.42578125" style="19" bestFit="1" customWidth="1"/>
    <col min="12825" max="12830" width="7.7109375" style="19" bestFit="1" customWidth="1"/>
    <col min="12831" max="12831" width="8.42578125" style="19" bestFit="1" customWidth="1"/>
    <col min="12832" max="12833" width="7.7109375" style="19" bestFit="1" customWidth="1"/>
    <col min="12834" max="12834" width="8.42578125" style="19" bestFit="1" customWidth="1"/>
    <col min="12835" max="12835" width="7.85546875" style="19" bestFit="1" customWidth="1"/>
    <col min="12836" max="12839" width="7.7109375" style="19" bestFit="1" customWidth="1"/>
    <col min="12840" max="12840" width="8.42578125" style="19" bestFit="1" customWidth="1"/>
    <col min="12841" max="12842" width="7.7109375" style="19" bestFit="1" customWidth="1"/>
    <col min="12843" max="12843" width="8.42578125" style="19" bestFit="1" customWidth="1"/>
    <col min="12844" max="12845" width="9" style="19" bestFit="1" customWidth="1"/>
    <col min="12846" max="12846" width="15" style="19" bestFit="1" customWidth="1"/>
    <col min="12847" max="12847" width="11.5703125" style="19" bestFit="1" customWidth="1"/>
    <col min="12848" max="12848" width="37.28515625" style="19" bestFit="1" customWidth="1"/>
    <col min="12849" max="13056" width="11.42578125" style="19"/>
    <col min="13057" max="13057" width="39.28515625" style="19" bestFit="1" customWidth="1"/>
    <col min="13058" max="13059" width="5.5703125" style="19" bestFit="1" customWidth="1"/>
    <col min="13060" max="13060" width="7" style="19" bestFit="1" customWidth="1"/>
    <col min="13061" max="13069" width="7.7109375" style="19" bestFit="1" customWidth="1"/>
    <col min="13070" max="13070" width="8.42578125" style="19" bestFit="1" customWidth="1"/>
    <col min="13071" max="13074" width="7.7109375" style="19" bestFit="1" customWidth="1"/>
    <col min="13075" max="13075" width="8.42578125" style="19" bestFit="1" customWidth="1"/>
    <col min="13076" max="13079" width="7.7109375" style="19" bestFit="1" customWidth="1"/>
    <col min="13080" max="13080" width="8.42578125" style="19" bestFit="1" customWidth="1"/>
    <col min="13081" max="13086" width="7.7109375" style="19" bestFit="1" customWidth="1"/>
    <col min="13087" max="13087" width="8.42578125" style="19" bestFit="1" customWidth="1"/>
    <col min="13088" max="13089" width="7.7109375" style="19" bestFit="1" customWidth="1"/>
    <col min="13090" max="13090" width="8.42578125" style="19" bestFit="1" customWidth="1"/>
    <col min="13091" max="13091" width="7.85546875" style="19" bestFit="1" customWidth="1"/>
    <col min="13092" max="13095" width="7.7109375" style="19" bestFit="1" customWidth="1"/>
    <col min="13096" max="13096" width="8.42578125" style="19" bestFit="1" customWidth="1"/>
    <col min="13097" max="13098" width="7.7109375" style="19" bestFit="1" customWidth="1"/>
    <col min="13099" max="13099" width="8.42578125" style="19" bestFit="1" customWidth="1"/>
    <col min="13100" max="13101" width="9" style="19" bestFit="1" customWidth="1"/>
    <col min="13102" max="13102" width="15" style="19" bestFit="1" customWidth="1"/>
    <col min="13103" max="13103" width="11.5703125" style="19" bestFit="1" customWidth="1"/>
    <col min="13104" max="13104" width="37.28515625" style="19" bestFit="1" customWidth="1"/>
    <col min="13105" max="13312" width="11.42578125" style="19"/>
    <col min="13313" max="13313" width="39.28515625" style="19" bestFit="1" customWidth="1"/>
    <col min="13314" max="13315" width="5.5703125" style="19" bestFit="1" customWidth="1"/>
    <col min="13316" max="13316" width="7" style="19" bestFit="1" customWidth="1"/>
    <col min="13317" max="13325" width="7.7109375" style="19" bestFit="1" customWidth="1"/>
    <col min="13326" max="13326" width="8.42578125" style="19" bestFit="1" customWidth="1"/>
    <col min="13327" max="13330" width="7.7109375" style="19" bestFit="1" customWidth="1"/>
    <col min="13331" max="13331" width="8.42578125" style="19" bestFit="1" customWidth="1"/>
    <col min="13332" max="13335" width="7.7109375" style="19" bestFit="1" customWidth="1"/>
    <col min="13336" max="13336" width="8.42578125" style="19" bestFit="1" customWidth="1"/>
    <col min="13337" max="13342" width="7.7109375" style="19" bestFit="1" customWidth="1"/>
    <col min="13343" max="13343" width="8.42578125" style="19" bestFit="1" customWidth="1"/>
    <col min="13344" max="13345" width="7.7109375" style="19" bestFit="1" customWidth="1"/>
    <col min="13346" max="13346" width="8.42578125" style="19" bestFit="1" customWidth="1"/>
    <col min="13347" max="13347" width="7.85546875" style="19" bestFit="1" customWidth="1"/>
    <col min="13348" max="13351" width="7.7109375" style="19" bestFit="1" customWidth="1"/>
    <col min="13352" max="13352" width="8.42578125" style="19" bestFit="1" customWidth="1"/>
    <col min="13353" max="13354" width="7.7109375" style="19" bestFit="1" customWidth="1"/>
    <col min="13355" max="13355" width="8.42578125" style="19" bestFit="1" customWidth="1"/>
    <col min="13356" max="13357" width="9" style="19" bestFit="1" customWidth="1"/>
    <col min="13358" max="13358" width="15" style="19" bestFit="1" customWidth="1"/>
    <col min="13359" max="13359" width="11.5703125" style="19" bestFit="1" customWidth="1"/>
    <col min="13360" max="13360" width="37.28515625" style="19" bestFit="1" customWidth="1"/>
    <col min="13361" max="13568" width="11.42578125" style="19"/>
    <col min="13569" max="13569" width="39.28515625" style="19" bestFit="1" customWidth="1"/>
    <col min="13570" max="13571" width="5.5703125" style="19" bestFit="1" customWidth="1"/>
    <col min="13572" max="13572" width="7" style="19" bestFit="1" customWidth="1"/>
    <col min="13573" max="13581" width="7.7109375" style="19" bestFit="1" customWidth="1"/>
    <col min="13582" max="13582" width="8.42578125" style="19" bestFit="1" customWidth="1"/>
    <col min="13583" max="13586" width="7.7109375" style="19" bestFit="1" customWidth="1"/>
    <col min="13587" max="13587" width="8.42578125" style="19" bestFit="1" customWidth="1"/>
    <col min="13588" max="13591" width="7.7109375" style="19" bestFit="1" customWidth="1"/>
    <col min="13592" max="13592" width="8.42578125" style="19" bestFit="1" customWidth="1"/>
    <col min="13593" max="13598" width="7.7109375" style="19" bestFit="1" customWidth="1"/>
    <col min="13599" max="13599" width="8.42578125" style="19" bestFit="1" customWidth="1"/>
    <col min="13600" max="13601" width="7.7109375" style="19" bestFit="1" customWidth="1"/>
    <col min="13602" max="13602" width="8.42578125" style="19" bestFit="1" customWidth="1"/>
    <col min="13603" max="13603" width="7.85546875" style="19" bestFit="1" customWidth="1"/>
    <col min="13604" max="13607" width="7.7109375" style="19" bestFit="1" customWidth="1"/>
    <col min="13608" max="13608" width="8.42578125" style="19" bestFit="1" customWidth="1"/>
    <col min="13609" max="13610" width="7.7109375" style="19" bestFit="1" customWidth="1"/>
    <col min="13611" max="13611" width="8.42578125" style="19" bestFit="1" customWidth="1"/>
    <col min="13612" max="13613" width="9" style="19" bestFit="1" customWidth="1"/>
    <col min="13614" max="13614" width="15" style="19" bestFit="1" customWidth="1"/>
    <col min="13615" max="13615" width="11.5703125" style="19" bestFit="1" customWidth="1"/>
    <col min="13616" max="13616" width="37.28515625" style="19" bestFit="1" customWidth="1"/>
    <col min="13617" max="13824" width="11.42578125" style="19"/>
    <col min="13825" max="13825" width="39.28515625" style="19" bestFit="1" customWidth="1"/>
    <col min="13826" max="13827" width="5.5703125" style="19" bestFit="1" customWidth="1"/>
    <col min="13828" max="13828" width="7" style="19" bestFit="1" customWidth="1"/>
    <col min="13829" max="13837" width="7.7109375" style="19" bestFit="1" customWidth="1"/>
    <col min="13838" max="13838" width="8.42578125" style="19" bestFit="1" customWidth="1"/>
    <col min="13839" max="13842" width="7.7109375" style="19" bestFit="1" customWidth="1"/>
    <col min="13843" max="13843" width="8.42578125" style="19" bestFit="1" customWidth="1"/>
    <col min="13844" max="13847" width="7.7109375" style="19" bestFit="1" customWidth="1"/>
    <col min="13848" max="13848" width="8.42578125" style="19" bestFit="1" customWidth="1"/>
    <col min="13849" max="13854" width="7.7109375" style="19" bestFit="1" customWidth="1"/>
    <col min="13855" max="13855" width="8.42578125" style="19" bestFit="1" customWidth="1"/>
    <col min="13856" max="13857" width="7.7109375" style="19" bestFit="1" customWidth="1"/>
    <col min="13858" max="13858" width="8.42578125" style="19" bestFit="1" customWidth="1"/>
    <col min="13859" max="13859" width="7.85546875" style="19" bestFit="1" customWidth="1"/>
    <col min="13860" max="13863" width="7.7109375" style="19" bestFit="1" customWidth="1"/>
    <col min="13864" max="13864" width="8.42578125" style="19" bestFit="1" customWidth="1"/>
    <col min="13865" max="13866" width="7.7109375" style="19" bestFit="1" customWidth="1"/>
    <col min="13867" max="13867" width="8.42578125" style="19" bestFit="1" customWidth="1"/>
    <col min="13868" max="13869" width="9" style="19" bestFit="1" customWidth="1"/>
    <col min="13870" max="13870" width="15" style="19" bestFit="1" customWidth="1"/>
    <col min="13871" max="13871" width="11.5703125" style="19" bestFit="1" customWidth="1"/>
    <col min="13872" max="13872" width="37.28515625" style="19" bestFit="1" customWidth="1"/>
    <col min="13873" max="14080" width="11.42578125" style="19"/>
    <col min="14081" max="14081" width="39.28515625" style="19" bestFit="1" customWidth="1"/>
    <col min="14082" max="14083" width="5.5703125" style="19" bestFit="1" customWidth="1"/>
    <col min="14084" max="14084" width="7" style="19" bestFit="1" customWidth="1"/>
    <col min="14085" max="14093" width="7.7109375" style="19" bestFit="1" customWidth="1"/>
    <col min="14094" max="14094" width="8.42578125" style="19" bestFit="1" customWidth="1"/>
    <col min="14095" max="14098" width="7.7109375" style="19" bestFit="1" customWidth="1"/>
    <col min="14099" max="14099" width="8.42578125" style="19" bestFit="1" customWidth="1"/>
    <col min="14100" max="14103" width="7.7109375" style="19" bestFit="1" customWidth="1"/>
    <col min="14104" max="14104" width="8.42578125" style="19" bestFit="1" customWidth="1"/>
    <col min="14105" max="14110" width="7.7109375" style="19" bestFit="1" customWidth="1"/>
    <col min="14111" max="14111" width="8.42578125" style="19" bestFit="1" customWidth="1"/>
    <col min="14112" max="14113" width="7.7109375" style="19" bestFit="1" customWidth="1"/>
    <col min="14114" max="14114" width="8.42578125" style="19" bestFit="1" customWidth="1"/>
    <col min="14115" max="14115" width="7.85546875" style="19" bestFit="1" customWidth="1"/>
    <col min="14116" max="14119" width="7.7109375" style="19" bestFit="1" customWidth="1"/>
    <col min="14120" max="14120" width="8.42578125" style="19" bestFit="1" customWidth="1"/>
    <col min="14121" max="14122" width="7.7109375" style="19" bestFit="1" customWidth="1"/>
    <col min="14123" max="14123" width="8.42578125" style="19" bestFit="1" customWidth="1"/>
    <col min="14124" max="14125" width="9" style="19" bestFit="1" customWidth="1"/>
    <col min="14126" max="14126" width="15" style="19" bestFit="1" customWidth="1"/>
    <col min="14127" max="14127" width="11.5703125" style="19" bestFit="1" customWidth="1"/>
    <col min="14128" max="14128" width="37.28515625" style="19" bestFit="1" customWidth="1"/>
    <col min="14129" max="14336" width="11.42578125" style="19"/>
    <col min="14337" max="14337" width="39.28515625" style="19" bestFit="1" customWidth="1"/>
    <col min="14338" max="14339" width="5.5703125" style="19" bestFit="1" customWidth="1"/>
    <col min="14340" max="14340" width="7" style="19" bestFit="1" customWidth="1"/>
    <col min="14341" max="14349" width="7.7109375" style="19" bestFit="1" customWidth="1"/>
    <col min="14350" max="14350" width="8.42578125" style="19" bestFit="1" customWidth="1"/>
    <col min="14351" max="14354" width="7.7109375" style="19" bestFit="1" customWidth="1"/>
    <col min="14355" max="14355" width="8.42578125" style="19" bestFit="1" customWidth="1"/>
    <col min="14356" max="14359" width="7.7109375" style="19" bestFit="1" customWidth="1"/>
    <col min="14360" max="14360" width="8.42578125" style="19" bestFit="1" customWidth="1"/>
    <col min="14361" max="14366" width="7.7109375" style="19" bestFit="1" customWidth="1"/>
    <col min="14367" max="14367" width="8.42578125" style="19" bestFit="1" customWidth="1"/>
    <col min="14368" max="14369" width="7.7109375" style="19" bestFit="1" customWidth="1"/>
    <col min="14370" max="14370" width="8.42578125" style="19" bestFit="1" customWidth="1"/>
    <col min="14371" max="14371" width="7.85546875" style="19" bestFit="1" customWidth="1"/>
    <col min="14372" max="14375" width="7.7109375" style="19" bestFit="1" customWidth="1"/>
    <col min="14376" max="14376" width="8.42578125" style="19" bestFit="1" customWidth="1"/>
    <col min="14377" max="14378" width="7.7109375" style="19" bestFit="1" customWidth="1"/>
    <col min="14379" max="14379" width="8.42578125" style="19" bestFit="1" customWidth="1"/>
    <col min="14380" max="14381" width="9" style="19" bestFit="1" customWidth="1"/>
    <col min="14382" max="14382" width="15" style="19" bestFit="1" customWidth="1"/>
    <col min="14383" max="14383" width="11.5703125" style="19" bestFit="1" customWidth="1"/>
    <col min="14384" max="14384" width="37.28515625" style="19" bestFit="1" customWidth="1"/>
    <col min="14385" max="14592" width="11.42578125" style="19"/>
    <col min="14593" max="14593" width="39.28515625" style="19" bestFit="1" customWidth="1"/>
    <col min="14594" max="14595" width="5.5703125" style="19" bestFit="1" customWidth="1"/>
    <col min="14596" max="14596" width="7" style="19" bestFit="1" customWidth="1"/>
    <col min="14597" max="14605" width="7.7109375" style="19" bestFit="1" customWidth="1"/>
    <col min="14606" max="14606" width="8.42578125" style="19" bestFit="1" customWidth="1"/>
    <col min="14607" max="14610" width="7.7109375" style="19" bestFit="1" customWidth="1"/>
    <col min="14611" max="14611" width="8.42578125" style="19" bestFit="1" customWidth="1"/>
    <col min="14612" max="14615" width="7.7109375" style="19" bestFit="1" customWidth="1"/>
    <col min="14616" max="14616" width="8.42578125" style="19" bestFit="1" customWidth="1"/>
    <col min="14617" max="14622" width="7.7109375" style="19" bestFit="1" customWidth="1"/>
    <col min="14623" max="14623" width="8.42578125" style="19" bestFit="1" customWidth="1"/>
    <col min="14624" max="14625" width="7.7109375" style="19" bestFit="1" customWidth="1"/>
    <col min="14626" max="14626" width="8.42578125" style="19" bestFit="1" customWidth="1"/>
    <col min="14627" max="14627" width="7.85546875" style="19" bestFit="1" customWidth="1"/>
    <col min="14628" max="14631" width="7.7109375" style="19" bestFit="1" customWidth="1"/>
    <col min="14632" max="14632" width="8.42578125" style="19" bestFit="1" customWidth="1"/>
    <col min="14633" max="14634" width="7.7109375" style="19" bestFit="1" customWidth="1"/>
    <col min="14635" max="14635" width="8.42578125" style="19" bestFit="1" customWidth="1"/>
    <col min="14636" max="14637" width="9" style="19" bestFit="1" customWidth="1"/>
    <col min="14638" max="14638" width="15" style="19" bestFit="1" customWidth="1"/>
    <col min="14639" max="14639" width="11.5703125" style="19" bestFit="1" customWidth="1"/>
    <col min="14640" max="14640" width="37.28515625" style="19" bestFit="1" customWidth="1"/>
    <col min="14641" max="14848" width="11.42578125" style="19"/>
    <col min="14849" max="14849" width="39.28515625" style="19" bestFit="1" customWidth="1"/>
    <col min="14850" max="14851" width="5.5703125" style="19" bestFit="1" customWidth="1"/>
    <col min="14852" max="14852" width="7" style="19" bestFit="1" customWidth="1"/>
    <col min="14853" max="14861" width="7.7109375" style="19" bestFit="1" customWidth="1"/>
    <col min="14862" max="14862" width="8.42578125" style="19" bestFit="1" customWidth="1"/>
    <col min="14863" max="14866" width="7.7109375" style="19" bestFit="1" customWidth="1"/>
    <col min="14867" max="14867" width="8.42578125" style="19" bestFit="1" customWidth="1"/>
    <col min="14868" max="14871" width="7.7109375" style="19" bestFit="1" customWidth="1"/>
    <col min="14872" max="14872" width="8.42578125" style="19" bestFit="1" customWidth="1"/>
    <col min="14873" max="14878" width="7.7109375" style="19" bestFit="1" customWidth="1"/>
    <col min="14879" max="14879" width="8.42578125" style="19" bestFit="1" customWidth="1"/>
    <col min="14880" max="14881" width="7.7109375" style="19" bestFit="1" customWidth="1"/>
    <col min="14882" max="14882" width="8.42578125" style="19" bestFit="1" customWidth="1"/>
    <col min="14883" max="14883" width="7.85546875" style="19" bestFit="1" customWidth="1"/>
    <col min="14884" max="14887" width="7.7109375" style="19" bestFit="1" customWidth="1"/>
    <col min="14888" max="14888" width="8.42578125" style="19" bestFit="1" customWidth="1"/>
    <col min="14889" max="14890" width="7.7109375" style="19" bestFit="1" customWidth="1"/>
    <col min="14891" max="14891" width="8.42578125" style="19" bestFit="1" customWidth="1"/>
    <col min="14892" max="14893" width="9" style="19" bestFit="1" customWidth="1"/>
    <col min="14894" max="14894" width="15" style="19" bestFit="1" customWidth="1"/>
    <col min="14895" max="14895" width="11.5703125" style="19" bestFit="1" customWidth="1"/>
    <col min="14896" max="14896" width="37.28515625" style="19" bestFit="1" customWidth="1"/>
    <col min="14897" max="15104" width="11.42578125" style="19"/>
    <col min="15105" max="15105" width="39.28515625" style="19" bestFit="1" customWidth="1"/>
    <col min="15106" max="15107" width="5.5703125" style="19" bestFit="1" customWidth="1"/>
    <col min="15108" max="15108" width="7" style="19" bestFit="1" customWidth="1"/>
    <col min="15109" max="15117" width="7.7109375" style="19" bestFit="1" customWidth="1"/>
    <col min="15118" max="15118" width="8.42578125" style="19" bestFit="1" customWidth="1"/>
    <col min="15119" max="15122" width="7.7109375" style="19" bestFit="1" customWidth="1"/>
    <col min="15123" max="15123" width="8.42578125" style="19" bestFit="1" customWidth="1"/>
    <col min="15124" max="15127" width="7.7109375" style="19" bestFit="1" customWidth="1"/>
    <col min="15128" max="15128" width="8.42578125" style="19" bestFit="1" customWidth="1"/>
    <col min="15129" max="15134" width="7.7109375" style="19" bestFit="1" customWidth="1"/>
    <col min="15135" max="15135" width="8.42578125" style="19" bestFit="1" customWidth="1"/>
    <col min="15136" max="15137" width="7.7109375" style="19" bestFit="1" customWidth="1"/>
    <col min="15138" max="15138" width="8.42578125" style="19" bestFit="1" customWidth="1"/>
    <col min="15139" max="15139" width="7.85546875" style="19" bestFit="1" customWidth="1"/>
    <col min="15140" max="15143" width="7.7109375" style="19" bestFit="1" customWidth="1"/>
    <col min="15144" max="15144" width="8.42578125" style="19" bestFit="1" customWidth="1"/>
    <col min="15145" max="15146" width="7.7109375" style="19" bestFit="1" customWidth="1"/>
    <col min="15147" max="15147" width="8.42578125" style="19" bestFit="1" customWidth="1"/>
    <col min="15148" max="15149" width="9" style="19" bestFit="1" customWidth="1"/>
    <col min="15150" max="15150" width="15" style="19" bestFit="1" customWidth="1"/>
    <col min="15151" max="15151" width="11.5703125" style="19" bestFit="1" customWidth="1"/>
    <col min="15152" max="15152" width="37.28515625" style="19" bestFit="1" customWidth="1"/>
    <col min="15153" max="15360" width="11.42578125" style="19"/>
    <col min="15361" max="15361" width="39.28515625" style="19" bestFit="1" customWidth="1"/>
    <col min="15362" max="15363" width="5.5703125" style="19" bestFit="1" customWidth="1"/>
    <col min="15364" max="15364" width="7" style="19" bestFit="1" customWidth="1"/>
    <col min="15365" max="15373" width="7.7109375" style="19" bestFit="1" customWidth="1"/>
    <col min="15374" max="15374" width="8.42578125" style="19" bestFit="1" customWidth="1"/>
    <col min="15375" max="15378" width="7.7109375" style="19" bestFit="1" customWidth="1"/>
    <col min="15379" max="15379" width="8.42578125" style="19" bestFit="1" customWidth="1"/>
    <col min="15380" max="15383" width="7.7109375" style="19" bestFit="1" customWidth="1"/>
    <col min="15384" max="15384" width="8.42578125" style="19" bestFit="1" customWidth="1"/>
    <col min="15385" max="15390" width="7.7109375" style="19" bestFit="1" customWidth="1"/>
    <col min="15391" max="15391" width="8.42578125" style="19" bestFit="1" customWidth="1"/>
    <col min="15392" max="15393" width="7.7109375" style="19" bestFit="1" customWidth="1"/>
    <col min="15394" max="15394" width="8.42578125" style="19" bestFit="1" customWidth="1"/>
    <col min="15395" max="15395" width="7.85546875" style="19" bestFit="1" customWidth="1"/>
    <col min="15396" max="15399" width="7.7109375" style="19" bestFit="1" customWidth="1"/>
    <col min="15400" max="15400" width="8.42578125" style="19" bestFit="1" customWidth="1"/>
    <col min="15401" max="15402" width="7.7109375" style="19" bestFit="1" customWidth="1"/>
    <col min="15403" max="15403" width="8.42578125" style="19" bestFit="1" customWidth="1"/>
    <col min="15404" max="15405" width="9" style="19" bestFit="1" customWidth="1"/>
    <col min="15406" max="15406" width="15" style="19" bestFit="1" customWidth="1"/>
    <col min="15407" max="15407" width="11.5703125" style="19" bestFit="1" customWidth="1"/>
    <col min="15408" max="15408" width="37.28515625" style="19" bestFit="1" customWidth="1"/>
    <col min="15409" max="15616" width="11.42578125" style="19"/>
    <col min="15617" max="15617" width="39.28515625" style="19" bestFit="1" customWidth="1"/>
    <col min="15618" max="15619" width="5.5703125" style="19" bestFit="1" customWidth="1"/>
    <col min="15620" max="15620" width="7" style="19" bestFit="1" customWidth="1"/>
    <col min="15621" max="15629" width="7.7109375" style="19" bestFit="1" customWidth="1"/>
    <col min="15630" max="15630" width="8.42578125" style="19" bestFit="1" customWidth="1"/>
    <col min="15631" max="15634" width="7.7109375" style="19" bestFit="1" customWidth="1"/>
    <col min="15635" max="15635" width="8.42578125" style="19" bestFit="1" customWidth="1"/>
    <col min="15636" max="15639" width="7.7109375" style="19" bestFit="1" customWidth="1"/>
    <col min="15640" max="15640" width="8.42578125" style="19" bestFit="1" customWidth="1"/>
    <col min="15641" max="15646" width="7.7109375" style="19" bestFit="1" customWidth="1"/>
    <col min="15647" max="15647" width="8.42578125" style="19" bestFit="1" customWidth="1"/>
    <col min="15648" max="15649" width="7.7109375" style="19" bestFit="1" customWidth="1"/>
    <col min="15650" max="15650" width="8.42578125" style="19" bestFit="1" customWidth="1"/>
    <col min="15651" max="15651" width="7.85546875" style="19" bestFit="1" customWidth="1"/>
    <col min="15652" max="15655" width="7.7109375" style="19" bestFit="1" customWidth="1"/>
    <col min="15656" max="15656" width="8.42578125" style="19" bestFit="1" customWidth="1"/>
    <col min="15657" max="15658" width="7.7109375" style="19" bestFit="1" customWidth="1"/>
    <col min="15659" max="15659" width="8.42578125" style="19" bestFit="1" customWidth="1"/>
    <col min="15660" max="15661" width="9" style="19" bestFit="1" customWidth="1"/>
    <col min="15662" max="15662" width="15" style="19" bestFit="1" customWidth="1"/>
    <col min="15663" max="15663" width="11.5703125" style="19" bestFit="1" customWidth="1"/>
    <col min="15664" max="15664" width="37.28515625" style="19" bestFit="1" customWidth="1"/>
    <col min="15665" max="15872" width="11.42578125" style="19"/>
    <col min="15873" max="15873" width="39.28515625" style="19" bestFit="1" customWidth="1"/>
    <col min="15874" max="15875" width="5.5703125" style="19" bestFit="1" customWidth="1"/>
    <col min="15876" max="15876" width="7" style="19" bestFit="1" customWidth="1"/>
    <col min="15877" max="15885" width="7.7109375" style="19" bestFit="1" customWidth="1"/>
    <col min="15886" max="15886" width="8.42578125" style="19" bestFit="1" customWidth="1"/>
    <col min="15887" max="15890" width="7.7109375" style="19" bestFit="1" customWidth="1"/>
    <col min="15891" max="15891" width="8.42578125" style="19" bestFit="1" customWidth="1"/>
    <col min="15892" max="15895" width="7.7109375" style="19" bestFit="1" customWidth="1"/>
    <col min="15896" max="15896" width="8.42578125" style="19" bestFit="1" customWidth="1"/>
    <col min="15897" max="15902" width="7.7109375" style="19" bestFit="1" customWidth="1"/>
    <col min="15903" max="15903" width="8.42578125" style="19" bestFit="1" customWidth="1"/>
    <col min="15904" max="15905" width="7.7109375" style="19" bestFit="1" customWidth="1"/>
    <col min="15906" max="15906" width="8.42578125" style="19" bestFit="1" customWidth="1"/>
    <col min="15907" max="15907" width="7.85546875" style="19" bestFit="1" customWidth="1"/>
    <col min="15908" max="15911" width="7.7109375" style="19" bestFit="1" customWidth="1"/>
    <col min="15912" max="15912" width="8.42578125" style="19" bestFit="1" customWidth="1"/>
    <col min="15913" max="15914" width="7.7109375" style="19" bestFit="1" customWidth="1"/>
    <col min="15915" max="15915" width="8.42578125" style="19" bestFit="1" customWidth="1"/>
    <col min="15916" max="15917" width="9" style="19" bestFit="1" customWidth="1"/>
    <col min="15918" max="15918" width="15" style="19" bestFit="1" customWidth="1"/>
    <col min="15919" max="15919" width="11.5703125" style="19" bestFit="1" customWidth="1"/>
    <col min="15920" max="15920" width="37.28515625" style="19" bestFit="1" customWidth="1"/>
    <col min="15921" max="16128" width="11.42578125" style="19"/>
    <col min="16129" max="16129" width="39.28515625" style="19" bestFit="1" customWidth="1"/>
    <col min="16130" max="16131" width="5.5703125" style="19" bestFit="1" customWidth="1"/>
    <col min="16132" max="16132" width="7" style="19" bestFit="1" customWidth="1"/>
    <col min="16133" max="16141" width="7.7109375" style="19" bestFit="1" customWidth="1"/>
    <col min="16142" max="16142" width="8.42578125" style="19" bestFit="1" customWidth="1"/>
    <col min="16143" max="16146" width="7.7109375" style="19" bestFit="1" customWidth="1"/>
    <col min="16147" max="16147" width="8.42578125" style="19" bestFit="1" customWidth="1"/>
    <col min="16148" max="16151" width="7.7109375" style="19" bestFit="1" customWidth="1"/>
    <col min="16152" max="16152" width="8.42578125" style="19" bestFit="1" customWidth="1"/>
    <col min="16153" max="16158" width="7.7109375" style="19" bestFit="1" customWidth="1"/>
    <col min="16159" max="16159" width="8.42578125" style="19" bestFit="1" customWidth="1"/>
    <col min="16160" max="16161" width="7.7109375" style="19" bestFit="1" customWidth="1"/>
    <col min="16162" max="16162" width="8.42578125" style="19" bestFit="1" customWidth="1"/>
    <col min="16163" max="16163" width="7.85546875" style="19" bestFit="1" customWidth="1"/>
    <col min="16164" max="16167" width="7.7109375" style="19" bestFit="1" customWidth="1"/>
    <col min="16168" max="16168" width="8.42578125" style="19" bestFit="1" customWidth="1"/>
    <col min="16169" max="16170" width="7.7109375" style="19" bestFit="1" customWidth="1"/>
    <col min="16171" max="16171" width="8.42578125" style="19" bestFit="1" customWidth="1"/>
    <col min="16172" max="16173" width="9" style="19" bestFit="1" customWidth="1"/>
    <col min="16174" max="16174" width="15" style="19" bestFit="1" customWidth="1"/>
    <col min="16175" max="16175" width="11.5703125" style="19" bestFit="1" customWidth="1"/>
    <col min="16176" max="16176" width="37.28515625" style="19" bestFit="1" customWidth="1"/>
    <col min="16177" max="16384" width="11.42578125" style="19"/>
  </cols>
  <sheetData>
    <row r="1" spans="1:48" s="20" customFormat="1">
      <c r="A1" s="17" t="s">
        <v>50</v>
      </c>
      <c r="B1" s="18">
        <v>2016</v>
      </c>
      <c r="C1" s="18">
        <v>2017</v>
      </c>
      <c r="D1" s="18">
        <v>2018</v>
      </c>
      <c r="E1" s="18">
        <v>2019</v>
      </c>
      <c r="F1" s="18">
        <f t="shared" ref="F1:AO1" si="0">E1+1</f>
        <v>2020</v>
      </c>
      <c r="G1" s="18">
        <f t="shared" si="0"/>
        <v>2021</v>
      </c>
      <c r="H1" s="18">
        <f t="shared" si="0"/>
        <v>2022</v>
      </c>
      <c r="I1" s="18">
        <f t="shared" si="0"/>
        <v>2023</v>
      </c>
      <c r="J1" s="18">
        <f t="shared" si="0"/>
        <v>2024</v>
      </c>
      <c r="K1" s="18">
        <f t="shared" si="0"/>
        <v>2025</v>
      </c>
      <c r="L1" s="18">
        <f t="shared" si="0"/>
        <v>2026</v>
      </c>
      <c r="M1" s="18">
        <f t="shared" si="0"/>
        <v>2027</v>
      </c>
      <c r="N1" s="18">
        <f t="shared" si="0"/>
        <v>2028</v>
      </c>
      <c r="O1" s="18">
        <f t="shared" si="0"/>
        <v>2029</v>
      </c>
      <c r="P1" s="18">
        <f t="shared" si="0"/>
        <v>2030</v>
      </c>
      <c r="Q1" s="18">
        <f t="shared" si="0"/>
        <v>2031</v>
      </c>
      <c r="R1" s="18">
        <f t="shared" si="0"/>
        <v>2032</v>
      </c>
      <c r="S1" s="18">
        <f t="shared" si="0"/>
        <v>2033</v>
      </c>
      <c r="T1" s="18">
        <f t="shared" si="0"/>
        <v>2034</v>
      </c>
      <c r="U1" s="18">
        <f t="shared" si="0"/>
        <v>2035</v>
      </c>
      <c r="V1" s="18">
        <f t="shared" si="0"/>
        <v>2036</v>
      </c>
      <c r="W1" s="18">
        <f t="shared" si="0"/>
        <v>2037</v>
      </c>
      <c r="X1" s="18">
        <f t="shared" si="0"/>
        <v>2038</v>
      </c>
      <c r="Y1" s="18">
        <f t="shared" si="0"/>
        <v>2039</v>
      </c>
      <c r="Z1" s="18">
        <f t="shared" si="0"/>
        <v>2040</v>
      </c>
      <c r="AA1" s="18">
        <f t="shared" si="0"/>
        <v>2041</v>
      </c>
      <c r="AB1" s="18">
        <f t="shared" si="0"/>
        <v>2042</v>
      </c>
      <c r="AC1" s="18">
        <f t="shared" si="0"/>
        <v>2043</v>
      </c>
      <c r="AD1" s="18">
        <f t="shared" si="0"/>
        <v>2044</v>
      </c>
      <c r="AE1" s="18">
        <f t="shared" si="0"/>
        <v>2045</v>
      </c>
      <c r="AF1" s="18">
        <f t="shared" si="0"/>
        <v>2046</v>
      </c>
      <c r="AG1" s="18">
        <f t="shared" si="0"/>
        <v>2047</v>
      </c>
      <c r="AH1" s="18">
        <f t="shared" si="0"/>
        <v>2048</v>
      </c>
      <c r="AI1" s="18">
        <f t="shared" si="0"/>
        <v>2049</v>
      </c>
      <c r="AJ1" s="18">
        <f t="shared" si="0"/>
        <v>2050</v>
      </c>
      <c r="AK1" s="18">
        <f t="shared" si="0"/>
        <v>2051</v>
      </c>
      <c r="AL1" s="18">
        <f t="shared" si="0"/>
        <v>2052</v>
      </c>
      <c r="AM1" s="18">
        <f t="shared" si="0"/>
        <v>2053</v>
      </c>
      <c r="AN1" s="18">
        <f t="shared" si="0"/>
        <v>2054</v>
      </c>
      <c r="AO1" s="18">
        <f t="shared" si="0"/>
        <v>2055</v>
      </c>
      <c r="AP1" s="18">
        <f>AO1+1</f>
        <v>2056</v>
      </c>
      <c r="AQ1" s="18">
        <f>AP1+1</f>
        <v>2057</v>
      </c>
      <c r="AR1" s="18">
        <f>AQ1+1</f>
        <v>2058</v>
      </c>
      <c r="AS1" s="18">
        <f>AR1+1</f>
        <v>2059</v>
      </c>
      <c r="AT1" s="19"/>
    </row>
    <row r="2" spans="1:48" s="24" customFormat="1">
      <c r="A2" s="21">
        <f>(I7+I12)/200</f>
        <v>204.95217100000002</v>
      </c>
      <c r="B2" s="22"/>
      <c r="C2" s="22"/>
      <c r="D2" s="22"/>
      <c r="E2" s="23"/>
      <c r="F2" s="23"/>
      <c r="G2" s="23"/>
      <c r="H2" s="23"/>
      <c r="I2" s="23"/>
      <c r="J2" s="23"/>
      <c r="K2" s="23"/>
      <c r="L2" s="23"/>
      <c r="M2" s="23"/>
      <c r="N2" s="23"/>
      <c r="O2" s="23"/>
      <c r="P2" s="23"/>
      <c r="Q2" s="23"/>
      <c r="R2" s="23"/>
      <c r="S2" s="23"/>
      <c r="T2" s="23"/>
      <c r="U2" s="23"/>
      <c r="V2" s="23"/>
      <c r="W2" s="23"/>
      <c r="X2" s="23"/>
      <c r="Y2" s="23"/>
      <c r="Z2" s="23"/>
      <c r="AA2" s="23"/>
      <c r="AB2" s="23"/>
      <c r="AC2" s="23"/>
      <c r="AD2" s="23"/>
      <c r="AE2" s="23"/>
      <c r="AF2" s="23"/>
      <c r="AG2" s="23"/>
      <c r="AH2" s="23"/>
      <c r="AI2" s="23"/>
      <c r="AJ2" s="23"/>
      <c r="AK2" s="23"/>
      <c r="AL2" s="23"/>
      <c r="AM2" s="23"/>
      <c r="AN2" s="23"/>
      <c r="AO2" s="23"/>
      <c r="AP2" s="23"/>
      <c r="AQ2" s="23"/>
      <c r="AR2" s="23"/>
      <c r="AS2" s="23"/>
      <c r="AT2" s="19"/>
    </row>
    <row r="3" spans="1:48">
      <c r="A3" s="25" t="s">
        <v>51</v>
      </c>
      <c r="B3" s="26"/>
      <c r="C3" s="26"/>
      <c r="D3" s="26"/>
      <c r="E3" s="27">
        <f>LOYERS!$C8</f>
        <v>290589</v>
      </c>
      <c r="F3" s="27">
        <f>LOYERS!$C9</f>
        <v>274555.03534730757</v>
      </c>
      <c r="G3" s="27">
        <f>LOYERS!$C9</f>
        <v>274555.03534730757</v>
      </c>
      <c r="H3" s="27">
        <f>LOYERS!$C9</f>
        <v>274555.03534730757</v>
      </c>
      <c r="I3" s="27">
        <f>LOYERS!$C9</f>
        <v>274555.03534730757</v>
      </c>
      <c r="J3" s="27">
        <f>LOYERS!$C9</f>
        <v>274555.03534730757</v>
      </c>
      <c r="K3" s="27">
        <f>LOYERS!$C14</f>
        <v>271013.45785099943</v>
      </c>
      <c r="L3" s="27">
        <f>LOYERS!$C14</f>
        <v>271013.45785099943</v>
      </c>
      <c r="M3" s="27">
        <f>LOYERS!$C14</f>
        <v>271013.45785099943</v>
      </c>
      <c r="N3" s="27">
        <f>LOYERS!$C14</f>
        <v>271013.45785099943</v>
      </c>
      <c r="O3" s="27">
        <f>LOYERS!$C14</f>
        <v>271013.45785099943</v>
      </c>
      <c r="P3" s="27">
        <f>LOYERS!$C14</f>
        <v>271013.45785099943</v>
      </c>
      <c r="Q3" s="27">
        <f>LOYERS!$C14</f>
        <v>271013.45785099943</v>
      </c>
      <c r="R3" s="27">
        <f>LOYERS!$C14</f>
        <v>271013.45785099943</v>
      </c>
      <c r="S3" s="27">
        <f>LOYERS!$C14</f>
        <v>271013.45785099943</v>
      </c>
      <c r="T3" s="27">
        <f>LOYERS!$C14</f>
        <v>271013.45785099943</v>
      </c>
      <c r="U3" s="27">
        <f>LOYERS!$C14</f>
        <v>271013.45785099943</v>
      </c>
      <c r="V3" s="27">
        <f>LOYERS!$C14</f>
        <v>271013.45785099943</v>
      </c>
      <c r="W3" s="27">
        <f>LOYERS!$C14</f>
        <v>271013.45785099943</v>
      </c>
      <c r="X3" s="27">
        <f>LOYERS!$C14</f>
        <v>271013.45785099943</v>
      </c>
      <c r="Y3" s="27">
        <f>LOYERS!$C14</f>
        <v>271013.45785099943</v>
      </c>
      <c r="Z3" s="27">
        <f>LOYERS!$C14</f>
        <v>271013.45785099943</v>
      </c>
      <c r="AA3" s="27">
        <f>LOYERS!$C14</f>
        <v>271013.45785099943</v>
      </c>
      <c r="AB3" s="27">
        <f>LOYERS!$C14</f>
        <v>271013.45785099943</v>
      </c>
      <c r="AC3" s="27">
        <f>LOYERS!$C14</f>
        <v>271013.45785099943</v>
      </c>
      <c r="AD3" s="27">
        <f>LOYERS!$C14</f>
        <v>271013.45785099943</v>
      </c>
      <c r="AE3" s="27">
        <f>LOYERS!$C14</f>
        <v>271013.45785099943</v>
      </c>
      <c r="AF3" s="27">
        <f>LOYERS!$C14</f>
        <v>271013.45785099943</v>
      </c>
      <c r="AG3" s="27">
        <f>LOYERS!$C14</f>
        <v>271013.45785099943</v>
      </c>
      <c r="AH3" s="27">
        <f>LOYERS!$C14</f>
        <v>271013.45785099943</v>
      </c>
      <c r="AI3" s="27">
        <f>LOYERS!$C14</f>
        <v>271013.45785099943</v>
      </c>
      <c r="AJ3" s="27">
        <f>LOYERS!$C18</f>
        <v>271013.45785099937</v>
      </c>
      <c r="AK3" s="27">
        <f>LOYERS!$C18</f>
        <v>271013.45785099937</v>
      </c>
      <c r="AL3" s="27">
        <f>LOYERS!$C18</f>
        <v>271013.45785099937</v>
      </c>
      <c r="AM3" s="27">
        <f>LOYERS!$C18</f>
        <v>271013.45785099937</v>
      </c>
      <c r="AN3" s="27">
        <f>LOYERS!$C18</f>
        <v>271013.45785099937</v>
      </c>
      <c r="AO3" s="27">
        <f>LOYERS!$C18</f>
        <v>271013.45785099937</v>
      </c>
      <c r="AP3" s="27">
        <f>LOYERS!$C18</f>
        <v>271013.45785099937</v>
      </c>
      <c r="AQ3" s="27">
        <f>LOYERS!$C18</f>
        <v>271013.45785099937</v>
      </c>
      <c r="AR3" s="27">
        <f>LOYERS!$C18</f>
        <v>271013.45785099937</v>
      </c>
      <c r="AS3" s="27">
        <f>LOYERS!$C18</f>
        <v>271013.45785099937</v>
      </c>
      <c r="AT3" s="19" t="s">
        <v>52</v>
      </c>
      <c r="AU3" s="28">
        <f t="shared" ref="AU3:AU9" si="1">SUM(E3:AS3)</f>
        <v>11148835.20152152</v>
      </c>
    </row>
    <row r="4" spans="1:48" s="32" customFormat="1">
      <c r="A4" s="29" t="s">
        <v>53</v>
      </c>
      <c r="B4" s="30"/>
      <c r="C4" s="30"/>
      <c r="D4" s="30"/>
      <c r="E4" s="649">
        <f>[49]LOYERS!$D8</f>
        <v>0</v>
      </c>
      <c r="F4" s="649">
        <f>[49]LOYERS!$D9</f>
        <v>69077.57287130758</v>
      </c>
      <c r="G4" s="649">
        <f>[49]LOYERS!$D10</f>
        <v>71502.195679090539</v>
      </c>
      <c r="H4" s="649">
        <f>[49]LOYERS!$D11</f>
        <v>74011.922747426579</v>
      </c>
      <c r="I4" s="649">
        <f>[49]LOYERS!$D12</f>
        <v>76609.741235861264</v>
      </c>
      <c r="J4" s="649">
        <f>[49]LOYERS!$D13</f>
        <v>79298.743153239979</v>
      </c>
      <c r="K4" s="649">
        <f>[49]LOYERS!$D14</f>
        <v>82082.128973357685</v>
      </c>
      <c r="L4" s="649">
        <f>[49]LOYERS!$D15</f>
        <v>84963.211700322514</v>
      </c>
      <c r="M4" s="31">
        <f>[49]LOYERS!$D16</f>
        <v>87945.420431003848</v>
      </c>
      <c r="N4" s="31">
        <f>[49]LOYERS!$D17</f>
        <v>91032.304688132019</v>
      </c>
      <c r="O4" s="31">
        <f>[49]LOYERS!$D18</f>
        <v>94227.538582685433</v>
      </c>
      <c r="P4" s="31">
        <f>[49]LOYERS!$D19</f>
        <v>97534.925186937675</v>
      </c>
      <c r="Q4" s="31">
        <f>[49]LOYERS!$D20</f>
        <v>100958.40106099914</v>
      </c>
      <c r="R4" s="31">
        <f>[49]LOYERS!$D21</f>
        <v>104502.0409382402</v>
      </c>
      <c r="S4" s="31">
        <f>[49]LOYERS!$D22</f>
        <v>108170.06257517237</v>
      </c>
      <c r="T4" s="31">
        <f>[49]LOYERS!$D23</f>
        <v>111966.83177156089</v>
      </c>
      <c r="U4" s="31">
        <f>[49]LOYERS!$D24</f>
        <v>115896.86756674264</v>
      </c>
      <c r="V4" s="31">
        <f>[49]LOYERS!$D25</f>
        <v>119964.84761833525</v>
      </c>
      <c r="W4" s="31">
        <f>[49]LOYERS!$D26</f>
        <v>124175.61376973873</v>
      </c>
      <c r="X4" s="31">
        <f>[49]LOYERS!$D27</f>
        <v>128534.17781305654</v>
      </c>
      <c r="Y4" s="31">
        <f>[49]LOYERS!$D28</f>
        <v>133045.72745429474</v>
      </c>
      <c r="Z4" s="31">
        <f>[49]LOYERS!$D29</f>
        <v>137715.63248794043</v>
      </c>
      <c r="AA4" s="31">
        <f>[49]LOYERS!$D30</f>
        <v>142549.45118826709</v>
      </c>
      <c r="AB4" s="31">
        <f>[49]LOYERS!$D31</f>
        <v>147552.93692497525</v>
      </c>
      <c r="AC4" s="31">
        <f>[49]LOYERS!$D32</f>
        <v>152732.04501104174</v>
      </c>
      <c r="AD4" s="31">
        <f>[49]LOYERS!$D33</f>
        <v>158092.93979092926</v>
      </c>
      <c r="AE4" s="31">
        <f>[49]LOYERS!$D34</f>
        <v>163642.00197759079</v>
      </c>
      <c r="AF4" s="31">
        <f>[49]LOYERS!$D35</f>
        <v>169385.83624700413</v>
      </c>
      <c r="AG4" s="31">
        <f>[49]LOYERS!$D36</f>
        <v>175331.2790992739</v>
      </c>
      <c r="AH4" s="31">
        <f>LOYERS!$D37</f>
        <v>181485.4069956583</v>
      </c>
      <c r="AI4" s="31">
        <f>LOYERS!$D38</f>
        <v>187855.54478120583</v>
      </c>
      <c r="AJ4" s="31">
        <f>LOYERS!$D39</f>
        <v>194449.27440302604</v>
      </c>
      <c r="AK4" s="31">
        <f>LOYERS!$D40</f>
        <v>201274.44393457207</v>
      </c>
      <c r="AL4" s="31">
        <f>LOYERS!$D41</f>
        <v>208339.17691667535</v>
      </c>
      <c r="AM4" s="31">
        <f>LOYERS!$D42</f>
        <v>215651.88202645048</v>
      </c>
      <c r="AN4" s="31">
        <f>LOYERS!$D43</f>
        <v>223221.26308557863</v>
      </c>
      <c r="AO4" s="31">
        <f>LOYERS!$D44</f>
        <v>231056.32941988207</v>
      </c>
      <c r="AP4" s="31">
        <f>LOYERS!$D45</f>
        <v>239166.40658251962</v>
      </c>
      <c r="AQ4" s="31">
        <f>LOYERS!$D46</f>
        <v>247561.14745356562</v>
      </c>
      <c r="AR4" s="31">
        <f>LOYERS!$D47</f>
        <v>256250.54372918504</v>
      </c>
      <c r="AS4" s="31">
        <f>LOYERS!$D48</f>
        <v>265244.93781407771</v>
      </c>
      <c r="AT4" s="32" t="s">
        <v>52</v>
      </c>
      <c r="AU4" s="28">
        <f t="shared" si="1"/>
        <v>5854058.7556869229</v>
      </c>
    </row>
    <row r="5" spans="1:48" s="32" customFormat="1">
      <c r="A5" s="29" t="s">
        <v>54</v>
      </c>
      <c r="B5" s="30"/>
      <c r="C5" s="30"/>
      <c r="D5" s="30"/>
      <c r="E5" s="31">
        <f>[49]LOYERS!$E8</f>
        <v>290589</v>
      </c>
      <c r="F5" s="31">
        <f>[49]LOYERS!$E9</f>
        <v>205477.46247599999</v>
      </c>
      <c r="G5" s="31">
        <f>[49]LOYERS!$E10</f>
        <v>203052.83966821709</v>
      </c>
      <c r="H5" s="31">
        <f>[49]LOYERS!$E11</f>
        <v>200543.11259988099</v>
      </c>
      <c r="I5" s="31">
        <f>[49]LOYERS!$E12</f>
        <v>197945.2941114463</v>
      </c>
      <c r="J5" s="31">
        <f>[49]LOYERS!$E13</f>
        <v>195256.29219406759</v>
      </c>
      <c r="K5" s="31">
        <f>[49]LOYERS!$E14</f>
        <v>188931.32887764173</v>
      </c>
      <c r="L5" s="31">
        <f>[49]LOYERS!$E15</f>
        <v>186050.24615067686</v>
      </c>
      <c r="M5" s="31">
        <f>[49]LOYERS!$E16</f>
        <v>183068.03741999558</v>
      </c>
      <c r="N5" s="31">
        <f>[49]LOYERS!$E17</f>
        <v>179981.15316286735</v>
      </c>
      <c r="O5" s="31">
        <f>[49]LOYERS!$E18</f>
        <v>176785.91926831397</v>
      </c>
      <c r="P5" s="31">
        <f>[49]LOYERS!$E19</f>
        <v>173478.53266406167</v>
      </c>
      <c r="Q5" s="31">
        <f>[49]LOYERS!$E20</f>
        <v>170055.05679000018</v>
      </c>
      <c r="R5" s="31">
        <f>[49]LOYERS!$E21</f>
        <v>166511.41691275913</v>
      </c>
      <c r="S5" s="31">
        <f>[49]LOYERS!$E22</f>
        <v>162843.39527582689</v>
      </c>
      <c r="T5" s="31">
        <f>[49]LOYERS!$E23</f>
        <v>159046.62607943831</v>
      </c>
      <c r="U5" s="31">
        <f>[49]LOYERS!$E24</f>
        <v>155116.59028425656</v>
      </c>
      <c r="V5" s="31">
        <f>[49]LOYERS!$E25</f>
        <v>151048.61023266386</v>
      </c>
      <c r="W5" s="31">
        <f>[49]LOYERS!$E26</f>
        <v>146837.84408126029</v>
      </c>
      <c r="X5" s="31">
        <f>[49]LOYERS!$E27</f>
        <v>142479.28003794246</v>
      </c>
      <c r="Y5" s="31">
        <f>[49]LOYERS!$E28</f>
        <v>137967.73039670417</v>
      </c>
      <c r="Z5" s="31">
        <f>[49]LOYERS!$E29</f>
        <v>133297.82536305842</v>
      </c>
      <c r="AA5" s="31">
        <f>[49]LOYERS!$E30</f>
        <v>128464.00666273173</v>
      </c>
      <c r="AB5" s="31">
        <f>[49]LOYERS!$E31</f>
        <v>123460.52092602357</v>
      </c>
      <c r="AC5" s="31">
        <f>[49]LOYERS!$E32</f>
        <v>118281.41283995693</v>
      </c>
      <c r="AD5" s="31">
        <f>[49]LOYERS!$E33</f>
        <v>112920.51806006939</v>
      </c>
      <c r="AE5" s="31">
        <f>[49]LOYERS!$E34</f>
        <v>107371.45587340777</v>
      </c>
      <c r="AF5" s="31">
        <f>[49]LOYERS!$E35</f>
        <v>101627.62160399434</v>
      </c>
      <c r="AG5" s="31">
        <f>[49]LOYERS!$E36</f>
        <v>95682.17875172451</v>
      </c>
      <c r="AH5" s="31">
        <f>LOYERS!$E37</f>
        <v>89528.050855340014</v>
      </c>
      <c r="AI5" s="31">
        <f>LOYERS!$E38</f>
        <v>83157.913069792397</v>
      </c>
      <c r="AJ5" s="31">
        <f>LOYERS!$E39</f>
        <v>76564.183447972086</v>
      </c>
      <c r="AK5" s="31">
        <f>LOYERS!$E40</f>
        <v>69739.013916425873</v>
      </c>
      <c r="AL5" s="31">
        <f>LOYERS!$E41</f>
        <v>62674.280934322414</v>
      </c>
      <c r="AM5" s="31">
        <f>LOYERS!$E42</f>
        <v>55361.575824547108</v>
      </c>
      <c r="AN5" s="31">
        <f>LOYERS!$E43</f>
        <v>47792.19476541871</v>
      </c>
      <c r="AO5" s="31">
        <f>LOYERS!$E44</f>
        <v>39957.128431114907</v>
      </c>
      <c r="AP5" s="31">
        <f>LOYERS!$E45</f>
        <v>31847.051268477058</v>
      </c>
      <c r="AQ5" s="31">
        <f>LOYERS!$E46</f>
        <v>23452.310397430636</v>
      </c>
      <c r="AR5" s="31">
        <f>LOYERS!$E47</f>
        <v>14762.914121810505</v>
      </c>
      <c r="AS5" s="31">
        <f>LOYERS!$E48</f>
        <v>5768.5200369161375</v>
      </c>
      <c r="AT5" s="32" t="s">
        <v>52</v>
      </c>
      <c r="AU5" s="28">
        <f t="shared" si="1"/>
        <v>5294776.4458345566</v>
      </c>
    </row>
    <row r="6" spans="1:48">
      <c r="A6" s="33" t="s">
        <v>55</v>
      </c>
      <c r="B6" s="34"/>
      <c r="C6" s="34"/>
      <c r="D6" s="34"/>
      <c r="E6" s="34">
        <f>[49]GER!$AB7</f>
        <v>0</v>
      </c>
      <c r="F6" s="34">
        <f>[49]GER!$AB8</f>
        <v>0</v>
      </c>
      <c r="G6" s="34">
        <f>[49]GER!$AB9</f>
        <v>0</v>
      </c>
      <c r="H6" s="34">
        <f>[49]GER!$AB10</f>
        <v>0</v>
      </c>
      <c r="I6" s="34">
        <f>[49]GER!$AB11</f>
        <v>0</v>
      </c>
      <c r="J6" s="35">
        <f>[49]GER!$AB12</f>
        <v>65925.004425714287</v>
      </c>
      <c r="K6" s="35">
        <f>[49]GER!$AB13</f>
        <v>131850.00885142857</v>
      </c>
      <c r="L6" s="35">
        <f>[49]GER!$AB14</f>
        <v>131850.00885142857</v>
      </c>
      <c r="M6" s="35">
        <f>[49]GER!$AB15</f>
        <v>131850.00885142857</v>
      </c>
      <c r="N6" s="35">
        <f>[49]GER!$AB16</f>
        <v>131850.00885142857</v>
      </c>
      <c r="O6" s="35">
        <f>[49]GER!$AB17</f>
        <v>131850.00885142857</v>
      </c>
      <c r="P6" s="35">
        <f>[49]GER!$AB18</f>
        <v>131850.00885142857</v>
      </c>
      <c r="Q6" s="35">
        <f>[49]GER!$AB19</f>
        <v>131850.00885142857</v>
      </c>
      <c r="R6" s="35">
        <f>[49]GER!$AB20</f>
        <v>131850.00885142857</v>
      </c>
      <c r="S6" s="35">
        <f>[49]GER!$AB21</f>
        <v>131850.00885142857</v>
      </c>
      <c r="T6" s="35">
        <f>[49]GER!$AB21</f>
        <v>131850.00885142857</v>
      </c>
      <c r="U6" s="35">
        <f>[49]GER!$AB23</f>
        <v>131850.00885142857</v>
      </c>
      <c r="V6" s="35">
        <f>[49]GER!$AB24</f>
        <v>131850.00885142857</v>
      </c>
      <c r="W6" s="35">
        <f>[49]GER!$AB25</f>
        <v>131850.00885142857</v>
      </c>
      <c r="X6" s="35">
        <f>[49]GER!$AB26</f>
        <v>131850.00885142857</v>
      </c>
      <c r="Y6" s="35">
        <f>[49]GER!$AB27</f>
        <v>131850.00885142857</v>
      </c>
      <c r="Z6" s="35">
        <f>[49]GER!$AB28</f>
        <v>131850.00885142857</v>
      </c>
      <c r="AA6" s="35">
        <f>[49]GER!$AB29</f>
        <v>131850.00885142857</v>
      </c>
      <c r="AB6" s="35">
        <f>[49]GER!$AB30</f>
        <v>131850.00885142857</v>
      </c>
      <c r="AC6" s="35">
        <f>[49]GER!$AB31</f>
        <v>131850.00885142857</v>
      </c>
      <c r="AD6" s="35">
        <f>[49]GER!$AB32</f>
        <v>131850.00885142857</v>
      </c>
      <c r="AE6" s="35">
        <f>[49]GER!$AB33</f>
        <v>131850.00885142857</v>
      </c>
      <c r="AF6" s="35">
        <f>[49]GER!$AB34</f>
        <v>131850.00885142857</v>
      </c>
      <c r="AG6" s="35">
        <f>[49]GER!$AB35</f>
        <v>131850.00885142857</v>
      </c>
      <c r="AH6" s="35">
        <f>GER!$AB36</f>
        <v>131850.00885142857</v>
      </c>
      <c r="AI6" s="35">
        <f>GER!$AB37</f>
        <v>131850.00885142857</v>
      </c>
      <c r="AJ6" s="35">
        <f>GER!$AB38</f>
        <v>131850.00885142857</v>
      </c>
      <c r="AK6" s="35">
        <f>GER!$AB39</f>
        <v>131850.00885142857</v>
      </c>
      <c r="AL6" s="35">
        <f>GER!$AB40</f>
        <v>131850.00885142857</v>
      </c>
      <c r="AM6" s="35">
        <f>GER!$AB41</f>
        <v>131850.00885142857</v>
      </c>
      <c r="AN6" s="35">
        <f>GER!$AB42</f>
        <v>131850.00885142857</v>
      </c>
      <c r="AO6" s="35">
        <f>GER!$AB43</f>
        <v>131850.00885142857</v>
      </c>
      <c r="AP6" s="35">
        <f>GER!$AB44</f>
        <v>131850.00885142857</v>
      </c>
      <c r="AQ6" s="35">
        <f>GER!$AB45</f>
        <v>131850.00885142857</v>
      </c>
      <c r="AR6" s="35">
        <f>GER!$AB46</f>
        <v>131850.00885142857</v>
      </c>
      <c r="AS6" s="35">
        <f>GER!$AB47</f>
        <v>65925.004425714287</v>
      </c>
      <c r="AT6" s="36" t="s">
        <v>52</v>
      </c>
      <c r="AU6" s="28">
        <f t="shared" si="1"/>
        <v>4614750.309799999</v>
      </c>
    </row>
    <row r="7" spans="1:48">
      <c r="A7" s="33" t="s">
        <v>56</v>
      </c>
      <c r="B7" s="34"/>
      <c r="C7" s="34"/>
      <c r="D7" s="34"/>
      <c r="E7" s="35">
        <f>[49]LOYERS!$G8</f>
        <v>13333.137500000001</v>
      </c>
      <c r="F7" s="35">
        <f>[49]LOYERS!$G9</f>
        <v>26666.275000000001</v>
      </c>
      <c r="G7" s="35">
        <f>[49]LOYERS!$G10</f>
        <v>26666.275000000001</v>
      </c>
      <c r="H7" s="35">
        <f>[49]LOYERS!$G11</f>
        <v>26666.275000000001</v>
      </c>
      <c r="I7" s="35">
        <f>[49]LOYERS!$G12</f>
        <v>26666.275000000001</v>
      </c>
      <c r="J7" s="35">
        <f>[49]LOYERS!$G13</f>
        <v>26666.275000000001</v>
      </c>
      <c r="K7" s="35">
        <f>[49]LOYERS!$G14</f>
        <v>26666.275000000001</v>
      </c>
      <c r="L7" s="35">
        <f>[49]LOYERS!$G15</f>
        <v>26666.275000000001</v>
      </c>
      <c r="M7" s="35">
        <f>[49]LOYERS!$G16</f>
        <v>26666.275000000001</v>
      </c>
      <c r="N7" s="35">
        <f>[49]LOYERS!$G17</f>
        <v>26666.275000000001</v>
      </c>
      <c r="O7" s="35">
        <f>[49]LOYERS!$G18</f>
        <v>26666.275000000001</v>
      </c>
      <c r="P7" s="35">
        <f>[49]LOYERS!$G19</f>
        <v>26666.275000000001</v>
      </c>
      <c r="Q7" s="35">
        <f>[49]LOYERS!$G20</f>
        <v>26666.275000000001</v>
      </c>
      <c r="R7" s="35">
        <f>[49]LOYERS!$G21</f>
        <v>26666.275000000001</v>
      </c>
      <c r="S7" s="35">
        <f>[49]LOYERS!$G22</f>
        <v>26666.275000000001</v>
      </c>
      <c r="T7" s="35">
        <f>[49]LOYERS!$G23</f>
        <v>26666.275000000001</v>
      </c>
      <c r="U7" s="35">
        <f>[49]LOYERS!$G24</f>
        <v>26666.275000000001</v>
      </c>
      <c r="V7" s="35">
        <f>[49]LOYERS!$G25</f>
        <v>26666.275000000001</v>
      </c>
      <c r="W7" s="35">
        <f>[49]LOYERS!$G26</f>
        <v>26666.275000000001</v>
      </c>
      <c r="X7" s="35">
        <f>[49]LOYERS!$G27</f>
        <v>26666.275000000001</v>
      </c>
      <c r="Y7" s="35">
        <f>[49]LOYERS!$G28</f>
        <v>26666.275000000001</v>
      </c>
      <c r="Z7" s="35">
        <f>[49]LOYERS!$G29</f>
        <v>26666.275000000001</v>
      </c>
      <c r="AA7" s="35">
        <f>[49]LOYERS!$G30</f>
        <v>26666.275000000001</v>
      </c>
      <c r="AB7" s="35">
        <f>[49]LOYERS!$G31</f>
        <v>26666.275000000001</v>
      </c>
      <c r="AC7" s="35">
        <f>[49]LOYERS!$G32</f>
        <v>26666.275000000001</v>
      </c>
      <c r="AD7" s="35">
        <v>26666</v>
      </c>
      <c r="AE7" s="35">
        <f>[49]LOYERS!$G34</f>
        <v>26666.275000000001</v>
      </c>
      <c r="AF7" s="35">
        <f>[49]LOYERS!$G35</f>
        <v>26666.275000000001</v>
      </c>
      <c r="AG7" s="35">
        <f>[49]LOYERS!$G36</f>
        <v>26666.275000000001</v>
      </c>
      <c r="AH7" s="35">
        <f>LOYERS!$G37</f>
        <v>26666.275000000001</v>
      </c>
      <c r="AI7" s="35">
        <f>LOYERS!$G38</f>
        <v>26666.275000000001</v>
      </c>
      <c r="AJ7" s="35">
        <f>LOYERS!$G39</f>
        <v>26666.275000000001</v>
      </c>
      <c r="AK7" s="35">
        <f>LOYERS!$G40</f>
        <v>26666.275000000001</v>
      </c>
      <c r="AL7" s="35">
        <f>LOYERS!$G41</f>
        <v>26666.275000000001</v>
      </c>
      <c r="AM7" s="35">
        <f>LOYERS!$G42</f>
        <v>26666.275000000001</v>
      </c>
      <c r="AN7" s="35">
        <f>LOYERS!$G43</f>
        <v>26666.275000000001</v>
      </c>
      <c r="AO7" s="35">
        <f>LOYERS!$G44</f>
        <v>26666.275000000001</v>
      </c>
      <c r="AP7" s="35">
        <f>LOYERS!$G45</f>
        <v>26666.275000000001</v>
      </c>
      <c r="AQ7" s="35">
        <f>LOYERS!$G46</f>
        <v>26666.275000000001</v>
      </c>
      <c r="AR7" s="35">
        <f>LOYERS!$G47</f>
        <v>26666.275000000001</v>
      </c>
      <c r="AS7" s="35">
        <f>LOYERS!$G48</f>
        <v>13333.137500000001</v>
      </c>
      <c r="AT7" s="36" t="s">
        <v>52</v>
      </c>
      <c r="AU7" s="28">
        <f t="shared" si="1"/>
        <v>1066650.7250000006</v>
      </c>
    </row>
    <row r="8" spans="1:48" s="20" customFormat="1">
      <c r="A8" s="37" t="s">
        <v>57</v>
      </c>
      <c r="B8" s="38">
        <f>B3+B6+B7</f>
        <v>0</v>
      </c>
      <c r="C8" s="38">
        <f>C3+C6+C7</f>
        <v>0</v>
      </c>
      <c r="D8" s="38">
        <f>D3+D6+D7</f>
        <v>0</v>
      </c>
      <c r="E8" s="39">
        <f>E3+E6+E7</f>
        <v>303922.13750000001</v>
      </c>
      <c r="F8" s="39">
        <f t="shared" ref="F8:AS8" si="2">F3+F6+F7</f>
        <v>301221.31034730759</v>
      </c>
      <c r="G8" s="39">
        <f t="shared" si="2"/>
        <v>301221.31034730759</v>
      </c>
      <c r="H8" s="39">
        <f t="shared" si="2"/>
        <v>301221.31034730759</v>
      </c>
      <c r="I8" s="39">
        <f t="shared" si="2"/>
        <v>301221.31034730759</v>
      </c>
      <c r="J8" s="39">
        <f t="shared" si="2"/>
        <v>367146.31477302185</v>
      </c>
      <c r="K8" s="39">
        <f t="shared" si="2"/>
        <v>429529.74170242803</v>
      </c>
      <c r="L8" s="39">
        <f t="shared" si="2"/>
        <v>429529.74170242803</v>
      </c>
      <c r="M8" s="39">
        <f t="shared" si="2"/>
        <v>429529.74170242803</v>
      </c>
      <c r="N8" s="39">
        <f t="shared" si="2"/>
        <v>429529.74170242803</v>
      </c>
      <c r="O8" s="39">
        <f t="shared" si="2"/>
        <v>429529.74170242803</v>
      </c>
      <c r="P8" s="39">
        <f t="shared" si="2"/>
        <v>429529.74170242803</v>
      </c>
      <c r="Q8" s="39">
        <f t="shared" si="2"/>
        <v>429529.74170242803</v>
      </c>
      <c r="R8" s="39">
        <f t="shared" si="2"/>
        <v>429529.74170242803</v>
      </c>
      <c r="S8" s="39">
        <f t="shared" si="2"/>
        <v>429529.74170242803</v>
      </c>
      <c r="T8" s="39">
        <f t="shared" si="2"/>
        <v>429529.74170242803</v>
      </c>
      <c r="U8" s="39">
        <f t="shared" si="2"/>
        <v>429529.74170242803</v>
      </c>
      <c r="V8" s="39">
        <f t="shared" si="2"/>
        <v>429529.74170242803</v>
      </c>
      <c r="W8" s="39">
        <f t="shared" si="2"/>
        <v>429529.74170242803</v>
      </c>
      <c r="X8" s="39">
        <f t="shared" si="2"/>
        <v>429529.74170242803</v>
      </c>
      <c r="Y8" s="39">
        <f t="shared" si="2"/>
        <v>429529.74170242803</v>
      </c>
      <c r="Z8" s="39">
        <f t="shared" si="2"/>
        <v>429529.74170242803</v>
      </c>
      <c r="AA8" s="39">
        <f t="shared" si="2"/>
        <v>429529.74170242803</v>
      </c>
      <c r="AB8" s="39">
        <f t="shared" si="2"/>
        <v>429529.74170242803</v>
      </c>
      <c r="AC8" s="39">
        <f t="shared" si="2"/>
        <v>429529.74170242803</v>
      </c>
      <c r="AD8" s="39">
        <f t="shared" si="2"/>
        <v>429529.46670242801</v>
      </c>
      <c r="AE8" s="39">
        <f t="shared" si="2"/>
        <v>429529.74170242803</v>
      </c>
      <c r="AF8" s="39">
        <f t="shared" si="2"/>
        <v>429529.74170242803</v>
      </c>
      <c r="AG8" s="39">
        <f t="shared" si="2"/>
        <v>429529.74170242803</v>
      </c>
      <c r="AH8" s="39">
        <f t="shared" si="2"/>
        <v>429529.74170242803</v>
      </c>
      <c r="AI8" s="39">
        <f t="shared" si="2"/>
        <v>429529.74170242803</v>
      </c>
      <c r="AJ8" s="39">
        <f t="shared" si="2"/>
        <v>429529.74170242797</v>
      </c>
      <c r="AK8" s="39">
        <f t="shared" si="2"/>
        <v>429529.74170242797</v>
      </c>
      <c r="AL8" s="39">
        <f t="shared" si="2"/>
        <v>429529.74170242797</v>
      </c>
      <c r="AM8" s="39">
        <f t="shared" si="2"/>
        <v>429529.74170242797</v>
      </c>
      <c r="AN8" s="39">
        <f t="shared" si="2"/>
        <v>429529.74170242797</v>
      </c>
      <c r="AO8" s="39">
        <f t="shared" si="2"/>
        <v>429529.74170242797</v>
      </c>
      <c r="AP8" s="39">
        <f t="shared" si="2"/>
        <v>429529.74170242797</v>
      </c>
      <c r="AQ8" s="39">
        <f t="shared" si="2"/>
        <v>429529.74170242797</v>
      </c>
      <c r="AR8" s="39">
        <f t="shared" si="2"/>
        <v>429529.74170242797</v>
      </c>
      <c r="AS8" s="39">
        <f t="shared" si="2"/>
        <v>350271.5997767137</v>
      </c>
      <c r="AT8" s="36" t="s">
        <v>52</v>
      </c>
      <c r="AU8" s="40">
        <f t="shared" si="1"/>
        <v>16830236.23632152</v>
      </c>
      <c r="AV8" s="41">
        <f>AU8-[49]LOYERS!H51</f>
        <v>-0.27499996498227119</v>
      </c>
    </row>
    <row r="9" spans="1:48">
      <c r="A9" s="33" t="s">
        <v>58</v>
      </c>
      <c r="B9" s="34"/>
      <c r="C9" s="34"/>
      <c r="D9" s="34"/>
      <c r="E9" s="35">
        <f t="shared" ref="E9:AR9" si="3">(E37+E38)*-1</f>
        <v>0</v>
      </c>
      <c r="F9" s="35">
        <f>(F37+F38)*-1</f>
        <v>13437.00115</v>
      </c>
      <c r="G9" s="35">
        <f>(G37+G38)*-1</f>
        <v>13437.00115</v>
      </c>
      <c r="H9" s="35">
        <f t="shared" si="3"/>
        <v>13437.00115</v>
      </c>
      <c r="I9" s="35">
        <f t="shared" si="3"/>
        <v>13437.00115</v>
      </c>
      <c r="J9" s="35">
        <f t="shared" si="3"/>
        <v>13437.00115</v>
      </c>
      <c r="K9" s="35">
        <f t="shared" si="3"/>
        <v>13437.00115</v>
      </c>
      <c r="L9" s="35">
        <f t="shared" si="3"/>
        <v>13437.00115</v>
      </c>
      <c r="M9" s="35">
        <f>(M37+M38)*-1</f>
        <v>13437.00115</v>
      </c>
      <c r="N9" s="35">
        <f t="shared" si="3"/>
        <v>13437.00115</v>
      </c>
      <c r="O9" s="35">
        <f t="shared" si="3"/>
        <v>13437.00115</v>
      </c>
      <c r="P9" s="35">
        <f t="shared" si="3"/>
        <v>13437.00115</v>
      </c>
      <c r="Q9" s="35">
        <f t="shared" si="3"/>
        <v>13437.00115</v>
      </c>
      <c r="R9" s="35">
        <f t="shared" si="3"/>
        <v>13437.00115</v>
      </c>
      <c r="S9" s="35">
        <f t="shared" si="3"/>
        <v>13437.00115</v>
      </c>
      <c r="T9" s="35">
        <f t="shared" si="3"/>
        <v>13437.00115</v>
      </c>
      <c r="U9" s="35">
        <f t="shared" si="3"/>
        <v>13437.00115</v>
      </c>
      <c r="V9" s="35">
        <f t="shared" si="3"/>
        <v>13437.00115</v>
      </c>
      <c r="W9" s="35">
        <f t="shared" si="3"/>
        <v>13437.00115</v>
      </c>
      <c r="X9" s="35">
        <f t="shared" si="3"/>
        <v>13437.00115</v>
      </c>
      <c r="Y9" s="35">
        <f t="shared" si="3"/>
        <v>13437.00115</v>
      </c>
      <c r="Z9" s="35">
        <f t="shared" si="3"/>
        <v>13437.00115</v>
      </c>
      <c r="AA9" s="35">
        <f t="shared" si="3"/>
        <v>13437.00115</v>
      </c>
      <c r="AB9" s="35">
        <f t="shared" si="3"/>
        <v>13437.00115</v>
      </c>
      <c r="AC9" s="35">
        <f t="shared" si="3"/>
        <v>13437.00115</v>
      </c>
      <c r="AD9" s="35">
        <f t="shared" si="3"/>
        <v>13437.00115</v>
      </c>
      <c r="AE9" s="35">
        <f t="shared" si="3"/>
        <v>13437.00115</v>
      </c>
      <c r="AF9" s="35">
        <f t="shared" si="3"/>
        <v>13437.00115</v>
      </c>
      <c r="AG9" s="35">
        <f t="shared" si="3"/>
        <v>13437.00115</v>
      </c>
      <c r="AH9" s="35">
        <f t="shared" si="3"/>
        <v>13437.00115</v>
      </c>
      <c r="AI9" s="35">
        <f t="shared" si="3"/>
        <v>13437.00115</v>
      </c>
      <c r="AJ9" s="35">
        <f t="shared" si="3"/>
        <v>46436.039850000001</v>
      </c>
      <c r="AK9" s="35">
        <f t="shared" si="3"/>
        <v>46436.039850000001</v>
      </c>
      <c r="AL9" s="35">
        <f t="shared" si="3"/>
        <v>46436.039850000001</v>
      </c>
      <c r="AM9" s="35">
        <f t="shared" si="3"/>
        <v>46436.039850000001</v>
      </c>
      <c r="AN9" s="35">
        <f t="shared" si="3"/>
        <v>46436.039850000001</v>
      </c>
      <c r="AO9" s="35">
        <f t="shared" si="3"/>
        <v>46436.039850000001</v>
      </c>
      <c r="AP9" s="35">
        <f t="shared" si="3"/>
        <v>46436.039850000001</v>
      </c>
      <c r="AQ9" s="35">
        <f t="shared" si="3"/>
        <v>46436.039850000001</v>
      </c>
      <c r="AR9" s="35">
        <f t="shared" si="3"/>
        <v>46436.039850000001</v>
      </c>
      <c r="AS9" s="35">
        <f>(AS37+AS38)*-1</f>
        <v>46436.039850000001</v>
      </c>
      <c r="AT9" s="19" t="s">
        <v>52</v>
      </c>
      <c r="AU9" s="42">
        <f t="shared" si="1"/>
        <v>867470.43300000066</v>
      </c>
    </row>
    <row r="10" spans="1:48">
      <c r="A10" s="33" t="s">
        <v>39</v>
      </c>
      <c r="B10" s="34"/>
      <c r="C10" s="34"/>
      <c r="D10" s="34"/>
      <c r="E10" s="35">
        <f t="shared" ref="E10:AS10" si="4">0.219*E14*1</f>
        <v>887.15805</v>
      </c>
      <c r="F10" s="35">
        <f t="shared" si="4"/>
        <v>887.15805</v>
      </c>
      <c r="G10" s="35">
        <f t="shared" si="4"/>
        <v>887.15805</v>
      </c>
      <c r="H10" s="35">
        <f t="shared" si="4"/>
        <v>887.15805</v>
      </c>
      <c r="I10" s="35">
        <f t="shared" si="4"/>
        <v>887.15805</v>
      </c>
      <c r="J10" s="35">
        <f t="shared" si="4"/>
        <v>887.15805</v>
      </c>
      <c r="K10" s="35">
        <f t="shared" si="4"/>
        <v>887.15805</v>
      </c>
      <c r="L10" s="35">
        <f t="shared" si="4"/>
        <v>887.15805</v>
      </c>
      <c r="M10" s="35">
        <f t="shared" si="4"/>
        <v>887.15805</v>
      </c>
      <c r="N10" s="35">
        <f t="shared" si="4"/>
        <v>887.15805</v>
      </c>
      <c r="O10" s="35">
        <f t="shared" si="4"/>
        <v>887.15805</v>
      </c>
      <c r="P10" s="35">
        <f t="shared" si="4"/>
        <v>887.15805</v>
      </c>
      <c r="Q10" s="35">
        <f t="shared" si="4"/>
        <v>887.15805</v>
      </c>
      <c r="R10" s="35">
        <f t="shared" si="4"/>
        <v>887.15805</v>
      </c>
      <c r="S10" s="35">
        <f t="shared" si="4"/>
        <v>887.15805</v>
      </c>
      <c r="T10" s="35">
        <f t="shared" si="4"/>
        <v>887.15805</v>
      </c>
      <c r="U10" s="35">
        <f t="shared" si="4"/>
        <v>887.15805</v>
      </c>
      <c r="V10" s="35">
        <f t="shared" si="4"/>
        <v>887.15805</v>
      </c>
      <c r="W10" s="35">
        <f t="shared" si="4"/>
        <v>887.15805</v>
      </c>
      <c r="X10" s="35">
        <f t="shared" si="4"/>
        <v>887.15805</v>
      </c>
      <c r="Y10" s="35">
        <f t="shared" si="4"/>
        <v>887.15805</v>
      </c>
      <c r="Z10" s="35">
        <f t="shared" si="4"/>
        <v>887.15805</v>
      </c>
      <c r="AA10" s="35">
        <f t="shared" si="4"/>
        <v>887.15805</v>
      </c>
      <c r="AB10" s="35">
        <f t="shared" si="4"/>
        <v>887.15805</v>
      </c>
      <c r="AC10" s="35">
        <f t="shared" si="4"/>
        <v>887.15805</v>
      </c>
      <c r="AD10" s="35">
        <f t="shared" si="4"/>
        <v>887.15805</v>
      </c>
      <c r="AE10" s="35">
        <f t="shared" si="4"/>
        <v>887.15805</v>
      </c>
      <c r="AF10" s="35">
        <f t="shared" si="4"/>
        <v>887.15805</v>
      </c>
      <c r="AG10" s="35">
        <f t="shared" si="4"/>
        <v>887.15805</v>
      </c>
      <c r="AH10" s="35">
        <f t="shared" si="4"/>
        <v>887.15805</v>
      </c>
      <c r="AI10" s="35">
        <f t="shared" si="4"/>
        <v>887.15805</v>
      </c>
      <c r="AJ10" s="35">
        <f t="shared" si="4"/>
        <v>887.15805</v>
      </c>
      <c r="AK10" s="35">
        <f t="shared" si="4"/>
        <v>887.15805</v>
      </c>
      <c r="AL10" s="35">
        <f t="shared" si="4"/>
        <v>887.15805</v>
      </c>
      <c r="AM10" s="35">
        <f t="shared" si="4"/>
        <v>887.15805</v>
      </c>
      <c r="AN10" s="35">
        <f t="shared" si="4"/>
        <v>887.15805</v>
      </c>
      <c r="AO10" s="35">
        <f t="shared" si="4"/>
        <v>887.15805</v>
      </c>
      <c r="AP10" s="35">
        <f t="shared" si="4"/>
        <v>887.15805</v>
      </c>
      <c r="AQ10" s="35">
        <f t="shared" si="4"/>
        <v>887.15805</v>
      </c>
      <c r="AR10" s="35">
        <f t="shared" si="4"/>
        <v>887.15805</v>
      </c>
      <c r="AS10" s="35">
        <f t="shared" si="4"/>
        <v>887.15805</v>
      </c>
      <c r="AT10" s="19" t="s">
        <v>52</v>
      </c>
      <c r="AU10" s="42">
        <f>SUM(E10:AS10)</f>
        <v>36373.480049999962</v>
      </c>
    </row>
    <row r="11" spans="1:48">
      <c r="A11" s="33" t="s">
        <v>59</v>
      </c>
      <c r="B11" s="34"/>
      <c r="C11" s="34"/>
      <c r="D11" s="34">
        <f>42*1500</f>
        <v>63000</v>
      </c>
      <c r="E11" s="35"/>
      <c r="F11" s="35"/>
      <c r="G11" s="35"/>
      <c r="H11" s="35"/>
      <c r="I11" s="35"/>
      <c r="J11" s="35"/>
      <c r="K11" s="35"/>
      <c r="L11" s="35"/>
      <c r="M11" s="35"/>
      <c r="N11" s="35"/>
      <c r="O11" s="35"/>
      <c r="P11" s="35"/>
      <c r="Q11" s="35"/>
      <c r="R11" s="35"/>
      <c r="S11" s="35"/>
      <c r="T11" s="35"/>
      <c r="U11" s="35"/>
      <c r="V11" s="35"/>
      <c r="W11" s="35"/>
      <c r="X11" s="35"/>
      <c r="Y11" s="35"/>
      <c r="Z11" s="35"/>
      <c r="AA11" s="35"/>
      <c r="AB11" s="35"/>
      <c r="AC11" s="35"/>
      <c r="AD11" s="35"/>
      <c r="AE11" s="35"/>
      <c r="AF11" s="35"/>
      <c r="AG11" s="35"/>
      <c r="AH11" s="35"/>
      <c r="AI11" s="35"/>
      <c r="AJ11" s="35"/>
      <c r="AK11" s="35"/>
      <c r="AL11" s="35"/>
      <c r="AM11" s="35"/>
      <c r="AN11" s="35"/>
      <c r="AO11" s="35"/>
      <c r="AP11" s="35"/>
      <c r="AQ11" s="35"/>
      <c r="AR11" s="35"/>
      <c r="AS11" s="35"/>
      <c r="AT11" s="19" t="s">
        <v>52</v>
      </c>
      <c r="AU11" s="42">
        <f>SUM(D11:AS11)</f>
        <v>63000</v>
      </c>
    </row>
    <row r="12" spans="1:48">
      <c r="A12" s="43" t="s">
        <v>60</v>
      </c>
      <c r="B12" s="44">
        <f>SUM(B9:B11)</f>
        <v>0</v>
      </c>
      <c r="C12" s="44">
        <f>SUM(C9:C11)</f>
        <v>0</v>
      </c>
      <c r="D12" s="44">
        <f>SUM(D9:D11)</f>
        <v>63000</v>
      </c>
      <c r="E12" s="45">
        <f>SUM(E9:E11)</f>
        <v>887.15805</v>
      </c>
      <c r="F12" s="45">
        <f t="shared" ref="F12:AS12" si="5">SUM(F9:F11)</f>
        <v>14324.1592</v>
      </c>
      <c r="G12" s="45">
        <f t="shared" si="5"/>
        <v>14324.1592</v>
      </c>
      <c r="H12" s="45">
        <f t="shared" si="5"/>
        <v>14324.1592</v>
      </c>
      <c r="I12" s="45">
        <f t="shared" si="5"/>
        <v>14324.1592</v>
      </c>
      <c r="J12" s="45">
        <f t="shared" si="5"/>
        <v>14324.1592</v>
      </c>
      <c r="K12" s="45">
        <f t="shared" si="5"/>
        <v>14324.1592</v>
      </c>
      <c r="L12" s="45">
        <f t="shared" si="5"/>
        <v>14324.1592</v>
      </c>
      <c r="M12" s="45">
        <f t="shared" si="5"/>
        <v>14324.1592</v>
      </c>
      <c r="N12" s="45">
        <f t="shared" si="5"/>
        <v>14324.1592</v>
      </c>
      <c r="O12" s="45">
        <f t="shared" si="5"/>
        <v>14324.1592</v>
      </c>
      <c r="P12" s="45">
        <f t="shared" si="5"/>
        <v>14324.1592</v>
      </c>
      <c r="Q12" s="45">
        <f t="shared" si="5"/>
        <v>14324.1592</v>
      </c>
      <c r="R12" s="45">
        <f t="shared" si="5"/>
        <v>14324.1592</v>
      </c>
      <c r="S12" s="45">
        <f t="shared" si="5"/>
        <v>14324.1592</v>
      </c>
      <c r="T12" s="45">
        <f t="shared" si="5"/>
        <v>14324.1592</v>
      </c>
      <c r="U12" s="45">
        <f t="shared" si="5"/>
        <v>14324.1592</v>
      </c>
      <c r="V12" s="45">
        <f t="shared" si="5"/>
        <v>14324.1592</v>
      </c>
      <c r="W12" s="45">
        <f t="shared" si="5"/>
        <v>14324.1592</v>
      </c>
      <c r="X12" s="45">
        <f t="shared" si="5"/>
        <v>14324.1592</v>
      </c>
      <c r="Y12" s="45">
        <f t="shared" si="5"/>
        <v>14324.1592</v>
      </c>
      <c r="Z12" s="45">
        <f t="shared" si="5"/>
        <v>14324.1592</v>
      </c>
      <c r="AA12" s="45">
        <f t="shared" si="5"/>
        <v>14324.1592</v>
      </c>
      <c r="AB12" s="45">
        <f t="shared" si="5"/>
        <v>14324.1592</v>
      </c>
      <c r="AC12" s="45">
        <f t="shared" si="5"/>
        <v>14324.1592</v>
      </c>
      <c r="AD12" s="45">
        <f t="shared" si="5"/>
        <v>14324.1592</v>
      </c>
      <c r="AE12" s="45">
        <f>SUM(AE9:AE11)</f>
        <v>14324.1592</v>
      </c>
      <c r="AF12" s="45">
        <f t="shared" si="5"/>
        <v>14324.1592</v>
      </c>
      <c r="AG12" s="45">
        <f t="shared" si="5"/>
        <v>14324.1592</v>
      </c>
      <c r="AH12" s="45">
        <f t="shared" si="5"/>
        <v>14324.1592</v>
      </c>
      <c r="AI12" s="45">
        <f t="shared" si="5"/>
        <v>14324.1592</v>
      </c>
      <c r="AJ12" s="45">
        <f t="shared" si="5"/>
        <v>47323.197899999999</v>
      </c>
      <c r="AK12" s="45">
        <f t="shared" si="5"/>
        <v>47323.197899999999</v>
      </c>
      <c r="AL12" s="45">
        <f t="shared" si="5"/>
        <v>47323.197899999999</v>
      </c>
      <c r="AM12" s="45">
        <f t="shared" si="5"/>
        <v>47323.197899999999</v>
      </c>
      <c r="AN12" s="45">
        <f t="shared" si="5"/>
        <v>47323.197899999999</v>
      </c>
      <c r="AO12" s="45">
        <f t="shared" si="5"/>
        <v>47323.197899999999</v>
      </c>
      <c r="AP12" s="45">
        <f t="shared" si="5"/>
        <v>47323.197899999999</v>
      </c>
      <c r="AQ12" s="45">
        <f t="shared" si="5"/>
        <v>47323.197899999999</v>
      </c>
      <c r="AR12" s="45">
        <f t="shared" si="5"/>
        <v>47323.197899999999</v>
      </c>
      <c r="AS12" s="45">
        <f t="shared" si="5"/>
        <v>47323.197899999999</v>
      </c>
      <c r="AT12" s="36" t="s">
        <v>52</v>
      </c>
      <c r="AU12" s="42">
        <f>SUM(E12:AS12)</f>
        <v>903843.91305000009</v>
      </c>
    </row>
    <row r="13" spans="1:48">
      <c r="A13" s="46" t="s">
        <v>61</v>
      </c>
      <c r="B13" s="47">
        <f t="shared" ref="B13:AR13" si="6">B12+B8</f>
        <v>0</v>
      </c>
      <c r="C13" s="47">
        <f t="shared" si="6"/>
        <v>0</v>
      </c>
      <c r="D13" s="47">
        <f t="shared" si="6"/>
        <v>63000</v>
      </c>
      <c r="E13" s="47">
        <f>E12+E8</f>
        <v>304809.29555000004</v>
      </c>
      <c r="F13" s="47">
        <f t="shared" si="6"/>
        <v>315545.46954730758</v>
      </c>
      <c r="G13" s="47">
        <f t="shared" si="6"/>
        <v>315545.46954730758</v>
      </c>
      <c r="H13" s="47">
        <f t="shared" si="6"/>
        <v>315545.46954730758</v>
      </c>
      <c r="I13" s="47">
        <f t="shared" si="6"/>
        <v>315545.46954730758</v>
      </c>
      <c r="J13" s="47">
        <f t="shared" si="6"/>
        <v>381470.47397302184</v>
      </c>
      <c r="K13" s="47">
        <f t="shared" si="6"/>
        <v>443853.90090242802</v>
      </c>
      <c r="L13" s="47">
        <f t="shared" si="6"/>
        <v>443853.90090242802</v>
      </c>
      <c r="M13" s="47">
        <f t="shared" si="6"/>
        <v>443853.90090242802</v>
      </c>
      <c r="N13" s="47">
        <f t="shared" si="6"/>
        <v>443853.90090242802</v>
      </c>
      <c r="O13" s="47">
        <f t="shared" si="6"/>
        <v>443853.90090242802</v>
      </c>
      <c r="P13" s="47">
        <f t="shared" si="6"/>
        <v>443853.90090242802</v>
      </c>
      <c r="Q13" s="47">
        <f t="shared" si="6"/>
        <v>443853.90090242802</v>
      </c>
      <c r="R13" s="47">
        <f t="shared" si="6"/>
        <v>443853.90090242802</v>
      </c>
      <c r="S13" s="47">
        <f t="shared" si="6"/>
        <v>443853.90090242802</v>
      </c>
      <c r="T13" s="47">
        <f t="shared" si="6"/>
        <v>443853.90090242802</v>
      </c>
      <c r="U13" s="47">
        <f t="shared" si="6"/>
        <v>443853.90090242802</v>
      </c>
      <c r="V13" s="47">
        <f t="shared" si="6"/>
        <v>443853.90090242802</v>
      </c>
      <c r="W13" s="47">
        <f t="shared" si="6"/>
        <v>443853.90090242802</v>
      </c>
      <c r="X13" s="47">
        <f t="shared" si="6"/>
        <v>443853.90090242802</v>
      </c>
      <c r="Y13" s="47">
        <f t="shared" si="6"/>
        <v>443853.90090242802</v>
      </c>
      <c r="Z13" s="47">
        <f t="shared" si="6"/>
        <v>443853.90090242802</v>
      </c>
      <c r="AA13" s="47">
        <f t="shared" si="6"/>
        <v>443853.90090242802</v>
      </c>
      <c r="AB13" s="47">
        <f t="shared" si="6"/>
        <v>443853.90090242802</v>
      </c>
      <c r="AC13" s="47">
        <f t="shared" si="6"/>
        <v>443853.90090242802</v>
      </c>
      <c r="AD13" s="47">
        <f t="shared" si="6"/>
        <v>443853.625902428</v>
      </c>
      <c r="AE13" s="47">
        <f t="shared" si="6"/>
        <v>443853.90090242802</v>
      </c>
      <c r="AF13" s="47">
        <f t="shared" si="6"/>
        <v>443853.90090242802</v>
      </c>
      <c r="AG13" s="47">
        <f t="shared" si="6"/>
        <v>443853.90090242802</v>
      </c>
      <c r="AH13" s="47">
        <f t="shared" si="6"/>
        <v>443853.90090242802</v>
      </c>
      <c r="AI13" s="47">
        <f t="shared" si="6"/>
        <v>443853.90090242802</v>
      </c>
      <c r="AJ13" s="47">
        <f t="shared" si="6"/>
        <v>476852.939602428</v>
      </c>
      <c r="AK13" s="47">
        <f t="shared" si="6"/>
        <v>476852.939602428</v>
      </c>
      <c r="AL13" s="47">
        <f t="shared" si="6"/>
        <v>476852.939602428</v>
      </c>
      <c r="AM13" s="47">
        <f t="shared" si="6"/>
        <v>476852.939602428</v>
      </c>
      <c r="AN13" s="47">
        <f t="shared" si="6"/>
        <v>476852.939602428</v>
      </c>
      <c r="AO13" s="47">
        <f t="shared" si="6"/>
        <v>476852.939602428</v>
      </c>
      <c r="AP13" s="47">
        <f>AP12+AP8</f>
        <v>476852.939602428</v>
      </c>
      <c r="AQ13" s="47">
        <f t="shared" si="6"/>
        <v>476852.939602428</v>
      </c>
      <c r="AR13" s="47">
        <f t="shared" si="6"/>
        <v>476852.939602428</v>
      </c>
      <c r="AS13" s="47">
        <f>AS12+AS8</f>
        <v>397594.79767671367</v>
      </c>
      <c r="AT13" s="36"/>
      <c r="AU13" s="48">
        <f>SUM(D13:AS13)</f>
        <v>17797080.149371505</v>
      </c>
      <c r="AV13" s="19">
        <f>AU13/40/12/200</f>
        <v>185.38625155595318</v>
      </c>
    </row>
    <row r="14" spans="1:48" s="32" customFormat="1">
      <c r="A14" s="49" t="s">
        <v>62</v>
      </c>
      <c r="B14" s="50"/>
      <c r="C14" s="51"/>
      <c r="D14" s="51"/>
      <c r="E14" s="52">
        <v>4050.95</v>
      </c>
      <c r="F14" s="52">
        <f>E14</f>
        <v>4050.95</v>
      </c>
      <c r="G14" s="52">
        <f t="shared" ref="G14:AS14" si="7">F14</f>
        <v>4050.95</v>
      </c>
      <c r="H14" s="52">
        <f t="shared" si="7"/>
        <v>4050.95</v>
      </c>
      <c r="I14" s="52">
        <f t="shared" si="7"/>
        <v>4050.95</v>
      </c>
      <c r="J14" s="52">
        <f t="shared" si="7"/>
        <v>4050.95</v>
      </c>
      <c r="K14" s="52">
        <f t="shared" si="7"/>
        <v>4050.95</v>
      </c>
      <c r="L14" s="52">
        <f t="shared" si="7"/>
        <v>4050.95</v>
      </c>
      <c r="M14" s="52">
        <f t="shared" si="7"/>
        <v>4050.95</v>
      </c>
      <c r="N14" s="52">
        <f t="shared" si="7"/>
        <v>4050.95</v>
      </c>
      <c r="O14" s="52">
        <f t="shared" si="7"/>
        <v>4050.95</v>
      </c>
      <c r="P14" s="52">
        <f t="shared" si="7"/>
        <v>4050.95</v>
      </c>
      <c r="Q14" s="52">
        <f t="shared" si="7"/>
        <v>4050.95</v>
      </c>
      <c r="R14" s="52">
        <f t="shared" si="7"/>
        <v>4050.95</v>
      </c>
      <c r="S14" s="52">
        <f t="shared" si="7"/>
        <v>4050.95</v>
      </c>
      <c r="T14" s="52">
        <f t="shared" si="7"/>
        <v>4050.95</v>
      </c>
      <c r="U14" s="52">
        <f t="shared" si="7"/>
        <v>4050.95</v>
      </c>
      <c r="V14" s="52">
        <f t="shared" si="7"/>
        <v>4050.95</v>
      </c>
      <c r="W14" s="52">
        <f t="shared" si="7"/>
        <v>4050.95</v>
      </c>
      <c r="X14" s="52">
        <f t="shared" si="7"/>
        <v>4050.95</v>
      </c>
      <c r="Y14" s="52">
        <f t="shared" si="7"/>
        <v>4050.95</v>
      </c>
      <c r="Z14" s="52">
        <f t="shared" si="7"/>
        <v>4050.95</v>
      </c>
      <c r="AA14" s="52">
        <f t="shared" si="7"/>
        <v>4050.95</v>
      </c>
      <c r="AB14" s="52">
        <f t="shared" si="7"/>
        <v>4050.95</v>
      </c>
      <c r="AC14" s="52">
        <f t="shared" si="7"/>
        <v>4050.95</v>
      </c>
      <c r="AD14" s="52">
        <f t="shared" si="7"/>
        <v>4050.95</v>
      </c>
      <c r="AE14" s="52">
        <f t="shared" si="7"/>
        <v>4050.95</v>
      </c>
      <c r="AF14" s="52">
        <f t="shared" si="7"/>
        <v>4050.95</v>
      </c>
      <c r="AG14" s="52">
        <f t="shared" si="7"/>
        <v>4050.95</v>
      </c>
      <c r="AH14" s="52">
        <f t="shared" si="7"/>
        <v>4050.95</v>
      </c>
      <c r="AI14" s="52">
        <f t="shared" si="7"/>
        <v>4050.95</v>
      </c>
      <c r="AJ14" s="52">
        <f t="shared" si="7"/>
        <v>4050.95</v>
      </c>
      <c r="AK14" s="52">
        <f t="shared" si="7"/>
        <v>4050.95</v>
      </c>
      <c r="AL14" s="52">
        <f t="shared" si="7"/>
        <v>4050.95</v>
      </c>
      <c r="AM14" s="52">
        <f t="shared" si="7"/>
        <v>4050.95</v>
      </c>
      <c r="AN14" s="52">
        <f t="shared" si="7"/>
        <v>4050.95</v>
      </c>
      <c r="AO14" s="52">
        <f t="shared" si="7"/>
        <v>4050.95</v>
      </c>
      <c r="AP14" s="52">
        <f t="shared" si="7"/>
        <v>4050.95</v>
      </c>
      <c r="AQ14" s="52">
        <f t="shared" si="7"/>
        <v>4050.95</v>
      </c>
      <c r="AR14" s="52">
        <f t="shared" si="7"/>
        <v>4050.95</v>
      </c>
      <c r="AS14" s="52">
        <f t="shared" si="7"/>
        <v>4050.95</v>
      </c>
      <c r="AT14" s="32" t="s">
        <v>52</v>
      </c>
      <c r="AV14" s="32">
        <f>AV13+100*200/AS14</f>
        <v>190.32336507253572</v>
      </c>
    </row>
    <row r="15" spans="1:48" s="32" customFormat="1">
      <c r="A15" s="49" t="s">
        <v>63</v>
      </c>
      <c r="B15" s="30"/>
      <c r="C15" s="30"/>
      <c r="D15" s="30"/>
      <c r="E15" s="31">
        <f>E14/201</f>
        <v>20.153980099502487</v>
      </c>
      <c r="F15" s="31">
        <f t="shared" ref="F15:AS15" si="8">F14/201</f>
        <v>20.153980099502487</v>
      </c>
      <c r="G15" s="31">
        <f t="shared" si="8"/>
        <v>20.153980099502487</v>
      </c>
      <c r="H15" s="31">
        <f t="shared" si="8"/>
        <v>20.153980099502487</v>
      </c>
      <c r="I15" s="31">
        <f t="shared" si="8"/>
        <v>20.153980099502487</v>
      </c>
      <c r="J15" s="31">
        <f t="shared" si="8"/>
        <v>20.153980099502487</v>
      </c>
      <c r="K15" s="31">
        <f t="shared" si="8"/>
        <v>20.153980099502487</v>
      </c>
      <c r="L15" s="31">
        <f t="shared" si="8"/>
        <v>20.153980099502487</v>
      </c>
      <c r="M15" s="31">
        <f t="shared" si="8"/>
        <v>20.153980099502487</v>
      </c>
      <c r="N15" s="31">
        <f t="shared" si="8"/>
        <v>20.153980099502487</v>
      </c>
      <c r="O15" s="31">
        <f t="shared" si="8"/>
        <v>20.153980099502487</v>
      </c>
      <c r="P15" s="31">
        <f t="shared" si="8"/>
        <v>20.153980099502487</v>
      </c>
      <c r="Q15" s="31">
        <f t="shared" si="8"/>
        <v>20.153980099502487</v>
      </c>
      <c r="R15" s="31">
        <f t="shared" si="8"/>
        <v>20.153980099502487</v>
      </c>
      <c r="S15" s="31">
        <f t="shared" si="8"/>
        <v>20.153980099502487</v>
      </c>
      <c r="T15" s="31">
        <f t="shared" si="8"/>
        <v>20.153980099502487</v>
      </c>
      <c r="U15" s="31">
        <f t="shared" si="8"/>
        <v>20.153980099502487</v>
      </c>
      <c r="V15" s="31">
        <f t="shared" si="8"/>
        <v>20.153980099502487</v>
      </c>
      <c r="W15" s="31">
        <f t="shared" si="8"/>
        <v>20.153980099502487</v>
      </c>
      <c r="X15" s="31">
        <f t="shared" si="8"/>
        <v>20.153980099502487</v>
      </c>
      <c r="Y15" s="31">
        <f t="shared" si="8"/>
        <v>20.153980099502487</v>
      </c>
      <c r="Z15" s="31">
        <f t="shared" si="8"/>
        <v>20.153980099502487</v>
      </c>
      <c r="AA15" s="31">
        <f t="shared" si="8"/>
        <v>20.153980099502487</v>
      </c>
      <c r="AB15" s="31">
        <f t="shared" si="8"/>
        <v>20.153980099502487</v>
      </c>
      <c r="AC15" s="31">
        <f t="shared" si="8"/>
        <v>20.153980099502487</v>
      </c>
      <c r="AD15" s="31">
        <f t="shared" si="8"/>
        <v>20.153980099502487</v>
      </c>
      <c r="AE15" s="31">
        <f t="shared" si="8"/>
        <v>20.153980099502487</v>
      </c>
      <c r="AF15" s="31">
        <f t="shared" si="8"/>
        <v>20.153980099502487</v>
      </c>
      <c r="AG15" s="31">
        <f t="shared" si="8"/>
        <v>20.153980099502487</v>
      </c>
      <c r="AH15" s="31">
        <f t="shared" si="8"/>
        <v>20.153980099502487</v>
      </c>
      <c r="AI15" s="31">
        <f t="shared" si="8"/>
        <v>20.153980099502487</v>
      </c>
      <c r="AJ15" s="31">
        <f t="shared" si="8"/>
        <v>20.153980099502487</v>
      </c>
      <c r="AK15" s="31">
        <f t="shared" si="8"/>
        <v>20.153980099502487</v>
      </c>
      <c r="AL15" s="31">
        <f t="shared" si="8"/>
        <v>20.153980099502487</v>
      </c>
      <c r="AM15" s="31">
        <f t="shared" si="8"/>
        <v>20.153980099502487</v>
      </c>
      <c r="AN15" s="31">
        <f t="shared" si="8"/>
        <v>20.153980099502487</v>
      </c>
      <c r="AO15" s="31">
        <f t="shared" si="8"/>
        <v>20.153980099502487</v>
      </c>
      <c r="AP15" s="31">
        <f t="shared" si="8"/>
        <v>20.153980099502487</v>
      </c>
      <c r="AQ15" s="31">
        <f t="shared" si="8"/>
        <v>20.153980099502487</v>
      </c>
      <c r="AR15" s="31">
        <f t="shared" si="8"/>
        <v>20.153980099502487</v>
      </c>
      <c r="AS15" s="31">
        <f t="shared" si="8"/>
        <v>20.153980099502487</v>
      </c>
      <c r="AV15" s="32">
        <f>14.1*AS15</f>
        <v>284.17111940298508</v>
      </c>
    </row>
    <row r="16" spans="1:48" s="32" customFormat="1">
      <c r="A16" s="29" t="s">
        <v>64</v>
      </c>
      <c r="B16" s="30"/>
      <c r="C16" s="30"/>
      <c r="D16" s="30"/>
      <c r="E16" s="31">
        <f>E13/E14</f>
        <v>75.243904651995223</v>
      </c>
      <c r="F16" s="31">
        <f>F13/F14</f>
        <v>77.894190139919672</v>
      </c>
      <c r="G16" s="31">
        <f t="shared" ref="G16:AR16" si="9">G13/G14</f>
        <v>77.894190139919672</v>
      </c>
      <c r="H16" s="31">
        <f t="shared" si="9"/>
        <v>77.894190139919672</v>
      </c>
      <c r="I16" s="31">
        <f t="shared" si="9"/>
        <v>77.894190139919672</v>
      </c>
      <c r="J16" s="31">
        <f t="shared" si="9"/>
        <v>94.168151661467519</v>
      </c>
      <c r="K16" s="31">
        <f t="shared" si="9"/>
        <v>109.56785467666302</v>
      </c>
      <c r="L16" s="31">
        <f t="shared" si="9"/>
        <v>109.56785467666302</v>
      </c>
      <c r="M16" s="31">
        <f t="shared" si="9"/>
        <v>109.56785467666302</v>
      </c>
      <c r="N16" s="31">
        <f t="shared" si="9"/>
        <v>109.56785467666302</v>
      </c>
      <c r="O16" s="31">
        <f t="shared" si="9"/>
        <v>109.56785467666302</v>
      </c>
      <c r="P16" s="31">
        <f t="shared" si="9"/>
        <v>109.56785467666302</v>
      </c>
      <c r="Q16" s="31">
        <f>Q13/Q14</f>
        <v>109.56785467666302</v>
      </c>
      <c r="R16" s="31">
        <f t="shared" si="9"/>
        <v>109.56785467666302</v>
      </c>
      <c r="S16" s="31">
        <f t="shared" si="9"/>
        <v>109.56785467666302</v>
      </c>
      <c r="T16" s="31">
        <f t="shared" si="9"/>
        <v>109.56785467666302</v>
      </c>
      <c r="U16" s="31">
        <f t="shared" si="9"/>
        <v>109.56785467666302</v>
      </c>
      <c r="V16" s="31">
        <f t="shared" si="9"/>
        <v>109.56785467666302</v>
      </c>
      <c r="W16" s="31">
        <f t="shared" si="9"/>
        <v>109.56785467666302</v>
      </c>
      <c r="X16" s="31">
        <f t="shared" si="9"/>
        <v>109.56785467666302</v>
      </c>
      <c r="Y16" s="31">
        <f t="shared" si="9"/>
        <v>109.56785467666302</v>
      </c>
      <c r="Z16" s="31">
        <f t="shared" si="9"/>
        <v>109.56785467666302</v>
      </c>
      <c r="AA16" s="31">
        <f t="shared" si="9"/>
        <v>109.56785467666302</v>
      </c>
      <c r="AB16" s="31">
        <f t="shared" si="9"/>
        <v>109.56785467666302</v>
      </c>
      <c r="AC16" s="31">
        <f t="shared" si="9"/>
        <v>109.56785467666302</v>
      </c>
      <c r="AD16" s="31">
        <f t="shared" si="9"/>
        <v>109.56778679135216</v>
      </c>
      <c r="AE16" s="31">
        <f t="shared" si="9"/>
        <v>109.56785467666302</v>
      </c>
      <c r="AF16" s="31">
        <f t="shared" si="9"/>
        <v>109.56785467666302</v>
      </c>
      <c r="AG16" s="31">
        <f t="shared" si="9"/>
        <v>109.56785467666302</v>
      </c>
      <c r="AH16" s="31">
        <f t="shared" si="9"/>
        <v>109.56785467666302</v>
      </c>
      <c r="AI16" s="31">
        <f t="shared" si="9"/>
        <v>109.56785467666302</v>
      </c>
      <c r="AJ16" s="31">
        <f t="shared" si="9"/>
        <v>117.713854676663</v>
      </c>
      <c r="AK16" s="31">
        <f t="shared" si="9"/>
        <v>117.713854676663</v>
      </c>
      <c r="AL16" s="31">
        <f t="shared" si="9"/>
        <v>117.713854676663</v>
      </c>
      <c r="AM16" s="31">
        <f>AM13/AM14</f>
        <v>117.713854676663</v>
      </c>
      <c r="AN16" s="31">
        <f t="shared" si="9"/>
        <v>117.713854676663</v>
      </c>
      <c r="AO16" s="31">
        <f t="shared" si="9"/>
        <v>117.713854676663</v>
      </c>
      <c r="AP16" s="31">
        <f t="shared" si="9"/>
        <v>117.713854676663</v>
      </c>
      <c r="AQ16" s="31">
        <f t="shared" si="9"/>
        <v>117.713854676663</v>
      </c>
      <c r="AR16" s="31">
        <f t="shared" si="9"/>
        <v>117.713854676663</v>
      </c>
      <c r="AS16" s="53">
        <f>AS13/AS14*2</f>
        <v>196.29706497325995</v>
      </c>
      <c r="AU16" s="28"/>
      <c r="AV16" s="32">
        <f>AU13/40</f>
        <v>444927.00373428763</v>
      </c>
    </row>
    <row r="17" spans="1:48" s="32" customFormat="1">
      <c r="A17" s="54" t="s">
        <v>65</v>
      </c>
      <c r="B17" s="55"/>
      <c r="C17" s="55"/>
      <c r="D17" s="55"/>
      <c r="E17" s="56">
        <f>E16/12</f>
        <v>6.2703253876662686</v>
      </c>
      <c r="F17" s="56">
        <f t="shared" ref="F17:AS17" si="10">F16/12</f>
        <v>6.4911825116599724</v>
      </c>
      <c r="G17" s="56">
        <f t="shared" si="10"/>
        <v>6.4911825116599724</v>
      </c>
      <c r="H17" s="56">
        <f t="shared" si="10"/>
        <v>6.4911825116599724</v>
      </c>
      <c r="I17" s="56">
        <f t="shared" si="10"/>
        <v>6.4911825116599724</v>
      </c>
      <c r="J17" s="56">
        <f t="shared" si="10"/>
        <v>7.8473459717889602</v>
      </c>
      <c r="K17" s="56">
        <f t="shared" si="10"/>
        <v>9.1306545563885848</v>
      </c>
      <c r="L17" s="56">
        <f t="shared" si="10"/>
        <v>9.1306545563885848</v>
      </c>
      <c r="M17" s="56">
        <f t="shared" si="10"/>
        <v>9.1306545563885848</v>
      </c>
      <c r="N17" s="56">
        <f t="shared" si="10"/>
        <v>9.1306545563885848</v>
      </c>
      <c r="O17" s="56">
        <f t="shared" si="10"/>
        <v>9.1306545563885848</v>
      </c>
      <c r="P17" s="56">
        <f t="shared" si="10"/>
        <v>9.1306545563885848</v>
      </c>
      <c r="Q17" s="56">
        <f t="shared" si="10"/>
        <v>9.1306545563885848</v>
      </c>
      <c r="R17" s="56">
        <f t="shared" si="10"/>
        <v>9.1306545563885848</v>
      </c>
      <c r="S17" s="56">
        <f t="shared" si="10"/>
        <v>9.1306545563885848</v>
      </c>
      <c r="T17" s="56">
        <f t="shared" si="10"/>
        <v>9.1306545563885848</v>
      </c>
      <c r="U17" s="56">
        <f t="shared" si="10"/>
        <v>9.1306545563885848</v>
      </c>
      <c r="V17" s="56">
        <f t="shared" si="10"/>
        <v>9.1306545563885848</v>
      </c>
      <c r="W17" s="56">
        <f t="shared" si="10"/>
        <v>9.1306545563885848</v>
      </c>
      <c r="X17" s="56">
        <f t="shared" si="10"/>
        <v>9.1306545563885848</v>
      </c>
      <c r="Y17" s="56">
        <f t="shared" si="10"/>
        <v>9.1306545563885848</v>
      </c>
      <c r="Z17" s="56">
        <f t="shared" si="10"/>
        <v>9.1306545563885848</v>
      </c>
      <c r="AA17" s="56">
        <f t="shared" si="10"/>
        <v>9.1306545563885848</v>
      </c>
      <c r="AB17" s="56">
        <f t="shared" si="10"/>
        <v>9.1306545563885848</v>
      </c>
      <c r="AC17" s="56">
        <f t="shared" si="10"/>
        <v>9.1306545563885848</v>
      </c>
      <c r="AD17" s="56">
        <f t="shared" si="10"/>
        <v>9.1306488992793469</v>
      </c>
      <c r="AE17" s="56">
        <f t="shared" si="10"/>
        <v>9.1306545563885848</v>
      </c>
      <c r="AF17" s="56">
        <f t="shared" si="10"/>
        <v>9.1306545563885848</v>
      </c>
      <c r="AG17" s="56">
        <f t="shared" si="10"/>
        <v>9.1306545563885848</v>
      </c>
      <c r="AH17" s="56">
        <f t="shared" si="10"/>
        <v>9.1306545563885848</v>
      </c>
      <c r="AI17" s="56">
        <f t="shared" si="10"/>
        <v>9.1306545563885848</v>
      </c>
      <c r="AJ17" s="56">
        <f t="shared" si="10"/>
        <v>9.8094878897219164</v>
      </c>
      <c r="AK17" s="56">
        <f t="shared" si="10"/>
        <v>9.8094878897219164</v>
      </c>
      <c r="AL17" s="56">
        <f t="shared" si="10"/>
        <v>9.8094878897219164</v>
      </c>
      <c r="AM17" s="56">
        <f t="shared" si="10"/>
        <v>9.8094878897219164</v>
      </c>
      <c r="AN17" s="56">
        <f t="shared" si="10"/>
        <v>9.8094878897219164</v>
      </c>
      <c r="AO17" s="56">
        <f t="shared" si="10"/>
        <v>9.8094878897219164</v>
      </c>
      <c r="AP17" s="56">
        <f t="shared" si="10"/>
        <v>9.8094878897219164</v>
      </c>
      <c r="AQ17" s="56">
        <f t="shared" si="10"/>
        <v>9.8094878897219164</v>
      </c>
      <c r="AR17" s="56">
        <f t="shared" si="10"/>
        <v>9.8094878897219164</v>
      </c>
      <c r="AS17" s="57">
        <f t="shared" si="10"/>
        <v>16.358088747771664</v>
      </c>
      <c r="AV17" s="32">
        <f>AV16/AS14/12</f>
        <v>9.1527296834546554</v>
      </c>
    </row>
    <row r="18" spans="1:48" s="32" customFormat="1">
      <c r="A18" s="58" t="s">
        <v>66</v>
      </c>
      <c r="B18" s="59"/>
      <c r="C18" s="59"/>
      <c r="D18" s="59"/>
      <c r="E18" s="60">
        <f>E13/200/6</f>
        <v>254.00774629166668</v>
      </c>
      <c r="F18" s="60">
        <f>F13/200/12</f>
        <v>131.47727897804484</v>
      </c>
      <c r="G18" s="60">
        <f>G13/200/12</f>
        <v>131.47727897804484</v>
      </c>
      <c r="H18" s="60">
        <f>H13/200/12</f>
        <v>131.47727897804484</v>
      </c>
      <c r="I18" s="60">
        <f>I13/200/12</f>
        <v>131.47727897804484</v>
      </c>
      <c r="J18" s="60">
        <f t="shared" ref="J18:AR18" si="11">J13/200/12</f>
        <v>158.94603082209244</v>
      </c>
      <c r="K18" s="60">
        <f t="shared" si="11"/>
        <v>184.93912537601167</v>
      </c>
      <c r="L18" s="60">
        <f t="shared" si="11"/>
        <v>184.93912537601167</v>
      </c>
      <c r="M18" s="60">
        <f t="shared" si="11"/>
        <v>184.93912537601167</v>
      </c>
      <c r="N18" s="60">
        <f t="shared" si="11"/>
        <v>184.93912537601167</v>
      </c>
      <c r="O18" s="60">
        <f t="shared" si="11"/>
        <v>184.93912537601167</v>
      </c>
      <c r="P18" s="60">
        <f t="shared" si="11"/>
        <v>184.93912537601167</v>
      </c>
      <c r="Q18" s="60">
        <f t="shared" si="11"/>
        <v>184.93912537601167</v>
      </c>
      <c r="R18" s="60">
        <f t="shared" si="11"/>
        <v>184.93912537601167</v>
      </c>
      <c r="S18" s="60">
        <f t="shared" si="11"/>
        <v>184.93912537601167</v>
      </c>
      <c r="T18" s="60">
        <f t="shared" si="11"/>
        <v>184.93912537601167</v>
      </c>
      <c r="U18" s="60">
        <f t="shared" si="11"/>
        <v>184.93912537601167</v>
      </c>
      <c r="V18" s="60">
        <f t="shared" si="11"/>
        <v>184.93912537601167</v>
      </c>
      <c r="W18" s="60">
        <f t="shared" si="11"/>
        <v>184.93912537601167</v>
      </c>
      <c r="X18" s="60">
        <f t="shared" si="11"/>
        <v>184.93912537601167</v>
      </c>
      <c r="Y18" s="60">
        <f t="shared" si="11"/>
        <v>184.93912537601167</v>
      </c>
      <c r="Z18" s="60">
        <f t="shared" si="11"/>
        <v>184.93912537601167</v>
      </c>
      <c r="AA18" s="60">
        <f t="shared" si="11"/>
        <v>184.93912537601167</v>
      </c>
      <c r="AB18" s="60">
        <f t="shared" si="11"/>
        <v>184.93912537601167</v>
      </c>
      <c r="AC18" s="60">
        <f t="shared" si="11"/>
        <v>184.93912537601167</v>
      </c>
      <c r="AD18" s="60">
        <f t="shared" si="11"/>
        <v>184.93901079267835</v>
      </c>
      <c r="AE18" s="60">
        <f t="shared" si="11"/>
        <v>184.93912537601167</v>
      </c>
      <c r="AF18" s="60">
        <f t="shared" si="11"/>
        <v>184.93912537601167</v>
      </c>
      <c r="AG18" s="60">
        <f t="shared" si="11"/>
        <v>184.93912537601167</v>
      </c>
      <c r="AH18" s="60">
        <f t="shared" si="11"/>
        <v>184.93912537601167</v>
      </c>
      <c r="AI18" s="60">
        <f t="shared" si="11"/>
        <v>184.93912537601167</v>
      </c>
      <c r="AJ18" s="60">
        <f t="shared" si="11"/>
        <v>198.68872483434498</v>
      </c>
      <c r="AK18" s="60">
        <f t="shared" si="11"/>
        <v>198.68872483434498</v>
      </c>
      <c r="AL18" s="60">
        <f t="shared" si="11"/>
        <v>198.68872483434498</v>
      </c>
      <c r="AM18" s="60">
        <f t="shared" si="11"/>
        <v>198.68872483434498</v>
      </c>
      <c r="AN18" s="60">
        <f t="shared" si="11"/>
        <v>198.68872483434498</v>
      </c>
      <c r="AO18" s="60">
        <f t="shared" si="11"/>
        <v>198.68872483434498</v>
      </c>
      <c r="AP18" s="60">
        <f t="shared" si="11"/>
        <v>198.68872483434498</v>
      </c>
      <c r="AQ18" s="60">
        <f t="shared" si="11"/>
        <v>198.68872483434498</v>
      </c>
      <c r="AR18" s="60">
        <f t="shared" si="11"/>
        <v>198.68872483434498</v>
      </c>
      <c r="AS18" s="61">
        <f>AS13/200/6</f>
        <v>331.32899806392805</v>
      </c>
    </row>
    <row r="19" spans="1:48" s="32" customFormat="1">
      <c r="A19" s="62" t="s">
        <v>67</v>
      </c>
      <c r="B19" s="63"/>
      <c r="C19" s="63"/>
      <c r="D19" s="63"/>
      <c r="E19" s="64">
        <f>E13/200/5</f>
        <v>304.80929555</v>
      </c>
      <c r="F19" s="64">
        <f>F13/200/10</f>
        <v>157.77273477365378</v>
      </c>
      <c r="G19" s="64">
        <f t="shared" ref="G19:AR19" si="12">G13/200/10</f>
        <v>157.77273477365378</v>
      </c>
      <c r="H19" s="64">
        <f t="shared" si="12"/>
        <v>157.77273477365378</v>
      </c>
      <c r="I19" s="64">
        <f t="shared" si="12"/>
        <v>157.77273477365378</v>
      </c>
      <c r="J19" s="64">
        <f t="shared" si="12"/>
        <v>190.73523698651093</v>
      </c>
      <c r="K19" s="64">
        <f t="shared" si="12"/>
        <v>221.926950451214</v>
      </c>
      <c r="L19" s="64">
        <f t="shared" si="12"/>
        <v>221.926950451214</v>
      </c>
      <c r="M19" s="64">
        <f t="shared" si="12"/>
        <v>221.926950451214</v>
      </c>
      <c r="N19" s="64">
        <f t="shared" si="12"/>
        <v>221.926950451214</v>
      </c>
      <c r="O19" s="64">
        <f t="shared" si="12"/>
        <v>221.926950451214</v>
      </c>
      <c r="P19" s="64">
        <f t="shared" si="12"/>
        <v>221.926950451214</v>
      </c>
      <c r="Q19" s="64">
        <f t="shared" si="12"/>
        <v>221.926950451214</v>
      </c>
      <c r="R19" s="64">
        <f t="shared" si="12"/>
        <v>221.926950451214</v>
      </c>
      <c r="S19" s="64">
        <f t="shared" si="12"/>
        <v>221.926950451214</v>
      </c>
      <c r="T19" s="64">
        <f t="shared" si="12"/>
        <v>221.926950451214</v>
      </c>
      <c r="U19" s="64">
        <f t="shared" si="12"/>
        <v>221.926950451214</v>
      </c>
      <c r="V19" s="64">
        <f t="shared" si="12"/>
        <v>221.926950451214</v>
      </c>
      <c r="W19" s="64">
        <f t="shared" si="12"/>
        <v>221.926950451214</v>
      </c>
      <c r="X19" s="64">
        <f t="shared" si="12"/>
        <v>221.926950451214</v>
      </c>
      <c r="Y19" s="64">
        <f t="shared" si="12"/>
        <v>221.926950451214</v>
      </c>
      <c r="Z19" s="64">
        <f t="shared" si="12"/>
        <v>221.926950451214</v>
      </c>
      <c r="AA19" s="64">
        <f t="shared" si="12"/>
        <v>221.926950451214</v>
      </c>
      <c r="AB19" s="64">
        <f t="shared" si="12"/>
        <v>221.926950451214</v>
      </c>
      <c r="AC19" s="64">
        <f t="shared" si="12"/>
        <v>221.926950451214</v>
      </c>
      <c r="AD19" s="64">
        <f>AD13/200/10</f>
        <v>221.926812951214</v>
      </c>
      <c r="AE19" s="64">
        <f t="shared" si="12"/>
        <v>221.926950451214</v>
      </c>
      <c r="AF19" s="64">
        <f t="shared" si="12"/>
        <v>221.926950451214</v>
      </c>
      <c r="AG19" s="64">
        <f t="shared" si="12"/>
        <v>221.926950451214</v>
      </c>
      <c r="AH19" s="64">
        <f t="shared" si="12"/>
        <v>221.926950451214</v>
      </c>
      <c r="AI19" s="64">
        <f t="shared" si="12"/>
        <v>221.926950451214</v>
      </c>
      <c r="AJ19" s="64">
        <f t="shared" si="12"/>
        <v>238.42646980121398</v>
      </c>
      <c r="AK19" s="64">
        <f t="shared" si="12"/>
        <v>238.42646980121398</v>
      </c>
      <c r="AL19" s="64">
        <f t="shared" si="12"/>
        <v>238.42646980121398</v>
      </c>
      <c r="AM19" s="64">
        <f t="shared" si="12"/>
        <v>238.42646980121398</v>
      </c>
      <c r="AN19" s="64">
        <f t="shared" si="12"/>
        <v>238.42646980121398</v>
      </c>
      <c r="AO19" s="64">
        <f t="shared" si="12"/>
        <v>238.42646980121398</v>
      </c>
      <c r="AP19" s="64">
        <f>AP13/200/10</f>
        <v>238.42646980121398</v>
      </c>
      <c r="AQ19" s="64">
        <f t="shared" si="12"/>
        <v>238.42646980121398</v>
      </c>
      <c r="AR19" s="64">
        <f t="shared" si="12"/>
        <v>238.42646980121398</v>
      </c>
      <c r="AS19" s="65">
        <f>AS13/200/5</f>
        <v>397.59479767671371</v>
      </c>
    </row>
    <row r="20" spans="1:48" s="32" customFormat="1">
      <c r="A20" s="66"/>
      <c r="B20" s="67"/>
      <c r="C20" s="67"/>
      <c r="D20" s="67"/>
      <c r="E20" s="68"/>
      <c r="F20" s="68"/>
      <c r="G20" s="68"/>
      <c r="H20" s="68"/>
      <c r="I20" s="68"/>
      <c r="J20" s="68"/>
      <c r="K20" s="68"/>
      <c r="L20" s="69"/>
      <c r="M20" s="68"/>
      <c r="N20" s="68"/>
      <c r="O20" s="68"/>
      <c r="P20" s="68"/>
      <c r="Q20" s="68"/>
      <c r="R20" s="68"/>
      <c r="S20" s="68"/>
      <c r="T20" s="68"/>
      <c r="U20" s="68"/>
      <c r="V20" s="68"/>
      <c r="W20" s="68"/>
      <c r="X20" s="68"/>
      <c r="Y20" s="68">
        <f>300*200*10</f>
        <v>600000</v>
      </c>
      <c r="Z20" s="70">
        <f>Y20/12/Z14</f>
        <v>12.342783791456325</v>
      </c>
      <c r="AA20" s="70">
        <f>300*0.833333333333333*0.0493705257960997</f>
        <v>12.342631449024932</v>
      </c>
      <c r="AB20" s="68"/>
      <c r="AC20" s="68"/>
      <c r="AD20" s="68"/>
      <c r="AE20" s="68"/>
      <c r="AF20" s="69">
        <f>AG6/11575370</f>
        <v>1.1390565385938295E-2</v>
      </c>
      <c r="AG20" s="68"/>
      <c r="AH20" s="68"/>
      <c r="AI20" s="68"/>
      <c r="AJ20" s="68"/>
      <c r="AK20" s="68"/>
      <c r="AL20" s="68"/>
      <c r="AM20" s="68"/>
      <c r="AN20" s="68"/>
      <c r="AO20" s="68"/>
      <c r="AP20" s="68"/>
      <c r="AQ20" s="68"/>
      <c r="AR20" s="68"/>
      <c r="AS20" s="68"/>
    </row>
    <row r="21" spans="1:48">
      <c r="A21" s="71"/>
      <c r="B21" s="72"/>
      <c r="C21" s="72"/>
      <c r="D21" s="72"/>
      <c r="E21" s="73"/>
      <c r="F21" s="73"/>
      <c r="G21" s="73"/>
      <c r="H21" s="73"/>
      <c r="I21" s="73"/>
      <c r="J21" s="73"/>
      <c r="K21" s="73"/>
      <c r="L21" s="73"/>
      <c r="M21" s="73"/>
      <c r="N21" s="73"/>
      <c r="O21" s="73"/>
      <c r="P21" s="73"/>
      <c r="Q21" s="73"/>
      <c r="R21" s="73"/>
      <c r="S21" s="73"/>
      <c r="T21" s="73"/>
      <c r="U21" s="73"/>
      <c r="V21" s="73"/>
      <c r="W21" s="73"/>
      <c r="X21" s="73"/>
      <c r="Y21" s="73"/>
      <c r="Z21" s="73"/>
      <c r="AA21" s="73"/>
      <c r="AB21" s="73"/>
      <c r="AC21" s="73"/>
      <c r="AD21" s="73"/>
      <c r="AE21" s="73"/>
      <c r="AF21" s="73"/>
      <c r="AG21" s="73"/>
      <c r="AH21" s="73"/>
      <c r="AI21" s="73"/>
      <c r="AJ21" s="73"/>
      <c r="AK21" s="73"/>
      <c r="AL21" s="73"/>
      <c r="AM21" s="73"/>
      <c r="AN21" s="73"/>
      <c r="AO21" s="73"/>
      <c r="AP21" s="73"/>
      <c r="AQ21" s="73"/>
      <c r="AR21" s="73"/>
      <c r="AS21" s="74"/>
      <c r="AT21" s="36"/>
      <c r="AU21" s="42"/>
    </row>
    <row r="22" spans="1:48">
      <c r="A22" s="75" t="s">
        <v>68</v>
      </c>
      <c r="B22" s="76"/>
      <c r="C22" s="76"/>
      <c r="D22" s="76"/>
      <c r="E22" s="77">
        <f>19.91*E14*6</f>
        <v>483926.48699999996</v>
      </c>
      <c r="F22" s="77">
        <f>19.91*F14*12</f>
        <v>967852.97399999993</v>
      </c>
      <c r="G22" s="77">
        <f t="shared" ref="G22:AR22" si="13">19.91*G14*12</f>
        <v>967852.97399999993</v>
      </c>
      <c r="H22" s="77">
        <f t="shared" si="13"/>
        <v>967852.97399999993</v>
      </c>
      <c r="I22" s="77">
        <f t="shared" si="13"/>
        <v>967852.97399999993</v>
      </c>
      <c r="J22" s="77">
        <f t="shared" si="13"/>
        <v>967852.97399999993</v>
      </c>
      <c r="K22" s="77">
        <f t="shared" si="13"/>
        <v>967852.97399999993</v>
      </c>
      <c r="L22" s="77">
        <f t="shared" si="13"/>
        <v>967852.97399999993</v>
      </c>
      <c r="M22" s="77">
        <f t="shared" si="13"/>
        <v>967852.97399999993</v>
      </c>
      <c r="N22" s="77">
        <f t="shared" si="13"/>
        <v>967852.97399999993</v>
      </c>
      <c r="O22" s="77">
        <f t="shared" si="13"/>
        <v>967852.97399999993</v>
      </c>
      <c r="P22" s="77">
        <f t="shared" si="13"/>
        <v>967852.97399999993</v>
      </c>
      <c r="Q22" s="77">
        <f t="shared" si="13"/>
        <v>967852.97399999993</v>
      </c>
      <c r="R22" s="77">
        <f t="shared" si="13"/>
        <v>967852.97399999993</v>
      </c>
      <c r="S22" s="77">
        <f t="shared" si="13"/>
        <v>967852.97399999993</v>
      </c>
      <c r="T22" s="77">
        <f t="shared" si="13"/>
        <v>967852.97399999993</v>
      </c>
      <c r="U22" s="77">
        <f t="shared" si="13"/>
        <v>967852.97399999993</v>
      </c>
      <c r="V22" s="77">
        <f t="shared" si="13"/>
        <v>967852.97399999993</v>
      </c>
      <c r="W22" s="77">
        <f t="shared" si="13"/>
        <v>967852.97399999993</v>
      </c>
      <c r="X22" s="77">
        <f t="shared" si="13"/>
        <v>967852.97399999993</v>
      </c>
      <c r="Y22" s="77">
        <f t="shared" si="13"/>
        <v>967852.97399999993</v>
      </c>
      <c r="Z22" s="77">
        <f t="shared" si="13"/>
        <v>967852.97399999993</v>
      </c>
      <c r="AA22" s="77">
        <f t="shared" si="13"/>
        <v>967852.97399999993</v>
      </c>
      <c r="AB22" s="77">
        <f t="shared" si="13"/>
        <v>967852.97399999993</v>
      </c>
      <c r="AC22" s="77">
        <f t="shared" si="13"/>
        <v>967852.97399999993</v>
      </c>
      <c r="AD22" s="77">
        <f t="shared" si="13"/>
        <v>967852.97399999993</v>
      </c>
      <c r="AE22" s="77">
        <f t="shared" si="13"/>
        <v>967852.97399999993</v>
      </c>
      <c r="AF22" s="77">
        <f t="shared" si="13"/>
        <v>967852.97399999993</v>
      </c>
      <c r="AG22" s="77">
        <f t="shared" si="13"/>
        <v>967852.97399999993</v>
      </c>
      <c r="AH22" s="77">
        <f t="shared" si="13"/>
        <v>967852.97399999993</v>
      </c>
      <c r="AI22" s="77">
        <f t="shared" si="13"/>
        <v>967852.97399999993</v>
      </c>
      <c r="AJ22" s="77">
        <f t="shared" si="13"/>
        <v>967852.97399999993</v>
      </c>
      <c r="AK22" s="77">
        <f t="shared" si="13"/>
        <v>967852.97399999993</v>
      </c>
      <c r="AL22" s="77">
        <f t="shared" si="13"/>
        <v>967852.97399999993</v>
      </c>
      <c r="AM22" s="77">
        <f t="shared" si="13"/>
        <v>967852.97399999993</v>
      </c>
      <c r="AN22" s="77">
        <f t="shared" si="13"/>
        <v>967852.97399999993</v>
      </c>
      <c r="AO22" s="77">
        <f t="shared" si="13"/>
        <v>967852.97399999993</v>
      </c>
      <c r="AP22" s="77">
        <f t="shared" si="13"/>
        <v>967852.97399999993</v>
      </c>
      <c r="AQ22" s="77">
        <f t="shared" si="13"/>
        <v>967852.97399999993</v>
      </c>
      <c r="AR22" s="77">
        <f t="shared" si="13"/>
        <v>967852.97399999993</v>
      </c>
      <c r="AS22" s="78">
        <f>19.91*AS14*6</f>
        <v>483926.48699999996</v>
      </c>
      <c r="AT22" s="36"/>
      <c r="AU22" s="42"/>
    </row>
    <row r="23" spans="1:48">
      <c r="A23" s="66" t="s">
        <v>64</v>
      </c>
      <c r="B23" s="79"/>
      <c r="C23" s="79"/>
      <c r="D23" s="79"/>
      <c r="E23" s="80">
        <f>E22/(E14-102)*2</f>
        <v>245.09122019777408</v>
      </c>
      <c r="F23" s="80">
        <f t="shared" ref="F23:AR23" si="14">F22/(F14-102)</f>
        <v>245.09122019777408</v>
      </c>
      <c r="G23" s="80">
        <f t="shared" si="14"/>
        <v>245.09122019777408</v>
      </c>
      <c r="H23" s="80">
        <f t="shared" si="14"/>
        <v>245.09122019777408</v>
      </c>
      <c r="I23" s="80">
        <f t="shared" si="14"/>
        <v>245.09122019777408</v>
      </c>
      <c r="J23" s="80">
        <f t="shared" si="14"/>
        <v>245.09122019777408</v>
      </c>
      <c r="K23" s="80">
        <f t="shared" si="14"/>
        <v>245.09122019777408</v>
      </c>
      <c r="L23" s="80">
        <f t="shared" si="14"/>
        <v>245.09122019777408</v>
      </c>
      <c r="M23" s="80">
        <f t="shared" si="14"/>
        <v>245.09122019777408</v>
      </c>
      <c r="N23" s="80">
        <f t="shared" si="14"/>
        <v>245.09122019777408</v>
      </c>
      <c r="O23" s="80">
        <f t="shared" si="14"/>
        <v>245.09122019777408</v>
      </c>
      <c r="P23" s="80">
        <f t="shared" si="14"/>
        <v>245.09122019777408</v>
      </c>
      <c r="Q23" s="80">
        <f t="shared" si="14"/>
        <v>245.09122019777408</v>
      </c>
      <c r="R23" s="80">
        <f t="shared" si="14"/>
        <v>245.09122019777408</v>
      </c>
      <c r="S23" s="80">
        <f t="shared" si="14"/>
        <v>245.09122019777408</v>
      </c>
      <c r="T23" s="80">
        <f t="shared" si="14"/>
        <v>245.09122019777408</v>
      </c>
      <c r="U23" s="80">
        <f t="shared" si="14"/>
        <v>245.09122019777408</v>
      </c>
      <c r="V23" s="80">
        <f t="shared" si="14"/>
        <v>245.09122019777408</v>
      </c>
      <c r="W23" s="80">
        <f t="shared" si="14"/>
        <v>245.09122019777408</v>
      </c>
      <c r="X23" s="80">
        <f t="shared" si="14"/>
        <v>245.09122019777408</v>
      </c>
      <c r="Y23" s="80">
        <f t="shared" si="14"/>
        <v>245.09122019777408</v>
      </c>
      <c r="Z23" s="80">
        <f t="shared" si="14"/>
        <v>245.09122019777408</v>
      </c>
      <c r="AA23" s="80">
        <f t="shared" si="14"/>
        <v>245.09122019777408</v>
      </c>
      <c r="AB23" s="80">
        <f t="shared" si="14"/>
        <v>245.09122019777408</v>
      </c>
      <c r="AC23" s="80">
        <f t="shared" si="14"/>
        <v>245.09122019777408</v>
      </c>
      <c r="AD23" s="80">
        <f t="shared" si="14"/>
        <v>245.09122019777408</v>
      </c>
      <c r="AE23" s="80">
        <f t="shared" si="14"/>
        <v>245.09122019777408</v>
      </c>
      <c r="AF23" s="80">
        <f t="shared" si="14"/>
        <v>245.09122019777408</v>
      </c>
      <c r="AG23" s="80">
        <f t="shared" si="14"/>
        <v>245.09122019777408</v>
      </c>
      <c r="AH23" s="80">
        <f t="shared" si="14"/>
        <v>245.09122019777408</v>
      </c>
      <c r="AI23" s="80">
        <f t="shared" si="14"/>
        <v>245.09122019777408</v>
      </c>
      <c r="AJ23" s="80">
        <f t="shared" si="14"/>
        <v>245.09122019777408</v>
      </c>
      <c r="AK23" s="80">
        <f t="shared" si="14"/>
        <v>245.09122019777408</v>
      </c>
      <c r="AL23" s="80">
        <f t="shared" si="14"/>
        <v>245.09122019777408</v>
      </c>
      <c r="AM23" s="80">
        <f t="shared" si="14"/>
        <v>245.09122019777408</v>
      </c>
      <c r="AN23" s="80">
        <f t="shared" si="14"/>
        <v>245.09122019777408</v>
      </c>
      <c r="AO23" s="80">
        <f t="shared" si="14"/>
        <v>245.09122019777408</v>
      </c>
      <c r="AP23" s="80">
        <f t="shared" si="14"/>
        <v>245.09122019777408</v>
      </c>
      <c r="AQ23" s="80">
        <f t="shared" si="14"/>
        <v>245.09122019777408</v>
      </c>
      <c r="AR23" s="80">
        <f t="shared" si="14"/>
        <v>245.09122019777408</v>
      </c>
      <c r="AS23" s="80">
        <f>AS22/(AS14-102)*2</f>
        <v>245.09122019777408</v>
      </c>
      <c r="AT23" s="36"/>
      <c r="AU23" s="42"/>
    </row>
    <row r="24" spans="1:48">
      <c r="A24" s="66" t="s">
        <v>69</v>
      </c>
      <c r="B24" s="79"/>
      <c r="C24" s="79"/>
      <c r="D24" s="79"/>
      <c r="E24" s="80">
        <f>E23/12</f>
        <v>20.424268349814508</v>
      </c>
      <c r="F24" s="80">
        <f>F23/12</f>
        <v>20.424268349814508</v>
      </c>
      <c r="G24" s="80">
        <f t="shared" ref="G24:AS24" si="15">G23/12</f>
        <v>20.424268349814508</v>
      </c>
      <c r="H24" s="80">
        <f t="shared" si="15"/>
        <v>20.424268349814508</v>
      </c>
      <c r="I24" s="80">
        <f t="shared" si="15"/>
        <v>20.424268349814508</v>
      </c>
      <c r="J24" s="80">
        <f t="shared" si="15"/>
        <v>20.424268349814508</v>
      </c>
      <c r="K24" s="80">
        <f t="shared" si="15"/>
        <v>20.424268349814508</v>
      </c>
      <c r="L24" s="80">
        <f>L23/12</f>
        <v>20.424268349814508</v>
      </c>
      <c r="M24" s="80">
        <f t="shared" si="15"/>
        <v>20.424268349814508</v>
      </c>
      <c r="N24" s="80">
        <f t="shared" si="15"/>
        <v>20.424268349814508</v>
      </c>
      <c r="O24" s="80">
        <f t="shared" si="15"/>
        <v>20.424268349814508</v>
      </c>
      <c r="P24" s="80">
        <f t="shared" si="15"/>
        <v>20.424268349814508</v>
      </c>
      <c r="Q24" s="80">
        <f t="shared" si="15"/>
        <v>20.424268349814508</v>
      </c>
      <c r="R24" s="80">
        <f t="shared" si="15"/>
        <v>20.424268349814508</v>
      </c>
      <c r="S24" s="80">
        <f t="shared" si="15"/>
        <v>20.424268349814508</v>
      </c>
      <c r="T24" s="80">
        <f t="shared" si="15"/>
        <v>20.424268349814508</v>
      </c>
      <c r="U24" s="80">
        <f t="shared" si="15"/>
        <v>20.424268349814508</v>
      </c>
      <c r="V24" s="80">
        <f t="shared" si="15"/>
        <v>20.424268349814508</v>
      </c>
      <c r="W24" s="80">
        <f t="shared" si="15"/>
        <v>20.424268349814508</v>
      </c>
      <c r="X24" s="80">
        <f t="shared" si="15"/>
        <v>20.424268349814508</v>
      </c>
      <c r="Y24" s="80">
        <f t="shared" si="15"/>
        <v>20.424268349814508</v>
      </c>
      <c r="Z24" s="80">
        <f t="shared" si="15"/>
        <v>20.424268349814508</v>
      </c>
      <c r="AA24" s="80">
        <f t="shared" si="15"/>
        <v>20.424268349814508</v>
      </c>
      <c r="AB24" s="80">
        <f t="shared" si="15"/>
        <v>20.424268349814508</v>
      </c>
      <c r="AC24" s="80">
        <f t="shared" si="15"/>
        <v>20.424268349814508</v>
      </c>
      <c r="AD24" s="80">
        <f t="shared" si="15"/>
        <v>20.424268349814508</v>
      </c>
      <c r="AE24" s="80">
        <f t="shared" si="15"/>
        <v>20.424268349814508</v>
      </c>
      <c r="AF24" s="80">
        <f t="shared" si="15"/>
        <v>20.424268349814508</v>
      </c>
      <c r="AG24" s="80">
        <f t="shared" si="15"/>
        <v>20.424268349814508</v>
      </c>
      <c r="AH24" s="80">
        <f t="shared" si="15"/>
        <v>20.424268349814508</v>
      </c>
      <c r="AI24" s="80">
        <f t="shared" si="15"/>
        <v>20.424268349814508</v>
      </c>
      <c r="AJ24" s="80">
        <f t="shared" si="15"/>
        <v>20.424268349814508</v>
      </c>
      <c r="AK24" s="80">
        <f t="shared" si="15"/>
        <v>20.424268349814508</v>
      </c>
      <c r="AL24" s="80">
        <f t="shared" si="15"/>
        <v>20.424268349814508</v>
      </c>
      <c r="AM24" s="80">
        <f>AM23/12</f>
        <v>20.424268349814508</v>
      </c>
      <c r="AN24" s="80">
        <f t="shared" si="15"/>
        <v>20.424268349814508</v>
      </c>
      <c r="AO24" s="80">
        <f t="shared" si="15"/>
        <v>20.424268349814508</v>
      </c>
      <c r="AP24" s="80">
        <f t="shared" si="15"/>
        <v>20.424268349814508</v>
      </c>
      <c r="AQ24" s="80">
        <f t="shared" si="15"/>
        <v>20.424268349814508</v>
      </c>
      <c r="AR24" s="80">
        <f t="shared" si="15"/>
        <v>20.424268349814508</v>
      </c>
      <c r="AS24" s="81">
        <f t="shared" si="15"/>
        <v>20.424268349814508</v>
      </c>
      <c r="AT24" s="36"/>
      <c r="AU24" s="42"/>
    </row>
    <row r="25" spans="1:48">
      <c r="A25" s="66" t="s">
        <v>70</v>
      </c>
      <c r="B25" s="79"/>
      <c r="C25" s="79"/>
      <c r="D25" s="79"/>
      <c r="E25" s="80">
        <f>E22/200/6</f>
        <v>403.27207249999998</v>
      </c>
      <c r="F25" s="80">
        <f>F22/200/12</f>
        <v>403.27207249999998</v>
      </c>
      <c r="G25" s="80">
        <f>G22/200/12</f>
        <v>403.27207249999998</v>
      </c>
      <c r="H25" s="80">
        <f>H22/200/12</f>
        <v>403.27207249999998</v>
      </c>
      <c r="I25" s="80">
        <f>I22/200/12</f>
        <v>403.27207249999998</v>
      </c>
      <c r="J25" s="80">
        <f>J22/200/12</f>
        <v>403.27207249999998</v>
      </c>
      <c r="K25" s="80">
        <f t="shared" ref="K25:AR25" si="16">K22/200/12</f>
        <v>403.27207249999998</v>
      </c>
      <c r="L25" s="80">
        <f t="shared" si="16"/>
        <v>403.27207249999998</v>
      </c>
      <c r="M25" s="80">
        <f t="shared" si="16"/>
        <v>403.27207249999998</v>
      </c>
      <c r="N25" s="80">
        <f t="shared" si="16"/>
        <v>403.27207249999998</v>
      </c>
      <c r="O25" s="80">
        <f t="shared" si="16"/>
        <v>403.27207249999998</v>
      </c>
      <c r="P25" s="80">
        <f t="shared" si="16"/>
        <v>403.27207249999998</v>
      </c>
      <c r="Q25" s="80">
        <f t="shared" si="16"/>
        <v>403.27207249999998</v>
      </c>
      <c r="R25" s="80">
        <f t="shared" si="16"/>
        <v>403.27207249999998</v>
      </c>
      <c r="S25" s="80">
        <f t="shared" si="16"/>
        <v>403.27207249999998</v>
      </c>
      <c r="T25" s="80">
        <f t="shared" si="16"/>
        <v>403.27207249999998</v>
      </c>
      <c r="U25" s="80">
        <f t="shared" si="16"/>
        <v>403.27207249999998</v>
      </c>
      <c r="V25" s="80">
        <f t="shared" si="16"/>
        <v>403.27207249999998</v>
      </c>
      <c r="W25" s="80">
        <f t="shared" si="16"/>
        <v>403.27207249999998</v>
      </c>
      <c r="X25" s="80">
        <f t="shared" si="16"/>
        <v>403.27207249999998</v>
      </c>
      <c r="Y25" s="80">
        <f t="shared" si="16"/>
        <v>403.27207249999998</v>
      </c>
      <c r="Z25" s="80">
        <f t="shared" si="16"/>
        <v>403.27207249999998</v>
      </c>
      <c r="AA25" s="80">
        <f t="shared" si="16"/>
        <v>403.27207249999998</v>
      </c>
      <c r="AB25" s="80">
        <f t="shared" si="16"/>
        <v>403.27207249999998</v>
      </c>
      <c r="AC25" s="80">
        <f t="shared" si="16"/>
        <v>403.27207249999998</v>
      </c>
      <c r="AD25" s="80">
        <f t="shared" si="16"/>
        <v>403.27207249999998</v>
      </c>
      <c r="AE25" s="80">
        <f t="shared" si="16"/>
        <v>403.27207249999998</v>
      </c>
      <c r="AF25" s="80">
        <f t="shared" si="16"/>
        <v>403.27207249999998</v>
      </c>
      <c r="AG25" s="80">
        <f t="shared" si="16"/>
        <v>403.27207249999998</v>
      </c>
      <c r="AH25" s="80">
        <f t="shared" si="16"/>
        <v>403.27207249999998</v>
      </c>
      <c r="AI25" s="80">
        <f t="shared" si="16"/>
        <v>403.27207249999998</v>
      </c>
      <c r="AJ25" s="80">
        <f t="shared" si="16"/>
        <v>403.27207249999998</v>
      </c>
      <c r="AK25" s="80">
        <f t="shared" si="16"/>
        <v>403.27207249999998</v>
      </c>
      <c r="AL25" s="80">
        <f t="shared" si="16"/>
        <v>403.27207249999998</v>
      </c>
      <c r="AM25" s="80">
        <f t="shared" si="16"/>
        <v>403.27207249999998</v>
      </c>
      <c r="AN25" s="80">
        <f t="shared" si="16"/>
        <v>403.27207249999998</v>
      </c>
      <c r="AO25" s="80">
        <f t="shared" si="16"/>
        <v>403.27207249999998</v>
      </c>
      <c r="AP25" s="80">
        <f t="shared" si="16"/>
        <v>403.27207249999998</v>
      </c>
      <c r="AQ25" s="80">
        <f t="shared" si="16"/>
        <v>403.27207249999998</v>
      </c>
      <c r="AR25" s="80">
        <f t="shared" si="16"/>
        <v>403.27207249999998</v>
      </c>
      <c r="AS25" s="80">
        <f>AS22/200/6</f>
        <v>403.27207249999998</v>
      </c>
      <c r="AT25" s="36"/>
      <c r="AU25" s="42"/>
    </row>
    <row r="26" spans="1:48">
      <c r="A26" s="75" t="s">
        <v>71</v>
      </c>
      <c r="B26" s="76"/>
      <c r="C26" s="76"/>
      <c r="D26" s="76"/>
      <c r="E26" s="82">
        <v>0.82</v>
      </c>
      <c r="F26" s="82">
        <v>0.82</v>
      </c>
      <c r="G26" s="82">
        <v>0.82</v>
      </c>
      <c r="H26" s="82">
        <v>0.82</v>
      </c>
      <c r="I26" s="82">
        <v>0.82</v>
      </c>
      <c r="J26" s="82">
        <v>0.82</v>
      </c>
      <c r="K26" s="82">
        <v>0.82</v>
      </c>
      <c r="L26" s="82">
        <v>0.82</v>
      </c>
      <c r="M26" s="82">
        <v>0.82</v>
      </c>
      <c r="N26" s="82">
        <v>0.82</v>
      </c>
      <c r="O26" s="82">
        <v>0.82</v>
      </c>
      <c r="P26" s="82">
        <v>0.82</v>
      </c>
      <c r="Q26" s="82">
        <v>0.82</v>
      </c>
      <c r="R26" s="82">
        <v>0.82</v>
      </c>
      <c r="S26" s="82">
        <v>0.82</v>
      </c>
      <c r="T26" s="82">
        <v>0.82</v>
      </c>
      <c r="U26" s="82">
        <v>0.82</v>
      </c>
      <c r="V26" s="82">
        <v>0.82</v>
      </c>
      <c r="W26" s="82">
        <v>0.82</v>
      </c>
      <c r="X26" s="82">
        <v>0.82</v>
      </c>
      <c r="Y26" s="82">
        <v>0.82</v>
      </c>
      <c r="Z26" s="82">
        <v>0.82</v>
      </c>
      <c r="AA26" s="82">
        <v>0.82</v>
      </c>
      <c r="AB26" s="82">
        <v>0.82</v>
      </c>
      <c r="AC26" s="82">
        <v>0.82</v>
      </c>
      <c r="AD26" s="82">
        <v>0.82</v>
      </c>
      <c r="AE26" s="82">
        <v>0.82</v>
      </c>
      <c r="AF26" s="82">
        <v>0.82</v>
      </c>
      <c r="AG26" s="82">
        <v>0.82</v>
      </c>
      <c r="AH26" s="82">
        <v>0.82</v>
      </c>
      <c r="AI26" s="82">
        <v>0.82</v>
      </c>
      <c r="AJ26" s="82">
        <v>0.82</v>
      </c>
      <c r="AK26" s="82">
        <v>0.82</v>
      </c>
      <c r="AL26" s="82">
        <v>0.82</v>
      </c>
      <c r="AM26" s="82">
        <v>0.82</v>
      </c>
      <c r="AN26" s="82">
        <v>0.82</v>
      </c>
      <c r="AO26" s="82">
        <v>0.82</v>
      </c>
      <c r="AP26" s="82">
        <v>0.82</v>
      </c>
      <c r="AQ26" s="82">
        <v>0.82</v>
      </c>
      <c r="AR26" s="82">
        <v>0.82</v>
      </c>
      <c r="AS26" s="83">
        <v>0.82</v>
      </c>
      <c r="AT26" s="36"/>
      <c r="AU26" s="42"/>
    </row>
    <row r="27" spans="1:48">
      <c r="A27" s="84" t="s">
        <v>72</v>
      </c>
      <c r="B27" s="85">
        <f>B22*B26</f>
        <v>0</v>
      </c>
      <c r="C27" s="85">
        <f>C22*C26</f>
        <v>0</v>
      </c>
      <c r="D27" s="85">
        <f>D22*D26</f>
        <v>0</v>
      </c>
      <c r="E27" s="86">
        <f>E22*E26</f>
        <v>396819.71933999995</v>
      </c>
      <c r="F27" s="86">
        <f>F22*F26</f>
        <v>793639.4386799999</v>
      </c>
      <c r="G27" s="86">
        <f t="shared" ref="G27:AS27" si="17">G22*G26</f>
        <v>793639.4386799999</v>
      </c>
      <c r="H27" s="86">
        <f t="shared" si="17"/>
        <v>793639.4386799999</v>
      </c>
      <c r="I27" s="86">
        <f t="shared" si="17"/>
        <v>793639.4386799999</v>
      </c>
      <c r="J27" s="86">
        <f t="shared" si="17"/>
        <v>793639.4386799999</v>
      </c>
      <c r="K27" s="86">
        <f t="shared" si="17"/>
        <v>793639.4386799999</v>
      </c>
      <c r="L27" s="86">
        <f t="shared" si="17"/>
        <v>793639.4386799999</v>
      </c>
      <c r="M27" s="86">
        <f t="shared" si="17"/>
        <v>793639.4386799999</v>
      </c>
      <c r="N27" s="86">
        <f t="shared" si="17"/>
        <v>793639.4386799999</v>
      </c>
      <c r="O27" s="86">
        <f t="shared" si="17"/>
        <v>793639.4386799999</v>
      </c>
      <c r="P27" s="86">
        <f t="shared" si="17"/>
        <v>793639.4386799999</v>
      </c>
      <c r="Q27" s="86">
        <f t="shared" si="17"/>
        <v>793639.4386799999</v>
      </c>
      <c r="R27" s="86">
        <f t="shared" si="17"/>
        <v>793639.4386799999</v>
      </c>
      <c r="S27" s="86">
        <f t="shared" si="17"/>
        <v>793639.4386799999</v>
      </c>
      <c r="T27" s="86">
        <f t="shared" si="17"/>
        <v>793639.4386799999</v>
      </c>
      <c r="U27" s="86">
        <f t="shared" si="17"/>
        <v>793639.4386799999</v>
      </c>
      <c r="V27" s="86">
        <f t="shared" si="17"/>
        <v>793639.4386799999</v>
      </c>
      <c r="W27" s="86">
        <f t="shared" si="17"/>
        <v>793639.4386799999</v>
      </c>
      <c r="X27" s="86">
        <f t="shared" si="17"/>
        <v>793639.4386799999</v>
      </c>
      <c r="Y27" s="86">
        <f t="shared" si="17"/>
        <v>793639.4386799999</v>
      </c>
      <c r="Z27" s="86">
        <f t="shared" si="17"/>
        <v>793639.4386799999</v>
      </c>
      <c r="AA27" s="86">
        <f t="shared" si="17"/>
        <v>793639.4386799999</v>
      </c>
      <c r="AB27" s="86">
        <f t="shared" si="17"/>
        <v>793639.4386799999</v>
      </c>
      <c r="AC27" s="86">
        <f t="shared" si="17"/>
        <v>793639.4386799999</v>
      </c>
      <c r="AD27" s="86">
        <f t="shared" si="17"/>
        <v>793639.4386799999</v>
      </c>
      <c r="AE27" s="86">
        <f t="shared" si="17"/>
        <v>793639.4386799999</v>
      </c>
      <c r="AF27" s="86">
        <f t="shared" si="17"/>
        <v>793639.4386799999</v>
      </c>
      <c r="AG27" s="86">
        <f t="shared" si="17"/>
        <v>793639.4386799999</v>
      </c>
      <c r="AH27" s="86">
        <f t="shared" si="17"/>
        <v>793639.4386799999</v>
      </c>
      <c r="AI27" s="86">
        <f t="shared" si="17"/>
        <v>793639.4386799999</v>
      </c>
      <c r="AJ27" s="86">
        <f t="shared" si="17"/>
        <v>793639.4386799999</v>
      </c>
      <c r="AK27" s="86">
        <f t="shared" si="17"/>
        <v>793639.4386799999</v>
      </c>
      <c r="AL27" s="86">
        <f t="shared" si="17"/>
        <v>793639.4386799999</v>
      </c>
      <c r="AM27" s="86">
        <f>AM22*AM26</f>
        <v>793639.4386799999</v>
      </c>
      <c r="AN27" s="86">
        <f t="shared" si="17"/>
        <v>793639.4386799999</v>
      </c>
      <c r="AO27" s="86">
        <f t="shared" si="17"/>
        <v>793639.4386799999</v>
      </c>
      <c r="AP27" s="86">
        <f t="shared" si="17"/>
        <v>793639.4386799999</v>
      </c>
      <c r="AQ27" s="86">
        <f t="shared" si="17"/>
        <v>793639.4386799999</v>
      </c>
      <c r="AR27" s="86">
        <f t="shared" si="17"/>
        <v>793639.4386799999</v>
      </c>
      <c r="AS27" s="87">
        <f t="shared" si="17"/>
        <v>396819.71933999995</v>
      </c>
      <c r="AT27" s="36"/>
      <c r="AU27" s="42"/>
    </row>
    <row r="28" spans="1:48" s="36" customFormat="1">
      <c r="A28" s="17" t="s">
        <v>73</v>
      </c>
      <c r="B28" s="88"/>
      <c r="C28" s="88"/>
      <c r="D28" s="88"/>
      <c r="E28" s="88">
        <f>E27/200/5</f>
        <v>396.81971933999995</v>
      </c>
      <c r="F28" s="88">
        <f>F27/200/10</f>
        <v>396.81971933999995</v>
      </c>
      <c r="G28" s="88">
        <f>G27/200/10</f>
        <v>396.81971933999995</v>
      </c>
      <c r="H28" s="88">
        <f>H27/200/10</f>
        <v>396.81971933999995</v>
      </c>
      <c r="I28" s="88">
        <f t="shared" ref="I28:AR28" si="18">I27/200/10</f>
        <v>396.81971933999995</v>
      </c>
      <c r="J28" s="88">
        <f t="shared" si="18"/>
        <v>396.81971933999995</v>
      </c>
      <c r="K28" s="88">
        <f t="shared" si="18"/>
        <v>396.81971933999995</v>
      </c>
      <c r="L28" s="88">
        <f t="shared" si="18"/>
        <v>396.81971933999995</v>
      </c>
      <c r="M28" s="88">
        <f t="shared" si="18"/>
        <v>396.81971933999995</v>
      </c>
      <c r="N28" s="88">
        <f t="shared" si="18"/>
        <v>396.81971933999995</v>
      </c>
      <c r="O28" s="88">
        <f t="shared" si="18"/>
        <v>396.81971933999995</v>
      </c>
      <c r="P28" s="88">
        <f t="shared" si="18"/>
        <v>396.81971933999995</v>
      </c>
      <c r="Q28" s="88">
        <f t="shared" si="18"/>
        <v>396.81971933999995</v>
      </c>
      <c r="R28" s="88">
        <f t="shared" si="18"/>
        <v>396.81971933999995</v>
      </c>
      <c r="S28" s="88">
        <f t="shared" si="18"/>
        <v>396.81971933999995</v>
      </c>
      <c r="T28" s="88">
        <f t="shared" si="18"/>
        <v>396.81971933999995</v>
      </c>
      <c r="U28" s="88">
        <f t="shared" si="18"/>
        <v>396.81971933999995</v>
      </c>
      <c r="V28" s="88">
        <f t="shared" si="18"/>
        <v>396.81971933999995</v>
      </c>
      <c r="W28" s="88">
        <f t="shared" si="18"/>
        <v>396.81971933999995</v>
      </c>
      <c r="X28" s="88">
        <f t="shared" si="18"/>
        <v>396.81971933999995</v>
      </c>
      <c r="Y28" s="88">
        <f t="shared" si="18"/>
        <v>396.81971933999995</v>
      </c>
      <c r="Z28" s="88">
        <f t="shared" si="18"/>
        <v>396.81971933999995</v>
      </c>
      <c r="AA28" s="88">
        <f t="shared" si="18"/>
        <v>396.81971933999995</v>
      </c>
      <c r="AB28" s="88">
        <f t="shared" si="18"/>
        <v>396.81971933999995</v>
      </c>
      <c r="AC28" s="88">
        <f t="shared" si="18"/>
        <v>396.81971933999995</v>
      </c>
      <c r="AD28" s="88">
        <f t="shared" si="18"/>
        <v>396.81971933999995</v>
      </c>
      <c r="AE28" s="88">
        <f t="shared" si="18"/>
        <v>396.81971933999995</v>
      </c>
      <c r="AF28" s="88">
        <f t="shared" si="18"/>
        <v>396.81971933999995</v>
      </c>
      <c r="AG28" s="88">
        <f t="shared" si="18"/>
        <v>396.81971933999995</v>
      </c>
      <c r="AH28" s="88">
        <f t="shared" si="18"/>
        <v>396.81971933999995</v>
      </c>
      <c r="AI28" s="88">
        <f t="shared" si="18"/>
        <v>396.81971933999995</v>
      </c>
      <c r="AJ28" s="88">
        <f t="shared" si="18"/>
        <v>396.81971933999995</v>
      </c>
      <c r="AK28" s="88">
        <f t="shared" si="18"/>
        <v>396.81971933999995</v>
      </c>
      <c r="AL28" s="88">
        <f t="shared" si="18"/>
        <v>396.81971933999995</v>
      </c>
      <c r="AM28" s="88">
        <f t="shared" si="18"/>
        <v>396.81971933999995</v>
      </c>
      <c r="AN28" s="88">
        <f t="shared" si="18"/>
        <v>396.81971933999995</v>
      </c>
      <c r="AO28" s="88">
        <f t="shared" si="18"/>
        <v>396.81971933999995</v>
      </c>
      <c r="AP28" s="88">
        <f t="shared" si="18"/>
        <v>396.81971933999995</v>
      </c>
      <c r="AQ28" s="88">
        <f t="shared" si="18"/>
        <v>396.81971933999995</v>
      </c>
      <c r="AR28" s="88">
        <f t="shared" si="18"/>
        <v>396.81971933999995</v>
      </c>
      <c r="AS28" s="88">
        <f>AS27/200/5</f>
        <v>396.81971933999995</v>
      </c>
      <c r="AU28" s="89"/>
    </row>
    <row r="29" spans="1:48" s="36" customFormat="1">
      <c r="A29" s="90"/>
      <c r="B29" s="91"/>
      <c r="C29" s="91"/>
      <c r="D29" s="91"/>
      <c r="E29" s="91"/>
      <c r="F29" s="92"/>
      <c r="G29" s="91"/>
      <c r="H29" s="91"/>
      <c r="I29" s="91"/>
      <c r="J29" s="91"/>
      <c r="K29" s="91"/>
      <c r="L29" s="91"/>
      <c r="M29" s="91"/>
      <c r="N29" s="91"/>
      <c r="O29" s="91"/>
      <c r="P29" s="91"/>
      <c r="Q29" s="91"/>
      <c r="R29" s="91"/>
      <c r="S29" s="91"/>
      <c r="T29" s="91"/>
      <c r="U29" s="91"/>
      <c r="V29" s="91"/>
      <c r="W29" s="91"/>
      <c r="X29" s="91"/>
      <c r="Y29" s="91"/>
      <c r="Z29" s="91"/>
      <c r="AA29" s="91"/>
      <c r="AB29" s="91"/>
      <c r="AC29" s="91"/>
      <c r="AD29" s="91"/>
      <c r="AE29" s="91"/>
      <c r="AF29" s="91"/>
      <c r="AG29" s="91"/>
      <c r="AH29" s="91"/>
      <c r="AI29" s="91"/>
      <c r="AJ29" s="91"/>
      <c r="AK29" s="91"/>
      <c r="AL29" s="91"/>
      <c r="AM29" s="91"/>
      <c r="AN29" s="91"/>
      <c r="AO29" s="91"/>
      <c r="AP29" s="91"/>
      <c r="AQ29" s="91"/>
      <c r="AR29" s="91"/>
      <c r="AS29" s="91"/>
      <c r="AU29" s="89"/>
    </row>
    <row r="30" spans="1:48">
      <c r="A30" s="25" t="s">
        <v>74</v>
      </c>
      <c r="B30" s="26"/>
      <c r="C30" s="26"/>
      <c r="D30" s="93"/>
      <c r="E30" s="61"/>
      <c r="F30" s="27"/>
      <c r="G30" s="27"/>
      <c r="H30" s="27"/>
      <c r="I30" s="27"/>
      <c r="J30" s="27"/>
      <c r="K30" s="27"/>
      <c r="L30" s="27"/>
      <c r="M30" s="27"/>
      <c r="N30" s="27"/>
      <c r="O30" s="27"/>
      <c r="P30" s="27"/>
      <c r="Q30" s="27"/>
      <c r="R30" s="27"/>
      <c r="S30" s="27"/>
      <c r="T30" s="27"/>
      <c r="U30" s="27"/>
      <c r="V30" s="27"/>
      <c r="W30" s="27"/>
      <c r="X30" s="27"/>
      <c r="Y30" s="27"/>
      <c r="Z30" s="27"/>
      <c r="AA30" s="27"/>
      <c r="AB30" s="27"/>
      <c r="AC30" s="27"/>
      <c r="AD30" s="27"/>
      <c r="AE30" s="27"/>
      <c r="AF30" s="27"/>
      <c r="AG30" s="27"/>
      <c r="AH30" s="27"/>
      <c r="AI30" s="27"/>
      <c r="AJ30" s="27"/>
      <c r="AK30" s="27"/>
      <c r="AL30" s="27"/>
      <c r="AM30" s="27"/>
      <c r="AN30" s="27"/>
      <c r="AO30" s="27"/>
      <c r="AP30" s="27"/>
      <c r="AQ30" s="27"/>
      <c r="AR30" s="27"/>
      <c r="AS30" s="27"/>
      <c r="AT30" s="19" t="s">
        <v>52</v>
      </c>
      <c r="AU30" s="42">
        <f t="shared" ref="AU30:AU35" si="19">SUM(E30:AS30)</f>
        <v>0</v>
      </c>
    </row>
    <row r="31" spans="1:48">
      <c r="A31" s="33" t="s">
        <v>75</v>
      </c>
      <c r="B31" s="34"/>
      <c r="C31" s="34"/>
      <c r="D31" s="94"/>
      <c r="E31" s="81">
        <f>+'[49]Reprise subvent°'!Q7</f>
        <v>110002.03436831382</v>
      </c>
      <c r="F31" s="35">
        <f>+'[49]Reprise subvent°'!$Q8</f>
        <v>220004.06873662764</v>
      </c>
      <c r="G31" s="35">
        <f>+'[49]Reprise subvent°'!$Q9</f>
        <v>220004.06873662764</v>
      </c>
      <c r="H31" s="35">
        <f>+'[49]Reprise subvent°'!$Q10</f>
        <v>220004.06873662764</v>
      </c>
      <c r="I31" s="35">
        <f>+'[49]Reprise subvent°'!$Q11</f>
        <v>220004.06873662764</v>
      </c>
      <c r="J31" s="35">
        <f>+'[49]Reprise subvent°'!$Q12</f>
        <v>220004.06873662764</v>
      </c>
      <c r="K31" s="35">
        <f>+'[49]Reprise subvent°'!$Q13</f>
        <v>220004.06873662764</v>
      </c>
      <c r="L31" s="35">
        <f>+'[49]Reprise subvent°'!$Q14</f>
        <v>220004.06873662764</v>
      </c>
      <c r="M31" s="35">
        <f>+'[49]Reprise subvent°'!$Q15</f>
        <v>220004.06873662764</v>
      </c>
      <c r="N31" s="35">
        <f>+'[49]Reprise subvent°'!$Q16</f>
        <v>220004.06873662764</v>
      </c>
      <c r="O31" s="35">
        <f>+'[49]Reprise subvent°'!$Q17</f>
        <v>208479.06607128514</v>
      </c>
      <c r="P31" s="35">
        <f>+'[49]Reprise subvent°'!$Q18</f>
        <v>196954.06340594261</v>
      </c>
      <c r="Q31" s="35">
        <f>+'[49]Reprise subvent°'!$Q19</f>
        <v>196954.06340594261</v>
      </c>
      <c r="R31" s="35">
        <f>+'[49]Reprise subvent°'!$Q20</f>
        <v>196954.06340594261</v>
      </c>
      <c r="S31" s="35">
        <f>+'[49]Reprise subvent°'!$Q21</f>
        <v>196954.06340594261</v>
      </c>
      <c r="T31" s="35">
        <f>+'[49]Reprise subvent°'!$Q22</f>
        <v>175824.89185281468</v>
      </c>
      <c r="U31" s="35">
        <f>+'[49]Reprise subvent°'!$Q23</f>
        <v>154695.72029968671</v>
      </c>
      <c r="V31" s="35">
        <f>+'[49]Reprise subvent°'!$Q24</f>
        <v>154695.72029968671</v>
      </c>
      <c r="W31" s="35">
        <f>+'[49]Reprise subvent°'!$Q25</f>
        <v>154695.72029968671</v>
      </c>
      <c r="X31" s="35">
        <f>+'[49]Reprise subvent°'!$Q26</f>
        <v>154695.72029968671</v>
      </c>
      <c r="Y31" s="35">
        <f>+'[49]Reprise subvent°'!$Q27</f>
        <v>125883.21363633045</v>
      </c>
      <c r="Z31" s="35">
        <f>+'[49]Reprise subvent°'!$Q28</f>
        <v>97070.706972974163</v>
      </c>
      <c r="AA31" s="35">
        <f>+'[49]Reprise subvent°'!$Q29</f>
        <v>97070.706972974163</v>
      </c>
      <c r="AB31" s="35">
        <f>+'[49]Reprise subvent°'!$Q30</f>
        <v>97070.706972974163</v>
      </c>
      <c r="AC31" s="35">
        <f>+'[49]Reprise subvent°'!$Q31</f>
        <v>97070.706972974163</v>
      </c>
      <c r="AD31" s="35">
        <f>+'[49]Reprise subvent°'!$Q32</f>
        <v>97070.706972974163</v>
      </c>
      <c r="AE31" s="35">
        <f>+'[49]Reprise subvent°'!$Q33</f>
        <v>97070.706972974163</v>
      </c>
      <c r="AF31" s="35">
        <f>+'[49]Reprise subvent°'!$Q34</f>
        <v>97070.706972974163</v>
      </c>
      <c r="AG31" s="35">
        <f>+'[49]Reprise subvent°'!$Q35</f>
        <v>97070.706972974163</v>
      </c>
      <c r="AH31" s="35">
        <f>+'Reprise subvent°'!$Q36</f>
        <v>97070.706972974163</v>
      </c>
      <c r="AI31" s="35">
        <f>+'Reprise subvent°'!$Q37</f>
        <v>92268.622529081447</v>
      </c>
      <c r="AJ31" s="35">
        <f>+'Reprise subvent°'!$Q38</f>
        <v>87466.538085188731</v>
      </c>
      <c r="AK31" s="35">
        <f>'Reprise subvent°'!$Q39</f>
        <v>87466.538085188731</v>
      </c>
      <c r="AL31" s="35">
        <f>+'Reprise subvent°'!$Q40</f>
        <v>87466.538085188731</v>
      </c>
      <c r="AM31" s="35">
        <f>+'Reprise subvent°'!$Q41</f>
        <v>87466.538085188731</v>
      </c>
      <c r="AN31" s="35">
        <f>+'Reprise subvent°'!$Q42</f>
        <v>83350.465704709262</v>
      </c>
      <c r="AO31" s="35">
        <f>+'Reprise subvent°'!$Q43</f>
        <v>79234.393324229794</v>
      </c>
      <c r="AP31" s="35">
        <f>+'Reprise subvent°'!$Q44</f>
        <v>79234.393324229794</v>
      </c>
      <c r="AQ31" s="35">
        <f>+'Reprise subvent°'!$Q45</f>
        <v>79234.393324229794</v>
      </c>
      <c r="AR31" s="35">
        <f>+'Reprise subvent°'!$Q46</f>
        <v>79234.393324229794</v>
      </c>
      <c r="AS31" s="35">
        <f>+'Reprise subvent°'!$Q47</f>
        <v>39617.196662114897</v>
      </c>
      <c r="AT31" s="19" t="s">
        <v>52</v>
      </c>
      <c r="AU31" s="42">
        <f t="shared" si="19"/>
        <v>5762501.3326712595</v>
      </c>
    </row>
    <row r="32" spans="1:48">
      <c r="A32" s="33" t="s">
        <v>76</v>
      </c>
      <c r="B32" s="34"/>
      <c r="C32" s="34"/>
      <c r="D32" s="94"/>
      <c r="E32" s="81">
        <f>-[49]LOYERS!$E8</f>
        <v>-290589</v>
      </c>
      <c r="F32" s="81">
        <f>-[49]LOYERS!$E9</f>
        <v>-205477.46247599999</v>
      </c>
      <c r="G32" s="81">
        <f>-[49]LOYERS!$E10</f>
        <v>-203052.83966821709</v>
      </c>
      <c r="H32" s="81">
        <f>-[49]LOYERS!$E11</f>
        <v>-200543.11259988099</v>
      </c>
      <c r="I32" s="81">
        <f>-[49]LOYERS!$E12</f>
        <v>-197945.2941114463</v>
      </c>
      <c r="J32" s="81">
        <f>-[49]LOYERS!$E13</f>
        <v>-195256.29219406759</v>
      </c>
      <c r="K32" s="81">
        <f>-[49]LOYERS!$E14</f>
        <v>-188931.32887764173</v>
      </c>
      <c r="L32" s="81">
        <f>-[49]LOYERS!$E15</f>
        <v>-186050.24615067686</v>
      </c>
      <c r="M32" s="81">
        <f>-[49]LOYERS!$E16</f>
        <v>-183068.03741999558</v>
      </c>
      <c r="N32" s="81">
        <f>-[49]LOYERS!$E17</f>
        <v>-179981.15316286735</v>
      </c>
      <c r="O32" s="81">
        <f>-[49]LOYERS!$E18</f>
        <v>-176785.91926831397</v>
      </c>
      <c r="P32" s="81">
        <f>-[49]LOYERS!$E19</f>
        <v>-173478.53266406167</v>
      </c>
      <c r="Q32" s="81">
        <f>-[49]LOYERS!$E20</f>
        <v>-170055.05679000018</v>
      </c>
      <c r="R32" s="81">
        <f>-[49]LOYERS!$E21</f>
        <v>-166511.41691275913</v>
      </c>
      <c r="S32" s="81">
        <f>-[49]LOYERS!$E22</f>
        <v>-162843.39527582689</v>
      </c>
      <c r="T32" s="81">
        <f>-[49]LOYERS!$E23</f>
        <v>-159046.62607943831</v>
      </c>
      <c r="U32" s="81">
        <f>-[49]LOYERS!$E24</f>
        <v>-155116.59028425656</v>
      </c>
      <c r="V32" s="81">
        <f>-[49]LOYERS!$E25</f>
        <v>-151048.61023266386</v>
      </c>
      <c r="W32" s="81">
        <f>-[49]LOYERS!$E26</f>
        <v>-146837.84408126029</v>
      </c>
      <c r="X32" s="81">
        <f>-[49]LOYERS!$E27</f>
        <v>-142479.28003794246</v>
      </c>
      <c r="Y32" s="81">
        <f>-[49]LOYERS!$E28</f>
        <v>-137967.73039670417</v>
      </c>
      <c r="Z32" s="81">
        <f>-[49]LOYERS!$E29</f>
        <v>-133297.82536305842</v>
      </c>
      <c r="AA32" s="81">
        <f>-[49]LOYERS!$E30</f>
        <v>-128464.00666273173</v>
      </c>
      <c r="AB32" s="81">
        <f>-[49]LOYERS!$E31</f>
        <v>-123460.52092602357</v>
      </c>
      <c r="AC32" s="81">
        <f>-[49]LOYERS!$E32</f>
        <v>-118281.41283995693</v>
      </c>
      <c r="AD32" s="81">
        <f>-[49]LOYERS!$E33</f>
        <v>-112920.51806006939</v>
      </c>
      <c r="AE32" s="81">
        <f>-[49]LOYERS!$E34</f>
        <v>-107371.45587340777</v>
      </c>
      <c r="AF32" s="81">
        <f>-[49]LOYERS!$E35</f>
        <v>-101627.62160399434</v>
      </c>
      <c r="AG32" s="81">
        <f>-[49]LOYERS!$E36</f>
        <v>-95682.17875172451</v>
      </c>
      <c r="AH32" s="81">
        <f>-LOYERS!$E37</f>
        <v>-89528.050855340014</v>
      </c>
      <c r="AI32" s="81">
        <f>-LOYERS!$E38</f>
        <v>-83157.913069792397</v>
      </c>
      <c r="AJ32" s="81">
        <f>-LOYERS!$E39</f>
        <v>-76564.183447972086</v>
      </c>
      <c r="AK32" s="81">
        <f>-LOYERS!$E40</f>
        <v>-69739.013916425873</v>
      </c>
      <c r="AL32" s="81">
        <f>-LOYERS!$E41</f>
        <v>-62674.280934322414</v>
      </c>
      <c r="AM32" s="81">
        <f>-LOYERS!$E42</f>
        <v>-55361.575824547108</v>
      </c>
      <c r="AN32" s="81">
        <f>-LOYERS!$E43</f>
        <v>-47792.19476541871</v>
      </c>
      <c r="AO32" s="81">
        <f>-LOYERS!$E44</f>
        <v>-39957.128431114907</v>
      </c>
      <c r="AP32" s="81">
        <f>-LOYERS!$E45</f>
        <v>-31847.051268477058</v>
      </c>
      <c r="AQ32" s="81">
        <f>-LOYERS!$E46</f>
        <v>-23452.310397430636</v>
      </c>
      <c r="AR32" s="81">
        <f>-LOYERS!$E47</f>
        <v>-14762.914121810505</v>
      </c>
      <c r="AS32" s="81">
        <f>-LOYERS!$E48</f>
        <v>-5768.5200369161375</v>
      </c>
      <c r="AT32" s="19" t="s">
        <v>52</v>
      </c>
      <c r="AU32" s="42">
        <f t="shared" si="19"/>
        <v>-5294776.4458345566</v>
      </c>
    </row>
    <row r="33" spans="1:48">
      <c r="A33" s="33" t="s">
        <v>77</v>
      </c>
      <c r="B33" s="34">
        <f>SUM(B34:B35)</f>
        <v>0</v>
      </c>
      <c r="C33" s="34">
        <f>SUM(C34:C35)</f>
        <v>0</v>
      </c>
      <c r="D33" s="94">
        <f>SUM(D34:D35)</f>
        <v>0</v>
      </c>
      <c r="E33" s="81">
        <f>SUM(E34:E35)</f>
        <v>-221751.83467062502</v>
      </c>
      <c r="F33" s="81">
        <f t="shared" ref="F33:AS33" si="20">SUM(F34:F35)</f>
        <v>-443503.66934125003</v>
      </c>
      <c r="G33" s="81">
        <f t="shared" si="20"/>
        <v>-443503.66934125003</v>
      </c>
      <c r="H33" s="81">
        <f t="shared" si="20"/>
        <v>-443503.66934125003</v>
      </c>
      <c r="I33" s="81">
        <f t="shared" si="20"/>
        <v>-443503.66934125003</v>
      </c>
      <c r="J33" s="81">
        <f t="shared" si="20"/>
        <v>-443503.66934125003</v>
      </c>
      <c r="K33" s="81">
        <f t="shared" si="20"/>
        <v>-443503.66934125003</v>
      </c>
      <c r="L33" s="81">
        <f t="shared" si="20"/>
        <v>-443503.66934125003</v>
      </c>
      <c r="M33" s="81">
        <f t="shared" si="20"/>
        <v>-443503.66934125003</v>
      </c>
      <c r="N33" s="81">
        <f t="shared" si="20"/>
        <v>-443503.66934125003</v>
      </c>
      <c r="O33" s="81">
        <f t="shared" si="20"/>
        <v>-436921.42555125005</v>
      </c>
      <c r="P33" s="81">
        <f t="shared" si="20"/>
        <v>-413688.30536125001</v>
      </c>
      <c r="Q33" s="81">
        <f t="shared" si="20"/>
        <v>-413688.30536125001</v>
      </c>
      <c r="R33" s="81">
        <f t="shared" si="20"/>
        <v>-413688.30536125001</v>
      </c>
      <c r="S33" s="81">
        <f t="shared" si="20"/>
        <v>-413688.30536125001</v>
      </c>
      <c r="T33" s="81">
        <f t="shared" si="20"/>
        <v>-417299.74281291669</v>
      </c>
      <c r="U33" s="81">
        <f t="shared" si="20"/>
        <v>-374705.68913124996</v>
      </c>
      <c r="V33" s="81">
        <f t="shared" si="20"/>
        <v>-374705.68913124996</v>
      </c>
      <c r="W33" s="81">
        <f t="shared" si="20"/>
        <v>-374705.68913124996</v>
      </c>
      <c r="X33" s="81">
        <f t="shared" si="20"/>
        <v>-374705.68913124996</v>
      </c>
      <c r="Y33" s="81">
        <f t="shared" si="20"/>
        <v>-326718.53665625001</v>
      </c>
      <c r="Z33" s="81">
        <f t="shared" si="20"/>
        <v>-268635.73618125002</v>
      </c>
      <c r="AA33" s="81">
        <f t="shared" si="20"/>
        <v>-268635.73618125002</v>
      </c>
      <c r="AB33" s="81">
        <f t="shared" si="20"/>
        <v>-268635.73618125002</v>
      </c>
      <c r="AC33" s="81">
        <f t="shared" si="20"/>
        <v>-268635.73618125002</v>
      </c>
      <c r="AD33" s="81">
        <f t="shared" si="20"/>
        <v>-370495.78841875005</v>
      </c>
      <c r="AE33" s="81">
        <f t="shared" si="20"/>
        <v>-370495.78841875005</v>
      </c>
      <c r="AF33" s="81">
        <f t="shared" si="20"/>
        <v>-370495.78841875005</v>
      </c>
      <c r="AG33" s="81">
        <f t="shared" si="20"/>
        <v>-370495.78841875005</v>
      </c>
      <c r="AH33" s="81">
        <f t="shared" si="20"/>
        <v>-370495.78841875005</v>
      </c>
      <c r="AI33" s="81">
        <f t="shared" si="20"/>
        <v>-425704.9333577652</v>
      </c>
      <c r="AJ33" s="81">
        <f t="shared" si="20"/>
        <v>-416024.46661193186</v>
      </c>
      <c r="AK33" s="81">
        <f t="shared" si="20"/>
        <v>-416024.46661193186</v>
      </c>
      <c r="AL33" s="81">
        <f t="shared" si="20"/>
        <v>-416024.46661193186</v>
      </c>
      <c r="AM33" s="81">
        <f t="shared" si="20"/>
        <v>-416024.46661193186</v>
      </c>
      <c r="AN33" s="81">
        <f t="shared" si="20"/>
        <v>-407726.92368693184</v>
      </c>
      <c r="AO33" s="81">
        <f t="shared" si="20"/>
        <v>-399429.38076193188</v>
      </c>
      <c r="AP33" s="81">
        <f t="shared" si="20"/>
        <v>-399429.38076193188</v>
      </c>
      <c r="AQ33" s="81">
        <f t="shared" si="20"/>
        <v>-399429.38076193188</v>
      </c>
      <c r="AR33" s="81">
        <f t="shared" si="20"/>
        <v>-399429.38076193188</v>
      </c>
      <c r="AS33" s="81">
        <f t="shared" si="20"/>
        <v>-661240.72970880684</v>
      </c>
      <c r="AT33" s="19" t="s">
        <v>52</v>
      </c>
      <c r="AU33" s="42">
        <f t="shared" si="19"/>
        <v>-16231310.404799996</v>
      </c>
    </row>
    <row r="34" spans="1:48" s="32" customFormat="1" outlineLevel="1">
      <c r="A34" s="29" t="s">
        <v>78</v>
      </c>
      <c r="B34" s="30"/>
      <c r="C34" s="30"/>
      <c r="D34" s="95"/>
      <c r="E34" s="53">
        <f>-[49]Amortissements!$Q7</f>
        <v>-221751.83467062502</v>
      </c>
      <c r="F34" s="31">
        <f>-[49]Amortissements!$Q8</f>
        <v>-443503.66934125003</v>
      </c>
      <c r="G34" s="31">
        <f>-[49]Amortissements!$Q9</f>
        <v>-443503.66934125003</v>
      </c>
      <c r="H34" s="31">
        <f>-[49]Amortissements!$Q10</f>
        <v>-443503.66934125003</v>
      </c>
      <c r="I34" s="31">
        <f>-[49]Amortissements!$Q11</f>
        <v>-443503.66934125003</v>
      </c>
      <c r="J34" s="31">
        <f>-[49]Amortissements!$Q12</f>
        <v>-443503.66934125003</v>
      </c>
      <c r="K34" s="31">
        <f>-[49]Amortissements!$Q13</f>
        <v>-443503.66934125003</v>
      </c>
      <c r="L34" s="31">
        <f>-[49]Amortissements!$Q14</f>
        <v>-443503.66934125003</v>
      </c>
      <c r="M34" s="31">
        <f>-[49]Amortissements!$Q15</f>
        <v>-443503.66934125003</v>
      </c>
      <c r="N34" s="31">
        <f>-[49]Amortissements!$Q16</f>
        <v>-443503.66934125003</v>
      </c>
      <c r="O34" s="31">
        <f>-[49]Amortissements!$Q17</f>
        <v>-420270.54915125004</v>
      </c>
      <c r="P34" s="31">
        <f>-[49]Amortissements!$Q18</f>
        <v>-397037.42896125</v>
      </c>
      <c r="Q34" s="31">
        <f>-[49]Amortissements!$Q19</f>
        <v>-397037.42896125</v>
      </c>
      <c r="R34" s="31">
        <f>-[49]Amortissements!$Q20</f>
        <v>-397037.42896125</v>
      </c>
      <c r="S34" s="31">
        <f>-[49]Amortissements!$Q21</f>
        <v>-397037.42896125</v>
      </c>
      <c r="T34" s="31">
        <f>-[49]Amortissements!$Q22</f>
        <v>-354443.37527958339</v>
      </c>
      <c r="U34" s="31">
        <f>-[49]Amortissements!$Q23</f>
        <v>-311849.32159791666</v>
      </c>
      <c r="V34" s="31">
        <f>-[49]Amortissements!$Q24</f>
        <v>-311849.32159791666</v>
      </c>
      <c r="W34" s="31">
        <f>-[49]Amortissements!$Q25</f>
        <v>-311849.32159791666</v>
      </c>
      <c r="X34" s="31">
        <f>-[49]Amortissements!$Q26</f>
        <v>-311849.32159791666</v>
      </c>
      <c r="Y34" s="31">
        <f>-[49]Amortissements!$Q27</f>
        <v>-253766.52112291669</v>
      </c>
      <c r="Z34" s="31">
        <f>-[49]Amortissements!$Q28</f>
        <v>-195683.72064791669</v>
      </c>
      <c r="AA34" s="31">
        <f>-[49]Amortissements!$Q29</f>
        <v>-195683.72064791669</v>
      </c>
      <c r="AB34" s="31">
        <f>-[49]Amortissements!$Q30</f>
        <v>-195683.72064791669</v>
      </c>
      <c r="AC34" s="31">
        <f>-[49]Amortissements!$Q31</f>
        <v>-195683.72064791669</v>
      </c>
      <c r="AD34" s="31">
        <f>-[49]Amortissements!$Q32</f>
        <v>-195683.72064791669</v>
      </c>
      <c r="AE34" s="31">
        <f>-[49]Amortissements!$Q33</f>
        <v>-195683.72064791669</v>
      </c>
      <c r="AF34" s="31">
        <f>-[49]Amortissements!$Q34</f>
        <v>-195683.72064791669</v>
      </c>
      <c r="AG34" s="31">
        <f>-[49]Amortissements!$Q35</f>
        <v>-195683.72064791669</v>
      </c>
      <c r="AH34" s="31">
        <f>-Amortissements!$Q36</f>
        <v>-195683.72064791669</v>
      </c>
      <c r="AI34" s="31">
        <f>-Amortissements!$Q37</f>
        <v>-186003.25390208338</v>
      </c>
      <c r="AJ34" s="31">
        <f>-Amortissements!$Q38</f>
        <v>-176322.78715625004</v>
      </c>
      <c r="AK34" s="31">
        <f>-Amortissements!$Q39</f>
        <v>-176322.78715625004</v>
      </c>
      <c r="AL34" s="31">
        <f>-Amortissements!$Q40</f>
        <v>-176322.78715625004</v>
      </c>
      <c r="AM34" s="31">
        <f>-Amortissements!$Q41</f>
        <v>-176322.78715625004</v>
      </c>
      <c r="AN34" s="31">
        <f>-Amortissements!$Q42</f>
        <v>-168025.24423125002</v>
      </c>
      <c r="AO34" s="31">
        <f>-Amortissements!$Q43</f>
        <v>-159727.70130625003</v>
      </c>
      <c r="AP34" s="31">
        <f>-Amortissements!$Q44</f>
        <v>-159727.70130625003</v>
      </c>
      <c r="AQ34" s="31">
        <f>-Amortissements!$Q45</f>
        <v>-159727.70130625003</v>
      </c>
      <c r="AR34" s="31">
        <f>-Amortissements!$Q46</f>
        <v>-159727.70130625003</v>
      </c>
      <c r="AS34" s="31">
        <f>-Amortissements!$Q47</f>
        <v>-79863.850653125017</v>
      </c>
      <c r="AT34" s="32" t="s">
        <v>52</v>
      </c>
      <c r="AU34" s="42">
        <f t="shared" si="19"/>
        <v>-11616560.094999999</v>
      </c>
    </row>
    <row r="35" spans="1:48" s="32" customFormat="1" outlineLevel="1">
      <c r="A35" s="29" t="s">
        <v>79</v>
      </c>
      <c r="B35" s="96"/>
      <c r="C35" s="96"/>
      <c r="D35" s="97"/>
      <c r="E35" s="53">
        <f>-[49]Amortissements!$S7</f>
        <v>0</v>
      </c>
      <c r="F35" s="53">
        <f>-[49]Amortissements!$S8</f>
        <v>0</v>
      </c>
      <c r="G35" s="53">
        <f>-[49]Amortissements!$S9</f>
        <v>0</v>
      </c>
      <c r="H35" s="53">
        <f>-[49]Amortissements!$S10</f>
        <v>0</v>
      </c>
      <c r="I35" s="53">
        <f>-[49]Amortissements!$S11</f>
        <v>0</v>
      </c>
      <c r="J35" s="53">
        <f>-[49]Amortissements!$S12</f>
        <v>0</v>
      </c>
      <c r="K35" s="53">
        <f>-[49]Amortissements!$S13</f>
        <v>0</v>
      </c>
      <c r="L35" s="53">
        <f>-[49]Amortissements!$S14</f>
        <v>0</v>
      </c>
      <c r="M35" s="53">
        <f>-[49]Amortissements!$S15</f>
        <v>0</v>
      </c>
      <c r="N35" s="53">
        <f>-[49]Amortissements!$S16</f>
        <v>0</v>
      </c>
      <c r="O35" s="53">
        <f>-[49]Amortissements!$S17</f>
        <v>-16650.876400000001</v>
      </c>
      <c r="P35" s="53">
        <f>-[49]Amortissements!$S18</f>
        <v>-16650.876400000001</v>
      </c>
      <c r="Q35" s="53">
        <f>-[49]Amortissements!$S19</f>
        <v>-16650.876400000001</v>
      </c>
      <c r="R35" s="53">
        <f>-[49]Amortissements!$S20</f>
        <v>-16650.876400000001</v>
      </c>
      <c r="S35" s="53">
        <f>-[49]Amortissements!$S21</f>
        <v>-16650.876400000001</v>
      </c>
      <c r="T35" s="53">
        <f>-[49]Amortissements!$S22</f>
        <v>-62856.36753333333</v>
      </c>
      <c r="U35" s="53">
        <f>-[49]Amortissements!$S23</f>
        <v>-62856.36753333333</v>
      </c>
      <c r="V35" s="53">
        <f>-[49]Amortissements!$S24</f>
        <v>-62856.36753333333</v>
      </c>
      <c r="W35" s="53">
        <f>-[49]Amortissements!$S25</f>
        <v>-62856.36753333333</v>
      </c>
      <c r="X35" s="53">
        <f>-[49]Amortissements!$S26</f>
        <v>-62856.36753333333</v>
      </c>
      <c r="Y35" s="53">
        <f>-[49]Amortissements!$S27</f>
        <v>-72952.015533333324</v>
      </c>
      <c r="Z35" s="53">
        <f>-[49]Amortissements!$S28</f>
        <v>-72952.015533333324</v>
      </c>
      <c r="AA35" s="53">
        <f>-[49]Amortissements!$S29</f>
        <v>-72952.015533333324</v>
      </c>
      <c r="AB35" s="53">
        <f>-[49]Amortissements!$S30</f>
        <v>-72952.015533333324</v>
      </c>
      <c r="AC35" s="53">
        <f>-[49]Amortissements!$S31</f>
        <v>-72952.015533333324</v>
      </c>
      <c r="AD35" s="53">
        <f>-[49]Amortissements!$S32</f>
        <v>-174812.06777083332</v>
      </c>
      <c r="AE35" s="53">
        <f>-[49]Amortissements!$S33</f>
        <v>-174812.06777083332</v>
      </c>
      <c r="AF35" s="53">
        <f>-[49]Amortissements!$S34</f>
        <v>-174812.06777083332</v>
      </c>
      <c r="AG35" s="53">
        <f>-[49]Amortissements!$S35</f>
        <v>-174812.06777083332</v>
      </c>
      <c r="AH35" s="53">
        <f>-Amortissements!$S36</f>
        <v>-174812.06777083332</v>
      </c>
      <c r="AI35" s="53">
        <f>-Amortissements!$S37</f>
        <v>-239701.67945568182</v>
      </c>
      <c r="AJ35" s="53">
        <f>-Amortissements!$S38</f>
        <v>-239701.67945568182</v>
      </c>
      <c r="AK35" s="53">
        <f>-Amortissements!$S39</f>
        <v>-239701.67945568182</v>
      </c>
      <c r="AL35" s="53">
        <f>-Amortissements!$S40</f>
        <v>-239701.67945568182</v>
      </c>
      <c r="AM35" s="53">
        <f>-Amortissements!$S41</f>
        <v>-239701.67945568182</v>
      </c>
      <c r="AN35" s="53">
        <f>-Amortissements!$S42</f>
        <v>-239701.67945568182</v>
      </c>
      <c r="AO35" s="53">
        <f>-Amortissements!$S43</f>
        <v>-239701.67945568182</v>
      </c>
      <c r="AP35" s="53">
        <f>-Amortissements!$S44</f>
        <v>-239701.67945568182</v>
      </c>
      <c r="AQ35" s="53">
        <f>-Amortissements!$S45</f>
        <v>-239701.67945568182</v>
      </c>
      <c r="AR35" s="53">
        <f>-Amortissements!$S46</f>
        <v>-239701.67945568182</v>
      </c>
      <c r="AS35" s="53">
        <f>-Amortissements!$S47</f>
        <v>-581376.87905568187</v>
      </c>
      <c r="AT35" s="32" t="s">
        <v>52</v>
      </c>
      <c r="AU35" s="42">
        <f t="shared" si="19"/>
        <v>-4614750.309799999</v>
      </c>
    </row>
    <row r="36" spans="1:48">
      <c r="A36" s="37" t="s">
        <v>80</v>
      </c>
      <c r="B36" s="38">
        <f t="shared" ref="B36:AS36" si="21">B13+B30+B31+B32+B33</f>
        <v>0</v>
      </c>
      <c r="C36" s="38">
        <f t="shared" si="21"/>
        <v>0</v>
      </c>
      <c r="D36" s="98">
        <f t="shared" si="21"/>
        <v>63000</v>
      </c>
      <c r="E36" s="39">
        <f t="shared" si="21"/>
        <v>-97529.504752311128</v>
      </c>
      <c r="F36" s="39">
        <f t="shared" si="21"/>
        <v>-113431.59353331471</v>
      </c>
      <c r="G36" s="39">
        <f t="shared" si="21"/>
        <v>-111006.97072553186</v>
      </c>
      <c r="H36" s="39">
        <f t="shared" si="21"/>
        <v>-108497.24365719577</v>
      </c>
      <c r="I36" s="39">
        <f t="shared" si="21"/>
        <v>-105899.42516876105</v>
      </c>
      <c r="J36" s="39">
        <f t="shared" si="21"/>
        <v>-37285.418825668108</v>
      </c>
      <c r="K36" s="39">
        <f t="shared" si="21"/>
        <v>31422.971420163929</v>
      </c>
      <c r="L36" s="39">
        <f t="shared" si="21"/>
        <v>34304.054147128772</v>
      </c>
      <c r="M36" s="39">
        <f t="shared" si="21"/>
        <v>37286.262877810048</v>
      </c>
      <c r="N36" s="39">
        <f t="shared" si="21"/>
        <v>40373.147134938277</v>
      </c>
      <c r="O36" s="39">
        <f t="shared" si="21"/>
        <v>38625.62215414911</v>
      </c>
      <c r="P36" s="39">
        <f t="shared" si="21"/>
        <v>53641.126283058955</v>
      </c>
      <c r="Q36" s="39">
        <f t="shared" si="21"/>
        <v>57064.602157120418</v>
      </c>
      <c r="R36" s="39">
        <f t="shared" si="21"/>
        <v>60608.242034361465</v>
      </c>
      <c r="S36" s="39">
        <f t="shared" si="21"/>
        <v>64276.26367129368</v>
      </c>
      <c r="T36" s="39">
        <f t="shared" si="21"/>
        <v>43332.423862887663</v>
      </c>
      <c r="U36" s="39">
        <f t="shared" si="21"/>
        <v>68727.341786608216</v>
      </c>
      <c r="V36" s="39">
        <f t="shared" si="21"/>
        <v>72795.321838200907</v>
      </c>
      <c r="W36" s="39">
        <f t="shared" si="21"/>
        <v>77006.087989604508</v>
      </c>
      <c r="X36" s="39">
        <f t="shared" si="21"/>
        <v>81364.652032922313</v>
      </c>
      <c r="Y36" s="39">
        <f t="shared" si="21"/>
        <v>105050.84748580435</v>
      </c>
      <c r="Z36" s="39">
        <f t="shared" si="21"/>
        <v>138991.04633109376</v>
      </c>
      <c r="AA36" s="39">
        <f t="shared" si="21"/>
        <v>143824.86503142043</v>
      </c>
      <c r="AB36" s="39">
        <f t="shared" si="21"/>
        <v>148828.35076812858</v>
      </c>
      <c r="AC36" s="39">
        <f t="shared" si="21"/>
        <v>154007.45885419525</v>
      </c>
      <c r="AD36" s="39">
        <f t="shared" si="21"/>
        <v>57508.026396582718</v>
      </c>
      <c r="AE36" s="39">
        <f t="shared" si="21"/>
        <v>63057.363583244383</v>
      </c>
      <c r="AF36" s="39">
        <f t="shared" si="21"/>
        <v>68801.197852657817</v>
      </c>
      <c r="AG36" s="39">
        <f t="shared" si="21"/>
        <v>74746.640704927617</v>
      </c>
      <c r="AH36" s="39">
        <f t="shared" si="21"/>
        <v>80900.768601312127</v>
      </c>
      <c r="AI36" s="39">
        <f t="shared" si="21"/>
        <v>27259.677003951918</v>
      </c>
      <c r="AJ36" s="39">
        <f t="shared" si="21"/>
        <v>71730.827627712802</v>
      </c>
      <c r="AK36" s="39">
        <f t="shared" si="21"/>
        <v>78555.997159258986</v>
      </c>
      <c r="AL36" s="39">
        <f t="shared" si="21"/>
        <v>85620.730141362466</v>
      </c>
      <c r="AM36" s="39">
        <f t="shared" si="21"/>
        <v>92933.435251137766</v>
      </c>
      <c r="AN36" s="39">
        <f t="shared" si="21"/>
        <v>104684.28685478674</v>
      </c>
      <c r="AO36" s="39">
        <f t="shared" si="21"/>
        <v>116700.82373361097</v>
      </c>
      <c r="AP36" s="39">
        <f t="shared" si="21"/>
        <v>124810.90089624882</v>
      </c>
      <c r="AQ36" s="39">
        <f t="shared" si="21"/>
        <v>133205.64176729519</v>
      </c>
      <c r="AR36" s="39">
        <f t="shared" si="21"/>
        <v>141895.0380429154</v>
      </c>
      <c r="AS36" s="39">
        <f t="shared" si="21"/>
        <v>-229797.25540689443</v>
      </c>
    </row>
    <row r="37" spans="1:48">
      <c r="A37" s="33" t="s">
        <v>81</v>
      </c>
      <c r="B37" s="34"/>
      <c r="C37" s="34"/>
      <c r="D37" s="34"/>
      <c r="E37" s="34"/>
      <c r="F37" s="34"/>
      <c r="G37" s="34"/>
      <c r="H37" s="34"/>
      <c r="I37" s="34"/>
      <c r="J37" s="34"/>
      <c r="K37" s="34"/>
      <c r="L37" s="34"/>
      <c r="M37" s="34"/>
      <c r="N37" s="34"/>
      <c r="O37" s="34"/>
      <c r="P37" s="34"/>
      <c r="Q37" s="34"/>
      <c r="R37" s="34"/>
      <c r="S37" s="34"/>
      <c r="T37" s="35"/>
      <c r="U37" s="35"/>
      <c r="V37" s="35"/>
      <c r="W37" s="35"/>
      <c r="X37" s="35"/>
      <c r="Y37" s="35"/>
      <c r="Z37" s="35"/>
      <c r="AA37" s="35"/>
      <c r="AB37" s="35"/>
      <c r="AC37" s="35"/>
      <c r="AD37" s="35"/>
      <c r="AE37" s="35"/>
      <c r="AF37" s="35"/>
      <c r="AG37" s="35"/>
      <c r="AH37" s="35"/>
      <c r="AI37" s="35"/>
      <c r="AJ37" s="35">
        <f t="shared" ref="AJ37:AS37" si="22">-(8.146*AJ14)</f>
        <v>-32999.038700000005</v>
      </c>
      <c r="AK37" s="35">
        <f t="shared" si="22"/>
        <v>-32999.038700000005</v>
      </c>
      <c r="AL37" s="35">
        <f t="shared" si="22"/>
        <v>-32999.038700000005</v>
      </c>
      <c r="AM37" s="35">
        <f t="shared" si="22"/>
        <v>-32999.038700000005</v>
      </c>
      <c r="AN37" s="35">
        <f t="shared" si="22"/>
        <v>-32999.038700000005</v>
      </c>
      <c r="AO37" s="35">
        <f t="shared" si="22"/>
        <v>-32999.038700000005</v>
      </c>
      <c r="AP37" s="35">
        <f t="shared" si="22"/>
        <v>-32999.038700000005</v>
      </c>
      <c r="AQ37" s="35">
        <f t="shared" si="22"/>
        <v>-32999.038700000005</v>
      </c>
      <c r="AR37" s="35">
        <f t="shared" si="22"/>
        <v>-32999.038700000005</v>
      </c>
      <c r="AS37" s="35">
        <f t="shared" si="22"/>
        <v>-32999.038700000005</v>
      </c>
      <c r="AT37" s="19" t="s">
        <v>52</v>
      </c>
      <c r="AU37" s="42">
        <f>SUM(E37:AS37)</f>
        <v>-329990.3870000001</v>
      </c>
    </row>
    <row r="38" spans="1:48">
      <c r="A38" s="33" t="s">
        <v>82</v>
      </c>
      <c r="B38" s="34"/>
      <c r="C38" s="34"/>
      <c r="D38" s="34"/>
      <c r="E38" s="34"/>
      <c r="F38" s="35">
        <f>-3.317*F14</f>
        <v>-13437.00115</v>
      </c>
      <c r="G38" s="35">
        <f t="shared" ref="G38:AS38" si="23">-3.317*G14</f>
        <v>-13437.00115</v>
      </c>
      <c r="H38" s="35">
        <f t="shared" si="23"/>
        <v>-13437.00115</v>
      </c>
      <c r="I38" s="35">
        <f t="shared" si="23"/>
        <v>-13437.00115</v>
      </c>
      <c r="J38" s="35">
        <f t="shared" si="23"/>
        <v>-13437.00115</v>
      </c>
      <c r="K38" s="35">
        <f t="shared" si="23"/>
        <v>-13437.00115</v>
      </c>
      <c r="L38" s="35">
        <f t="shared" si="23"/>
        <v>-13437.00115</v>
      </c>
      <c r="M38" s="35">
        <f t="shared" si="23"/>
        <v>-13437.00115</v>
      </c>
      <c r="N38" s="35">
        <f t="shared" si="23"/>
        <v>-13437.00115</v>
      </c>
      <c r="O38" s="35">
        <f t="shared" si="23"/>
        <v>-13437.00115</v>
      </c>
      <c r="P38" s="35">
        <f t="shared" si="23"/>
        <v>-13437.00115</v>
      </c>
      <c r="Q38" s="35">
        <f t="shared" si="23"/>
        <v>-13437.00115</v>
      </c>
      <c r="R38" s="35">
        <f t="shared" si="23"/>
        <v>-13437.00115</v>
      </c>
      <c r="S38" s="35">
        <f t="shared" si="23"/>
        <v>-13437.00115</v>
      </c>
      <c r="T38" s="35">
        <f t="shared" si="23"/>
        <v>-13437.00115</v>
      </c>
      <c r="U38" s="35">
        <f t="shared" si="23"/>
        <v>-13437.00115</v>
      </c>
      <c r="V38" s="35">
        <f t="shared" si="23"/>
        <v>-13437.00115</v>
      </c>
      <c r="W38" s="35">
        <f t="shared" si="23"/>
        <v>-13437.00115</v>
      </c>
      <c r="X38" s="35">
        <f t="shared" si="23"/>
        <v>-13437.00115</v>
      </c>
      <c r="Y38" s="35">
        <f t="shared" si="23"/>
        <v>-13437.00115</v>
      </c>
      <c r="Z38" s="35">
        <f t="shared" si="23"/>
        <v>-13437.00115</v>
      </c>
      <c r="AA38" s="35">
        <f t="shared" si="23"/>
        <v>-13437.00115</v>
      </c>
      <c r="AB38" s="35">
        <f t="shared" si="23"/>
        <v>-13437.00115</v>
      </c>
      <c r="AC38" s="35">
        <f t="shared" si="23"/>
        <v>-13437.00115</v>
      </c>
      <c r="AD38" s="35">
        <f t="shared" si="23"/>
        <v>-13437.00115</v>
      </c>
      <c r="AE38" s="35">
        <f t="shared" si="23"/>
        <v>-13437.00115</v>
      </c>
      <c r="AF38" s="35">
        <f t="shared" si="23"/>
        <v>-13437.00115</v>
      </c>
      <c r="AG38" s="35">
        <f t="shared" si="23"/>
        <v>-13437.00115</v>
      </c>
      <c r="AH38" s="35">
        <f t="shared" si="23"/>
        <v>-13437.00115</v>
      </c>
      <c r="AI38" s="35">
        <f t="shared" si="23"/>
        <v>-13437.00115</v>
      </c>
      <c r="AJ38" s="35">
        <f t="shared" si="23"/>
        <v>-13437.00115</v>
      </c>
      <c r="AK38" s="35">
        <f t="shared" si="23"/>
        <v>-13437.00115</v>
      </c>
      <c r="AL38" s="35">
        <f t="shared" si="23"/>
        <v>-13437.00115</v>
      </c>
      <c r="AM38" s="35">
        <f t="shared" si="23"/>
        <v>-13437.00115</v>
      </c>
      <c r="AN38" s="35">
        <f t="shared" si="23"/>
        <v>-13437.00115</v>
      </c>
      <c r="AO38" s="35">
        <f t="shared" si="23"/>
        <v>-13437.00115</v>
      </c>
      <c r="AP38" s="35">
        <f t="shared" si="23"/>
        <v>-13437.00115</v>
      </c>
      <c r="AQ38" s="35">
        <f t="shared" si="23"/>
        <v>-13437.00115</v>
      </c>
      <c r="AR38" s="35">
        <f t="shared" si="23"/>
        <v>-13437.00115</v>
      </c>
      <c r="AS38" s="35">
        <f t="shared" si="23"/>
        <v>-13437.00115</v>
      </c>
      <c r="AT38" s="19" t="s">
        <v>52</v>
      </c>
      <c r="AU38" s="42">
        <f>SUM(E38:AS38)</f>
        <v>-537480.04600000044</v>
      </c>
    </row>
    <row r="39" spans="1:48">
      <c r="A39" s="33" t="s">
        <v>83</v>
      </c>
      <c r="B39" s="34"/>
      <c r="C39" s="34"/>
      <c r="D39" s="34"/>
      <c r="E39" s="34"/>
      <c r="F39" s="34"/>
      <c r="G39" s="34"/>
      <c r="H39" s="34"/>
      <c r="I39" s="34"/>
      <c r="J39" s="34"/>
      <c r="K39" s="34"/>
      <c r="L39" s="34"/>
      <c r="M39" s="34"/>
      <c r="N39" s="34"/>
      <c r="O39" s="34"/>
      <c r="P39" s="34"/>
      <c r="Q39" s="34"/>
      <c r="R39" s="34"/>
      <c r="S39" s="34"/>
      <c r="T39" s="34"/>
      <c r="U39" s="34"/>
      <c r="V39" s="34"/>
      <c r="W39" s="34"/>
      <c r="X39" s="34"/>
      <c r="Y39" s="34"/>
      <c r="Z39" s="34"/>
      <c r="AA39" s="34"/>
      <c r="AB39" s="34"/>
      <c r="AC39" s="34"/>
      <c r="AD39" s="34"/>
      <c r="AE39" s="34"/>
      <c r="AF39" s="34"/>
      <c r="AG39" s="34"/>
      <c r="AH39" s="34"/>
      <c r="AI39" s="34"/>
      <c r="AJ39" s="34"/>
      <c r="AK39" s="34"/>
      <c r="AL39" s="34"/>
      <c r="AM39" s="34"/>
      <c r="AN39" s="34"/>
      <c r="AO39" s="34"/>
      <c r="AP39" s="34"/>
      <c r="AQ39" s="34"/>
      <c r="AR39" s="34"/>
      <c r="AS39" s="34"/>
      <c r="AT39" s="19" t="s">
        <v>52</v>
      </c>
      <c r="AU39" s="42">
        <f>SUM(E39:AS39)</f>
        <v>0</v>
      </c>
    </row>
    <row r="40" spans="1:48">
      <c r="A40" s="33" t="s">
        <v>84</v>
      </c>
      <c r="B40" s="34"/>
      <c r="C40" s="34"/>
      <c r="D40" s="34"/>
      <c r="E40" s="34"/>
      <c r="F40" s="34"/>
      <c r="G40" s="34"/>
      <c r="H40" s="34"/>
      <c r="I40" s="34"/>
      <c r="J40" s="35"/>
      <c r="K40" s="35"/>
      <c r="L40" s="35"/>
      <c r="M40" s="35"/>
      <c r="N40" s="35"/>
      <c r="O40" s="35"/>
      <c r="P40" s="35"/>
      <c r="Q40" s="35"/>
      <c r="R40" s="35"/>
      <c r="S40" s="35"/>
      <c r="T40" s="35"/>
      <c r="U40" s="35"/>
      <c r="V40" s="35"/>
      <c r="W40" s="35"/>
      <c r="X40" s="35"/>
      <c r="Y40" s="35"/>
      <c r="Z40" s="35"/>
      <c r="AA40" s="35"/>
      <c r="AB40" s="35"/>
      <c r="AC40" s="35"/>
      <c r="AD40" s="35"/>
      <c r="AE40" s="35"/>
      <c r="AF40" s="35"/>
      <c r="AG40" s="35"/>
      <c r="AH40" s="35"/>
      <c r="AI40" s="35"/>
      <c r="AJ40" s="35"/>
      <c r="AK40" s="35"/>
      <c r="AL40" s="35"/>
      <c r="AM40" s="35"/>
      <c r="AN40" s="35"/>
      <c r="AO40" s="35"/>
      <c r="AP40" s="35"/>
      <c r="AQ40" s="35"/>
      <c r="AR40" s="35"/>
      <c r="AS40" s="35"/>
    </row>
    <row r="41" spans="1:48">
      <c r="A41" s="33" t="s">
        <v>85</v>
      </c>
      <c r="B41" s="34"/>
      <c r="C41" s="34"/>
      <c r="D41" s="34"/>
      <c r="E41" s="35">
        <f t="shared" ref="E41:AS41" si="24">+E11*-1</f>
        <v>0</v>
      </c>
      <c r="F41" s="35">
        <f t="shared" si="24"/>
        <v>0</v>
      </c>
      <c r="G41" s="35">
        <f t="shared" si="24"/>
        <v>0</v>
      </c>
      <c r="H41" s="35">
        <f t="shared" si="24"/>
        <v>0</v>
      </c>
      <c r="I41" s="35">
        <f t="shared" si="24"/>
        <v>0</v>
      </c>
      <c r="J41" s="35">
        <f t="shared" si="24"/>
        <v>0</v>
      </c>
      <c r="K41" s="35">
        <f t="shared" si="24"/>
        <v>0</v>
      </c>
      <c r="L41" s="35">
        <f t="shared" si="24"/>
        <v>0</v>
      </c>
      <c r="M41" s="35">
        <f t="shared" si="24"/>
        <v>0</v>
      </c>
      <c r="N41" s="35">
        <f t="shared" si="24"/>
        <v>0</v>
      </c>
      <c r="O41" s="35">
        <f t="shared" si="24"/>
        <v>0</v>
      </c>
      <c r="P41" s="35">
        <f t="shared" si="24"/>
        <v>0</v>
      </c>
      <c r="Q41" s="35">
        <f t="shared" si="24"/>
        <v>0</v>
      </c>
      <c r="R41" s="35">
        <f t="shared" si="24"/>
        <v>0</v>
      </c>
      <c r="S41" s="35">
        <f t="shared" si="24"/>
        <v>0</v>
      </c>
      <c r="T41" s="35">
        <f t="shared" si="24"/>
        <v>0</v>
      </c>
      <c r="U41" s="35">
        <f t="shared" si="24"/>
        <v>0</v>
      </c>
      <c r="V41" s="35">
        <f t="shared" si="24"/>
        <v>0</v>
      </c>
      <c r="W41" s="35">
        <f t="shared" si="24"/>
        <v>0</v>
      </c>
      <c r="X41" s="35">
        <f t="shared" si="24"/>
        <v>0</v>
      </c>
      <c r="Y41" s="35">
        <f t="shared" si="24"/>
        <v>0</v>
      </c>
      <c r="Z41" s="35">
        <f t="shared" si="24"/>
        <v>0</v>
      </c>
      <c r="AA41" s="35">
        <f t="shared" si="24"/>
        <v>0</v>
      </c>
      <c r="AB41" s="35">
        <f t="shared" si="24"/>
        <v>0</v>
      </c>
      <c r="AC41" s="35">
        <f t="shared" si="24"/>
        <v>0</v>
      </c>
      <c r="AD41" s="35">
        <f t="shared" si="24"/>
        <v>0</v>
      </c>
      <c r="AE41" s="35">
        <f t="shared" si="24"/>
        <v>0</v>
      </c>
      <c r="AF41" s="35">
        <f t="shared" si="24"/>
        <v>0</v>
      </c>
      <c r="AG41" s="35">
        <f t="shared" si="24"/>
        <v>0</v>
      </c>
      <c r="AH41" s="35">
        <f t="shared" si="24"/>
        <v>0</v>
      </c>
      <c r="AI41" s="35">
        <f t="shared" si="24"/>
        <v>0</v>
      </c>
      <c r="AJ41" s="35">
        <f t="shared" si="24"/>
        <v>0</v>
      </c>
      <c r="AK41" s="35">
        <f t="shared" si="24"/>
        <v>0</v>
      </c>
      <c r="AL41" s="35">
        <f t="shared" si="24"/>
        <v>0</v>
      </c>
      <c r="AM41" s="35">
        <f t="shared" si="24"/>
        <v>0</v>
      </c>
      <c r="AN41" s="35">
        <f t="shared" si="24"/>
        <v>0</v>
      </c>
      <c r="AO41" s="35">
        <f t="shared" si="24"/>
        <v>0</v>
      </c>
      <c r="AP41" s="35">
        <f t="shared" si="24"/>
        <v>0</v>
      </c>
      <c r="AQ41" s="35">
        <f t="shared" si="24"/>
        <v>0</v>
      </c>
      <c r="AR41" s="35">
        <f t="shared" si="24"/>
        <v>0</v>
      </c>
      <c r="AS41" s="35">
        <f t="shared" si="24"/>
        <v>0</v>
      </c>
      <c r="AT41" s="19" t="s">
        <v>52</v>
      </c>
      <c r="AU41" s="42">
        <f>SUM(E41:AS41)</f>
        <v>0</v>
      </c>
    </row>
    <row r="42" spans="1:48">
      <c r="A42" s="33" t="s">
        <v>39</v>
      </c>
      <c r="B42" s="34"/>
      <c r="C42" s="34"/>
      <c r="D42" s="34"/>
      <c r="E42" s="35">
        <f t="shared" ref="E42:AS42" si="25">-E10</f>
        <v>-887.15805</v>
      </c>
      <c r="F42" s="35">
        <f t="shared" si="25"/>
        <v>-887.15805</v>
      </c>
      <c r="G42" s="35">
        <f t="shared" si="25"/>
        <v>-887.15805</v>
      </c>
      <c r="H42" s="35">
        <f t="shared" si="25"/>
        <v>-887.15805</v>
      </c>
      <c r="I42" s="35">
        <f t="shared" si="25"/>
        <v>-887.15805</v>
      </c>
      <c r="J42" s="35">
        <f t="shared" si="25"/>
        <v>-887.15805</v>
      </c>
      <c r="K42" s="35">
        <f t="shared" si="25"/>
        <v>-887.15805</v>
      </c>
      <c r="L42" s="35">
        <f t="shared" si="25"/>
        <v>-887.15805</v>
      </c>
      <c r="M42" s="35">
        <f t="shared" si="25"/>
        <v>-887.15805</v>
      </c>
      <c r="N42" s="35">
        <f t="shared" si="25"/>
        <v>-887.15805</v>
      </c>
      <c r="O42" s="35">
        <f t="shared" si="25"/>
        <v>-887.15805</v>
      </c>
      <c r="P42" s="35">
        <f t="shared" si="25"/>
        <v>-887.15805</v>
      </c>
      <c r="Q42" s="35">
        <f t="shared" si="25"/>
        <v>-887.15805</v>
      </c>
      <c r="R42" s="35">
        <f t="shared" si="25"/>
        <v>-887.15805</v>
      </c>
      <c r="S42" s="35">
        <f t="shared" si="25"/>
        <v>-887.15805</v>
      </c>
      <c r="T42" s="35">
        <f t="shared" si="25"/>
        <v>-887.15805</v>
      </c>
      <c r="U42" s="35">
        <f t="shared" si="25"/>
        <v>-887.15805</v>
      </c>
      <c r="V42" s="35">
        <f t="shared" si="25"/>
        <v>-887.15805</v>
      </c>
      <c r="W42" s="35">
        <f t="shared" si="25"/>
        <v>-887.15805</v>
      </c>
      <c r="X42" s="35">
        <f t="shared" si="25"/>
        <v>-887.15805</v>
      </c>
      <c r="Y42" s="35">
        <f t="shared" si="25"/>
        <v>-887.15805</v>
      </c>
      <c r="Z42" s="35">
        <f t="shared" si="25"/>
        <v>-887.15805</v>
      </c>
      <c r="AA42" s="35">
        <f t="shared" si="25"/>
        <v>-887.15805</v>
      </c>
      <c r="AB42" s="35">
        <f t="shared" si="25"/>
        <v>-887.15805</v>
      </c>
      <c r="AC42" s="35">
        <f t="shared" si="25"/>
        <v>-887.15805</v>
      </c>
      <c r="AD42" s="35">
        <f t="shared" si="25"/>
        <v>-887.15805</v>
      </c>
      <c r="AE42" s="35">
        <f t="shared" si="25"/>
        <v>-887.15805</v>
      </c>
      <c r="AF42" s="35">
        <f t="shared" si="25"/>
        <v>-887.15805</v>
      </c>
      <c r="AG42" s="35">
        <f t="shared" si="25"/>
        <v>-887.15805</v>
      </c>
      <c r="AH42" s="35">
        <f t="shared" si="25"/>
        <v>-887.15805</v>
      </c>
      <c r="AI42" s="35">
        <f t="shared" si="25"/>
        <v>-887.15805</v>
      </c>
      <c r="AJ42" s="35">
        <f t="shared" si="25"/>
        <v>-887.15805</v>
      </c>
      <c r="AK42" s="35">
        <f t="shared" si="25"/>
        <v>-887.15805</v>
      </c>
      <c r="AL42" s="35">
        <f t="shared" si="25"/>
        <v>-887.15805</v>
      </c>
      <c r="AM42" s="35">
        <f t="shared" si="25"/>
        <v>-887.15805</v>
      </c>
      <c r="AN42" s="35">
        <f t="shared" si="25"/>
        <v>-887.15805</v>
      </c>
      <c r="AO42" s="35">
        <f t="shared" si="25"/>
        <v>-887.15805</v>
      </c>
      <c r="AP42" s="35">
        <f t="shared" si="25"/>
        <v>-887.15805</v>
      </c>
      <c r="AQ42" s="35">
        <f t="shared" si="25"/>
        <v>-887.15805</v>
      </c>
      <c r="AR42" s="35">
        <f t="shared" si="25"/>
        <v>-887.15805</v>
      </c>
      <c r="AS42" s="35">
        <f t="shared" si="25"/>
        <v>-887.15805</v>
      </c>
      <c r="AT42" s="19" t="s">
        <v>52</v>
      </c>
      <c r="AU42" s="42">
        <f>SUM(E42:AS42)</f>
        <v>-36373.480049999962</v>
      </c>
    </row>
    <row r="43" spans="1:48" s="20" customFormat="1">
      <c r="A43" s="17" t="s">
        <v>86</v>
      </c>
      <c r="B43" s="99">
        <f>SUM(B36:B42)</f>
        <v>0</v>
      </c>
      <c r="C43" s="99">
        <f t="shared" ref="C43:AS43" si="26">SUM(C36:C42)</f>
        <v>0</v>
      </c>
      <c r="D43" s="99">
        <f t="shared" si="26"/>
        <v>63000</v>
      </c>
      <c r="E43" s="100">
        <f t="shared" si="26"/>
        <v>-98416.662802311126</v>
      </c>
      <c r="F43" s="100">
        <f t="shared" si="26"/>
        <v>-127755.7527333147</v>
      </c>
      <c r="G43" s="100">
        <f t="shared" si="26"/>
        <v>-125331.12992553186</v>
      </c>
      <c r="H43" s="100">
        <f t="shared" si="26"/>
        <v>-122821.40285719576</v>
      </c>
      <c r="I43" s="100">
        <f t="shared" si="26"/>
        <v>-120223.58436876105</v>
      </c>
      <c r="J43" s="100">
        <f t="shared" si="26"/>
        <v>-51609.578025668103</v>
      </c>
      <c r="K43" s="100">
        <f t="shared" si="26"/>
        <v>17098.812220163927</v>
      </c>
      <c r="L43" s="100">
        <f t="shared" si="26"/>
        <v>19979.894947128771</v>
      </c>
      <c r="M43" s="100">
        <f t="shared" si="26"/>
        <v>22962.103677810046</v>
      </c>
      <c r="N43" s="100">
        <f t="shared" si="26"/>
        <v>26048.987934938275</v>
      </c>
      <c r="O43" s="100">
        <f t="shared" si="26"/>
        <v>24301.462954149109</v>
      </c>
      <c r="P43" s="100">
        <f t="shared" si="26"/>
        <v>39316.96708305896</v>
      </c>
      <c r="Q43" s="100">
        <f t="shared" si="26"/>
        <v>42740.442957120424</v>
      </c>
      <c r="R43" s="100">
        <f t="shared" si="26"/>
        <v>46284.08283436147</v>
      </c>
      <c r="S43" s="100">
        <f t="shared" si="26"/>
        <v>49952.104471293685</v>
      </c>
      <c r="T43" s="100">
        <f t="shared" si="26"/>
        <v>29008.264662887661</v>
      </c>
      <c r="U43" s="100">
        <f t="shared" si="26"/>
        <v>54403.182586608222</v>
      </c>
      <c r="V43" s="100">
        <f t="shared" si="26"/>
        <v>58471.162638200913</v>
      </c>
      <c r="W43" s="100">
        <f t="shared" si="26"/>
        <v>62681.928789604513</v>
      </c>
      <c r="X43" s="100">
        <f t="shared" si="26"/>
        <v>67040.492832922318</v>
      </c>
      <c r="Y43" s="100">
        <f t="shared" si="26"/>
        <v>90726.688285804354</v>
      </c>
      <c r="Z43" s="100">
        <f t="shared" si="26"/>
        <v>124666.88713109377</v>
      </c>
      <c r="AA43" s="100">
        <f t="shared" si="26"/>
        <v>129500.70583142043</v>
      </c>
      <c r="AB43" s="100">
        <f t="shared" si="26"/>
        <v>134504.19156812859</v>
      </c>
      <c r="AC43" s="100">
        <f t="shared" si="26"/>
        <v>139683.29965419526</v>
      </c>
      <c r="AD43" s="100">
        <f t="shared" si="26"/>
        <v>43183.867196582723</v>
      </c>
      <c r="AE43" s="100">
        <f t="shared" si="26"/>
        <v>48733.204383244389</v>
      </c>
      <c r="AF43" s="100">
        <f t="shared" si="26"/>
        <v>54477.038652657822</v>
      </c>
      <c r="AG43" s="100">
        <f t="shared" si="26"/>
        <v>60422.481504927622</v>
      </c>
      <c r="AH43" s="100">
        <f t="shared" si="26"/>
        <v>66576.609401312133</v>
      </c>
      <c r="AI43" s="100">
        <f t="shared" si="26"/>
        <v>12935.517803951918</v>
      </c>
      <c r="AJ43" s="100">
        <f t="shared" si="26"/>
        <v>24407.629727712796</v>
      </c>
      <c r="AK43" s="100">
        <f t="shared" si="26"/>
        <v>31232.79925925898</v>
      </c>
      <c r="AL43" s="100">
        <f t="shared" si="26"/>
        <v>38297.532241362467</v>
      </c>
      <c r="AM43" s="100">
        <f t="shared" si="26"/>
        <v>45610.237351137766</v>
      </c>
      <c r="AN43" s="100">
        <f t="shared" si="26"/>
        <v>57361.088954786741</v>
      </c>
      <c r="AO43" s="100">
        <f t="shared" si="26"/>
        <v>69377.625833610975</v>
      </c>
      <c r="AP43" s="100">
        <f t="shared" si="26"/>
        <v>77487.702996248816</v>
      </c>
      <c r="AQ43" s="100">
        <f t="shared" si="26"/>
        <v>85882.443867295195</v>
      </c>
      <c r="AR43" s="100">
        <f t="shared" si="26"/>
        <v>94571.840142915404</v>
      </c>
      <c r="AS43" s="100">
        <f t="shared" si="26"/>
        <v>-277120.45330689446</v>
      </c>
      <c r="AT43" s="19" t="s">
        <v>87</v>
      </c>
      <c r="AU43" s="42">
        <f>AVERAGE(E43:AS43)</f>
        <v>26015.871179468766</v>
      </c>
      <c r="AV43" s="20" t="s">
        <v>88</v>
      </c>
    </row>
    <row r="44" spans="1:48">
      <c r="A44" s="15"/>
      <c r="B44" s="15"/>
      <c r="C44" s="15"/>
      <c r="D44" s="15"/>
      <c r="E44" s="15"/>
      <c r="F44" s="15"/>
      <c r="G44" s="15"/>
      <c r="H44" s="15"/>
      <c r="I44" s="15"/>
      <c r="J44" s="15"/>
      <c r="K44" s="15"/>
      <c r="L44" s="15"/>
      <c r="M44" s="15"/>
      <c r="N44" s="15"/>
      <c r="O44" s="15"/>
      <c r="P44" s="15"/>
      <c r="Q44" s="15"/>
      <c r="R44" s="15"/>
      <c r="S44" s="15"/>
      <c r="T44" s="15"/>
      <c r="U44" s="15"/>
      <c r="V44" s="15"/>
      <c r="W44" s="15"/>
      <c r="X44" s="15"/>
      <c r="Y44" s="15"/>
      <c r="Z44" s="15"/>
      <c r="AA44" s="15"/>
      <c r="AB44" s="15"/>
      <c r="AC44" s="15"/>
      <c r="AD44" s="15"/>
      <c r="AE44" s="15"/>
      <c r="AF44" s="15"/>
      <c r="AG44" s="15"/>
      <c r="AH44" s="15"/>
      <c r="AI44" s="15"/>
      <c r="AJ44" s="15"/>
      <c r="AK44" s="15"/>
      <c r="AL44" s="15"/>
      <c r="AM44" s="15"/>
      <c r="AN44" s="15"/>
      <c r="AO44" s="15"/>
      <c r="AP44" s="15"/>
      <c r="AQ44" s="15"/>
      <c r="AR44" s="15"/>
      <c r="AS44" s="15"/>
      <c r="AV44" s="20">
        <f>AU43/(5756/66)</f>
        <v>298.30568065408937</v>
      </c>
    </row>
    <row r="45" spans="1:48">
      <c r="A45" s="17" t="s">
        <v>43</v>
      </c>
      <c r="B45" s="100">
        <f t="shared" ref="B45:AS45" si="27">B43-B33-B31</f>
        <v>0</v>
      </c>
      <c r="C45" s="100">
        <f t="shared" si="27"/>
        <v>0</v>
      </c>
      <c r="D45" s="100">
        <f t="shared" si="27"/>
        <v>63000</v>
      </c>
      <c r="E45" s="100">
        <f t="shared" si="27"/>
        <v>13333.13750000007</v>
      </c>
      <c r="F45" s="100">
        <f t="shared" si="27"/>
        <v>95743.847871307691</v>
      </c>
      <c r="G45" s="100">
        <f t="shared" si="27"/>
        <v>98168.470679090533</v>
      </c>
      <c r="H45" s="100">
        <f t="shared" si="27"/>
        <v>100678.19774742663</v>
      </c>
      <c r="I45" s="100">
        <f t="shared" si="27"/>
        <v>103276.01623586135</v>
      </c>
      <c r="J45" s="100">
        <f t="shared" si="27"/>
        <v>171890.02257895429</v>
      </c>
      <c r="K45" s="100">
        <f t="shared" si="27"/>
        <v>240598.41282478633</v>
      </c>
      <c r="L45" s="100">
        <f t="shared" si="27"/>
        <v>243479.49555175117</v>
      </c>
      <c r="M45" s="100">
        <f t="shared" si="27"/>
        <v>246461.70428243245</v>
      </c>
      <c r="N45" s="100">
        <f t="shared" si="27"/>
        <v>249548.58853956067</v>
      </c>
      <c r="O45" s="100">
        <f t="shared" si="27"/>
        <v>252743.82243411403</v>
      </c>
      <c r="P45" s="100">
        <f t="shared" si="27"/>
        <v>256051.20903836636</v>
      </c>
      <c r="Q45" s="100">
        <f t="shared" si="27"/>
        <v>259474.68491242782</v>
      </c>
      <c r="R45" s="100">
        <f t="shared" si="27"/>
        <v>263018.3247896689</v>
      </c>
      <c r="S45" s="100">
        <f t="shared" si="27"/>
        <v>266686.34642660106</v>
      </c>
      <c r="T45" s="100">
        <f t="shared" si="27"/>
        <v>270483.11562298972</v>
      </c>
      <c r="U45" s="100">
        <f t="shared" si="27"/>
        <v>274413.15141817147</v>
      </c>
      <c r="V45" s="100">
        <f t="shared" si="27"/>
        <v>278481.13146976416</v>
      </c>
      <c r="W45" s="100">
        <f t="shared" si="27"/>
        <v>282691.89762116777</v>
      </c>
      <c r="X45" s="100">
        <f t="shared" si="27"/>
        <v>287050.46166448557</v>
      </c>
      <c r="Y45" s="100">
        <f t="shared" si="27"/>
        <v>291562.01130572392</v>
      </c>
      <c r="Z45" s="100">
        <f t="shared" si="27"/>
        <v>296231.91633936961</v>
      </c>
      <c r="AA45" s="100">
        <f t="shared" si="27"/>
        <v>301065.73503969627</v>
      </c>
      <c r="AB45" s="100">
        <f t="shared" si="27"/>
        <v>306069.22077640443</v>
      </c>
      <c r="AC45" s="100">
        <f t="shared" si="27"/>
        <v>311248.3288624711</v>
      </c>
      <c r="AD45" s="100">
        <f t="shared" si="27"/>
        <v>316608.94864235859</v>
      </c>
      <c r="AE45" s="100">
        <f t="shared" si="27"/>
        <v>322158.28582902026</v>
      </c>
      <c r="AF45" s="100">
        <f t="shared" si="27"/>
        <v>327902.12009843369</v>
      </c>
      <c r="AG45" s="100">
        <f t="shared" si="27"/>
        <v>333847.56295070349</v>
      </c>
      <c r="AH45" s="100">
        <f t="shared" si="27"/>
        <v>340001.690847088</v>
      </c>
      <c r="AI45" s="100">
        <f t="shared" si="27"/>
        <v>346371.82863263565</v>
      </c>
      <c r="AJ45" s="100">
        <f t="shared" si="27"/>
        <v>352965.55825445591</v>
      </c>
      <c r="AK45" s="100">
        <f t="shared" si="27"/>
        <v>359790.7277860021</v>
      </c>
      <c r="AL45" s="100">
        <f t="shared" si="27"/>
        <v>366855.46076810558</v>
      </c>
      <c r="AM45" s="100">
        <f t="shared" si="27"/>
        <v>374168.16587788088</v>
      </c>
      <c r="AN45" s="100">
        <f t="shared" si="27"/>
        <v>381737.54693700932</v>
      </c>
      <c r="AO45" s="100">
        <f t="shared" si="27"/>
        <v>389572.61327131308</v>
      </c>
      <c r="AP45" s="100">
        <f t="shared" si="27"/>
        <v>397682.69043395092</v>
      </c>
      <c r="AQ45" s="100">
        <f t="shared" si="27"/>
        <v>406077.43130499724</v>
      </c>
      <c r="AR45" s="100">
        <f t="shared" si="27"/>
        <v>414766.82758061745</v>
      </c>
      <c r="AS45" s="100">
        <f t="shared" si="27"/>
        <v>344503.07973979751</v>
      </c>
    </row>
    <row r="46" spans="1:48">
      <c r="A46" s="33" t="s">
        <v>89</v>
      </c>
      <c r="B46" s="35"/>
      <c r="C46" s="35"/>
      <c r="D46" s="35"/>
      <c r="E46" s="35">
        <f t="shared" ref="E46:AS46" si="28">E32*-1</f>
        <v>290589</v>
      </c>
      <c r="F46" s="35">
        <f t="shared" si="28"/>
        <v>205477.46247599999</v>
      </c>
      <c r="G46" s="35">
        <f t="shared" si="28"/>
        <v>203052.83966821709</v>
      </c>
      <c r="H46" s="35">
        <f t="shared" si="28"/>
        <v>200543.11259988099</v>
      </c>
      <c r="I46" s="35">
        <f t="shared" si="28"/>
        <v>197945.2941114463</v>
      </c>
      <c r="J46" s="35">
        <f t="shared" si="28"/>
        <v>195256.29219406759</v>
      </c>
      <c r="K46" s="35">
        <f t="shared" si="28"/>
        <v>188931.32887764173</v>
      </c>
      <c r="L46" s="35">
        <f t="shared" si="28"/>
        <v>186050.24615067686</v>
      </c>
      <c r="M46" s="35">
        <f t="shared" si="28"/>
        <v>183068.03741999558</v>
      </c>
      <c r="N46" s="35">
        <f t="shared" si="28"/>
        <v>179981.15316286735</v>
      </c>
      <c r="O46" s="35">
        <f t="shared" si="28"/>
        <v>176785.91926831397</v>
      </c>
      <c r="P46" s="35">
        <f t="shared" si="28"/>
        <v>173478.53266406167</v>
      </c>
      <c r="Q46" s="35">
        <f t="shared" si="28"/>
        <v>170055.05679000018</v>
      </c>
      <c r="R46" s="35">
        <f t="shared" si="28"/>
        <v>166511.41691275913</v>
      </c>
      <c r="S46" s="35">
        <f t="shared" si="28"/>
        <v>162843.39527582689</v>
      </c>
      <c r="T46" s="35">
        <f t="shared" si="28"/>
        <v>159046.62607943831</v>
      </c>
      <c r="U46" s="35">
        <f t="shared" si="28"/>
        <v>155116.59028425656</v>
      </c>
      <c r="V46" s="35">
        <f t="shared" si="28"/>
        <v>151048.61023266386</v>
      </c>
      <c r="W46" s="35">
        <f t="shared" si="28"/>
        <v>146837.84408126029</v>
      </c>
      <c r="X46" s="35">
        <f t="shared" si="28"/>
        <v>142479.28003794246</v>
      </c>
      <c r="Y46" s="35">
        <f t="shared" si="28"/>
        <v>137967.73039670417</v>
      </c>
      <c r="Z46" s="35">
        <f t="shared" si="28"/>
        <v>133297.82536305842</v>
      </c>
      <c r="AA46" s="35">
        <f t="shared" si="28"/>
        <v>128464.00666273173</v>
      </c>
      <c r="AB46" s="35">
        <f t="shared" si="28"/>
        <v>123460.52092602357</v>
      </c>
      <c r="AC46" s="35">
        <f t="shared" si="28"/>
        <v>118281.41283995693</v>
      </c>
      <c r="AD46" s="35">
        <f t="shared" si="28"/>
        <v>112920.51806006939</v>
      </c>
      <c r="AE46" s="35">
        <f t="shared" si="28"/>
        <v>107371.45587340777</v>
      </c>
      <c r="AF46" s="35">
        <f t="shared" si="28"/>
        <v>101627.62160399434</v>
      </c>
      <c r="AG46" s="35">
        <f t="shared" si="28"/>
        <v>95682.17875172451</v>
      </c>
      <c r="AH46" s="35">
        <f t="shared" si="28"/>
        <v>89528.050855340014</v>
      </c>
      <c r="AI46" s="35">
        <f t="shared" si="28"/>
        <v>83157.913069792397</v>
      </c>
      <c r="AJ46" s="35">
        <f t="shared" si="28"/>
        <v>76564.183447972086</v>
      </c>
      <c r="AK46" s="35">
        <f t="shared" si="28"/>
        <v>69739.013916425873</v>
      </c>
      <c r="AL46" s="35">
        <f t="shared" si="28"/>
        <v>62674.280934322414</v>
      </c>
      <c r="AM46" s="35">
        <f t="shared" si="28"/>
        <v>55361.575824547108</v>
      </c>
      <c r="AN46" s="35">
        <f t="shared" si="28"/>
        <v>47792.19476541871</v>
      </c>
      <c r="AO46" s="35">
        <f t="shared" si="28"/>
        <v>39957.128431114907</v>
      </c>
      <c r="AP46" s="35">
        <f t="shared" si="28"/>
        <v>31847.051268477058</v>
      </c>
      <c r="AQ46" s="35">
        <f t="shared" si="28"/>
        <v>23452.310397430636</v>
      </c>
      <c r="AR46" s="35">
        <f t="shared" si="28"/>
        <v>14762.914121810505</v>
      </c>
      <c r="AS46" s="35">
        <f t="shared" si="28"/>
        <v>5768.5200369161375</v>
      </c>
      <c r="AT46" s="19" t="s">
        <v>52</v>
      </c>
      <c r="AU46" s="42">
        <f>SUM(E46:AS46)</f>
        <v>5294776.4458345566</v>
      </c>
    </row>
    <row r="47" spans="1:48">
      <c r="A47" s="33" t="s">
        <v>90</v>
      </c>
      <c r="B47" s="35"/>
      <c r="C47" s="35"/>
      <c r="D47" s="35"/>
      <c r="E47" s="35">
        <f t="shared" ref="E47:AS47" si="29">-E3</f>
        <v>-290589</v>
      </c>
      <c r="F47" s="35">
        <f t="shared" si="29"/>
        <v>-274555.03534730757</v>
      </c>
      <c r="G47" s="35">
        <f t="shared" si="29"/>
        <v>-274555.03534730757</v>
      </c>
      <c r="H47" s="35">
        <f t="shared" si="29"/>
        <v>-274555.03534730757</v>
      </c>
      <c r="I47" s="35">
        <f t="shared" si="29"/>
        <v>-274555.03534730757</v>
      </c>
      <c r="J47" s="35">
        <f t="shared" si="29"/>
        <v>-274555.03534730757</v>
      </c>
      <c r="K47" s="35">
        <f t="shared" si="29"/>
        <v>-271013.45785099943</v>
      </c>
      <c r="L47" s="35">
        <f t="shared" si="29"/>
        <v>-271013.45785099943</v>
      </c>
      <c r="M47" s="35">
        <f t="shared" si="29"/>
        <v>-271013.45785099943</v>
      </c>
      <c r="N47" s="35">
        <f t="shared" si="29"/>
        <v>-271013.45785099943</v>
      </c>
      <c r="O47" s="35">
        <f t="shared" si="29"/>
        <v>-271013.45785099943</v>
      </c>
      <c r="P47" s="35">
        <f t="shared" si="29"/>
        <v>-271013.45785099943</v>
      </c>
      <c r="Q47" s="35">
        <f t="shared" si="29"/>
        <v>-271013.45785099943</v>
      </c>
      <c r="R47" s="35">
        <f t="shared" si="29"/>
        <v>-271013.45785099943</v>
      </c>
      <c r="S47" s="35">
        <f t="shared" si="29"/>
        <v>-271013.45785099943</v>
      </c>
      <c r="T47" s="35">
        <f t="shared" si="29"/>
        <v>-271013.45785099943</v>
      </c>
      <c r="U47" s="35">
        <f t="shared" si="29"/>
        <v>-271013.45785099943</v>
      </c>
      <c r="V47" s="35">
        <f t="shared" si="29"/>
        <v>-271013.45785099943</v>
      </c>
      <c r="W47" s="35">
        <f t="shared" si="29"/>
        <v>-271013.45785099943</v>
      </c>
      <c r="X47" s="35">
        <f t="shared" si="29"/>
        <v>-271013.45785099943</v>
      </c>
      <c r="Y47" s="35">
        <f t="shared" si="29"/>
        <v>-271013.45785099943</v>
      </c>
      <c r="Z47" s="35">
        <f t="shared" si="29"/>
        <v>-271013.45785099943</v>
      </c>
      <c r="AA47" s="35">
        <f t="shared" si="29"/>
        <v>-271013.45785099943</v>
      </c>
      <c r="AB47" s="35">
        <f t="shared" si="29"/>
        <v>-271013.45785099943</v>
      </c>
      <c r="AC47" s="35">
        <f t="shared" si="29"/>
        <v>-271013.45785099943</v>
      </c>
      <c r="AD47" s="35">
        <f t="shared" si="29"/>
        <v>-271013.45785099943</v>
      </c>
      <c r="AE47" s="35">
        <f t="shared" si="29"/>
        <v>-271013.45785099943</v>
      </c>
      <c r="AF47" s="35">
        <f t="shared" si="29"/>
        <v>-271013.45785099943</v>
      </c>
      <c r="AG47" s="35">
        <f t="shared" si="29"/>
        <v>-271013.45785099943</v>
      </c>
      <c r="AH47" s="35">
        <f t="shared" si="29"/>
        <v>-271013.45785099943</v>
      </c>
      <c r="AI47" s="35">
        <f t="shared" si="29"/>
        <v>-271013.45785099943</v>
      </c>
      <c r="AJ47" s="35">
        <f t="shared" si="29"/>
        <v>-271013.45785099937</v>
      </c>
      <c r="AK47" s="35">
        <f t="shared" si="29"/>
        <v>-271013.45785099937</v>
      </c>
      <c r="AL47" s="35">
        <f t="shared" si="29"/>
        <v>-271013.45785099937</v>
      </c>
      <c r="AM47" s="35">
        <f t="shared" si="29"/>
        <v>-271013.45785099937</v>
      </c>
      <c r="AN47" s="35">
        <f t="shared" si="29"/>
        <v>-271013.45785099937</v>
      </c>
      <c r="AO47" s="35">
        <f t="shared" si="29"/>
        <v>-271013.45785099937</v>
      </c>
      <c r="AP47" s="35">
        <f t="shared" si="29"/>
        <v>-271013.45785099937</v>
      </c>
      <c r="AQ47" s="35">
        <f t="shared" si="29"/>
        <v>-271013.45785099937</v>
      </c>
      <c r="AR47" s="35">
        <f t="shared" si="29"/>
        <v>-271013.45785099937</v>
      </c>
      <c r="AS47" s="35">
        <f t="shared" si="29"/>
        <v>-271013.45785099937</v>
      </c>
      <c r="AT47" s="19" t="s">
        <v>52</v>
      </c>
      <c r="AU47" s="42">
        <f>SUM(E47:AS47)</f>
        <v>-11148835.20152152</v>
      </c>
    </row>
    <row r="48" spans="1:48">
      <c r="A48" s="33" t="s">
        <v>91</v>
      </c>
      <c r="B48" s="35"/>
      <c r="C48" s="35"/>
      <c r="D48" s="35"/>
      <c r="E48" s="35">
        <f>-[49]GER!$Z7</f>
        <v>0</v>
      </c>
      <c r="F48" s="35">
        <f>-[49]GER!$Z8</f>
        <v>0</v>
      </c>
      <c r="G48" s="35">
        <f>-[49]GER!$Z9</f>
        <v>0</v>
      </c>
      <c r="H48" s="35">
        <f>-[49]GER!$Z10</f>
        <v>0</v>
      </c>
      <c r="I48" s="35">
        <f>-[49]GER!$Z11</f>
        <v>0</v>
      </c>
      <c r="J48" s="35">
        <f>-[49]GER!$Z12</f>
        <v>0</v>
      </c>
      <c r="K48" s="35">
        <f>-[49]GER!$Z13</f>
        <v>0</v>
      </c>
      <c r="L48" s="35">
        <f>-[49]GER!$Z14</f>
        <v>0</v>
      </c>
      <c r="M48" s="35">
        <f>-[49]GER!$Z15</f>
        <v>0</v>
      </c>
      <c r="N48" s="35" t="e">
        <f>-[49]GER!#REF!</f>
        <v>#REF!</v>
      </c>
      <c r="O48" s="35">
        <f>-[49]GER!$Z17</f>
        <v>-166508.76400000002</v>
      </c>
      <c r="P48" s="35" t="e">
        <f>-[49]GER!#REF!</f>
        <v>#REF!</v>
      </c>
      <c r="Q48" s="35">
        <f>-[49]GER!$Z18</f>
        <v>0</v>
      </c>
      <c r="R48" s="35">
        <f>-[49]GER!$Z19</f>
        <v>0</v>
      </c>
      <c r="S48" s="35">
        <f>-[49]GER!$Z20</f>
        <v>0</v>
      </c>
      <c r="T48" s="35">
        <f>-[49]GER!$Z21</f>
        <v>0</v>
      </c>
      <c r="U48" s="35">
        <f>-[49]GER!$Z22</f>
        <v>-693082.36699999997</v>
      </c>
      <c r="V48" s="35">
        <f>-[49]GER!$Z23</f>
        <v>0</v>
      </c>
      <c r="W48" s="35">
        <f>-[49]GER!$Z24</f>
        <v>0</v>
      </c>
      <c r="X48" s="35">
        <f>-[49]GER!$Z25</f>
        <v>0</v>
      </c>
      <c r="Y48" s="35">
        <f>-[49]GER!$Z26</f>
        <v>0</v>
      </c>
      <c r="Z48" s="35">
        <f>-[49]GER!$Z27</f>
        <v>-368421.72400000005</v>
      </c>
      <c r="AA48" s="35">
        <f>-[49]GER!$Z28</f>
        <v>0</v>
      </c>
      <c r="AB48" s="35">
        <f>-[49]GER!$Z29</f>
        <v>0</v>
      </c>
      <c r="AC48" s="35">
        <f>-[49]GER!$Z30</f>
        <v>0</v>
      </c>
      <c r="AD48" s="35">
        <f>-[49]GER!$Z31</f>
        <v>0</v>
      </c>
      <c r="AE48" s="35">
        <f>-[49]GER!$Z32</f>
        <v>-1629760.8358</v>
      </c>
      <c r="AF48" s="35">
        <f>-[49]GER!$Z33</f>
        <v>0</v>
      </c>
      <c r="AG48" s="35">
        <f>-[49]GER!$Z34</f>
        <v>0</v>
      </c>
      <c r="AH48" s="35">
        <f>-GER!$Z35</f>
        <v>0</v>
      </c>
      <c r="AI48" s="35">
        <f>-GER!$Z36</f>
        <v>0</v>
      </c>
      <c r="AJ48" s="35">
        <f>-GER!$Z38</f>
        <v>0</v>
      </c>
      <c r="AK48" s="35">
        <f>-GER!$Z39</f>
        <v>0</v>
      </c>
      <c r="AL48" s="35">
        <f>-GER!$Z40</f>
        <v>0</v>
      </c>
      <c r="AM48" s="35">
        <f>-GER!$Z41</f>
        <v>0</v>
      </c>
      <c r="AN48" s="35">
        <f>-GER!$Z42</f>
        <v>0</v>
      </c>
      <c r="AO48" s="35">
        <f>-GER!$Z43</f>
        <v>0</v>
      </c>
      <c r="AP48" s="35">
        <f>-GER!$Z44</f>
        <v>0</v>
      </c>
      <c r="AQ48" s="35">
        <f>-GER!$Z45</f>
        <v>0</v>
      </c>
      <c r="AR48" s="35">
        <f>-GER!$Z46</f>
        <v>0</v>
      </c>
      <c r="AS48" s="35">
        <f>-GER!$Z48</f>
        <v>0</v>
      </c>
      <c r="AT48" s="19" t="s">
        <v>52</v>
      </c>
      <c r="AU48" s="42" t="e">
        <f>SUM(E48:AS48)</f>
        <v>#REF!</v>
      </c>
    </row>
    <row r="49" spans="1:48">
      <c r="A49" s="33"/>
      <c r="B49" s="35"/>
      <c r="C49" s="35"/>
      <c r="D49" s="35"/>
      <c r="E49" s="35"/>
      <c r="F49" s="35"/>
      <c r="G49" s="35"/>
      <c r="H49" s="35"/>
      <c r="I49" s="35"/>
      <c r="J49" s="35"/>
      <c r="K49" s="35"/>
      <c r="L49" s="35"/>
      <c r="M49" s="35"/>
      <c r="N49" s="35"/>
      <c r="O49" s="35"/>
      <c r="P49" s="35"/>
      <c r="Q49" s="35"/>
      <c r="R49" s="35"/>
      <c r="S49" s="35"/>
      <c r="T49" s="35"/>
      <c r="U49" s="35"/>
      <c r="V49" s="35"/>
      <c r="W49" s="35"/>
      <c r="X49" s="35"/>
      <c r="Y49" s="35"/>
      <c r="Z49" s="35"/>
      <c r="AA49" s="35"/>
      <c r="AB49" s="35"/>
      <c r="AC49" s="35"/>
      <c r="AD49" s="35"/>
      <c r="AE49" s="35"/>
      <c r="AF49" s="35"/>
      <c r="AG49" s="35"/>
      <c r="AH49" s="35"/>
      <c r="AI49" s="35"/>
      <c r="AJ49" s="35"/>
      <c r="AK49" s="35"/>
      <c r="AL49" s="35"/>
      <c r="AM49" s="35"/>
      <c r="AN49" s="35"/>
      <c r="AO49" s="35"/>
      <c r="AP49" s="35"/>
      <c r="AQ49" s="35"/>
      <c r="AR49" s="35"/>
      <c r="AS49" s="35"/>
    </row>
    <row r="50" spans="1:48">
      <c r="A50" s="17" t="s">
        <v>92</v>
      </c>
      <c r="B50" s="100">
        <f>SUM(B45:B49)</f>
        <v>0</v>
      </c>
      <c r="C50" s="100">
        <f>SUM(C45:C49)</f>
        <v>0</v>
      </c>
      <c r="D50" s="100">
        <f>SUM(D45:D49)</f>
        <v>63000</v>
      </c>
      <c r="E50" s="100">
        <f>SUM(E45:E49)</f>
        <v>13333.13750000007</v>
      </c>
      <c r="F50" s="100">
        <f t="shared" ref="F50:AS50" si="30">SUM(F45:F49)</f>
        <v>26666.27500000014</v>
      </c>
      <c r="G50" s="100">
        <f t="shared" si="30"/>
        <v>26666.275000000023</v>
      </c>
      <c r="H50" s="100">
        <f t="shared" si="30"/>
        <v>26666.275000000023</v>
      </c>
      <c r="I50" s="100">
        <f t="shared" si="30"/>
        <v>26666.275000000081</v>
      </c>
      <c r="J50" s="100">
        <f t="shared" si="30"/>
        <v>92591.279425714281</v>
      </c>
      <c r="K50" s="100">
        <f t="shared" si="30"/>
        <v>158516.28385142866</v>
      </c>
      <c r="L50" s="100">
        <f t="shared" si="30"/>
        <v>158516.2838514286</v>
      </c>
      <c r="M50" s="100">
        <f t="shared" si="30"/>
        <v>158516.2838514286</v>
      </c>
      <c r="N50" s="100" t="e">
        <f t="shared" si="30"/>
        <v>#REF!</v>
      </c>
      <c r="O50" s="100">
        <f t="shared" si="30"/>
        <v>-7992.4801485714852</v>
      </c>
      <c r="P50" s="100" t="e">
        <f t="shared" si="30"/>
        <v>#REF!</v>
      </c>
      <c r="Q50" s="100">
        <f t="shared" si="30"/>
        <v>158516.28385142854</v>
      </c>
      <c r="R50" s="100">
        <f t="shared" si="30"/>
        <v>158516.2838514286</v>
      </c>
      <c r="S50" s="100">
        <f t="shared" si="30"/>
        <v>158516.28385142854</v>
      </c>
      <c r="T50" s="100">
        <f t="shared" si="30"/>
        <v>158516.2838514286</v>
      </c>
      <c r="U50" s="100">
        <f t="shared" si="30"/>
        <v>-534566.08314857143</v>
      </c>
      <c r="V50" s="100">
        <f t="shared" si="30"/>
        <v>158516.2838514286</v>
      </c>
      <c r="W50" s="100">
        <f t="shared" si="30"/>
        <v>158516.28385142866</v>
      </c>
      <c r="X50" s="100">
        <f t="shared" si="30"/>
        <v>158516.2838514286</v>
      </c>
      <c r="Y50" s="100">
        <f t="shared" si="30"/>
        <v>158516.28385142866</v>
      </c>
      <c r="Z50" s="100">
        <f t="shared" si="30"/>
        <v>-209905.44014857145</v>
      </c>
      <c r="AA50" s="100">
        <f t="shared" si="30"/>
        <v>158516.28385142854</v>
      </c>
      <c r="AB50" s="100">
        <f t="shared" si="30"/>
        <v>158516.28385142854</v>
      </c>
      <c r="AC50" s="100">
        <f t="shared" si="30"/>
        <v>158516.2838514286</v>
      </c>
      <c r="AD50" s="100">
        <f t="shared" si="30"/>
        <v>158516.00885142852</v>
      </c>
      <c r="AE50" s="100">
        <f t="shared" si="30"/>
        <v>-1471244.5519485713</v>
      </c>
      <c r="AF50" s="100">
        <f t="shared" si="30"/>
        <v>158516.2838514286</v>
      </c>
      <c r="AG50" s="100">
        <f t="shared" si="30"/>
        <v>158516.28385142854</v>
      </c>
      <c r="AH50" s="100">
        <f t="shared" si="30"/>
        <v>158516.2838514286</v>
      </c>
      <c r="AI50" s="100">
        <f t="shared" si="30"/>
        <v>158516.2838514286</v>
      </c>
      <c r="AJ50" s="100">
        <f t="shared" si="30"/>
        <v>158516.2838514286</v>
      </c>
      <c r="AK50" s="100">
        <f t="shared" si="30"/>
        <v>158516.2838514286</v>
      </c>
      <c r="AL50" s="100">
        <f t="shared" si="30"/>
        <v>158516.2838514286</v>
      </c>
      <c r="AM50" s="100">
        <f t="shared" si="30"/>
        <v>158516.2838514286</v>
      </c>
      <c r="AN50" s="100">
        <f t="shared" si="30"/>
        <v>158516.28385142866</v>
      </c>
      <c r="AO50" s="100">
        <f t="shared" si="30"/>
        <v>158516.2838514286</v>
      </c>
      <c r="AP50" s="100">
        <f t="shared" si="30"/>
        <v>158516.2838514286</v>
      </c>
      <c r="AQ50" s="100">
        <f t="shared" si="30"/>
        <v>158516.28385142848</v>
      </c>
      <c r="AR50" s="100">
        <f t="shared" si="30"/>
        <v>158516.2838514286</v>
      </c>
      <c r="AS50" s="100">
        <f t="shared" si="30"/>
        <v>79258.14192571427</v>
      </c>
      <c r="AT50" s="19" t="s">
        <v>93</v>
      </c>
      <c r="AU50" s="42" t="e">
        <f>AVERAGE(E50:AS50)</f>
        <v>#REF!</v>
      </c>
      <c r="AV50" s="20" t="s">
        <v>88</v>
      </c>
    </row>
    <row r="51" spans="1:48">
      <c r="A51" s="15"/>
      <c r="B51" s="15"/>
      <c r="C51" s="15"/>
      <c r="D51" s="15"/>
      <c r="E51" s="101"/>
      <c r="F51" s="101"/>
      <c r="G51" s="101"/>
      <c r="H51" s="101"/>
      <c r="I51" s="101"/>
      <c r="J51" s="101"/>
      <c r="K51" s="101"/>
      <c r="L51" s="101"/>
      <c r="M51" s="101"/>
      <c r="N51" s="101"/>
      <c r="O51" s="101"/>
      <c r="P51" s="101"/>
      <c r="Q51" s="101"/>
      <c r="R51" s="101"/>
      <c r="S51" s="101"/>
      <c r="T51" s="101"/>
      <c r="U51" s="101"/>
      <c r="V51" s="101"/>
      <c r="W51" s="101"/>
      <c r="X51" s="101"/>
      <c r="Y51" s="101"/>
      <c r="Z51" s="101"/>
      <c r="AA51" s="101"/>
      <c r="AB51" s="101"/>
      <c r="AC51" s="101"/>
      <c r="AD51" s="101"/>
      <c r="AE51" s="101"/>
      <c r="AF51" s="101"/>
      <c r="AG51" s="101"/>
      <c r="AH51" s="101"/>
      <c r="AI51" s="101"/>
      <c r="AJ51" s="101"/>
      <c r="AK51" s="101"/>
      <c r="AL51" s="101"/>
      <c r="AM51" s="101"/>
      <c r="AN51" s="101"/>
      <c r="AO51" s="101"/>
      <c r="AP51" s="101"/>
      <c r="AQ51" s="101"/>
      <c r="AR51" s="101"/>
      <c r="AS51" s="101"/>
      <c r="AV51" s="20" t="e">
        <f>AU50/(5756/66)</f>
        <v>#REF!</v>
      </c>
    </row>
    <row r="52" spans="1:48">
      <c r="A52" s="17" t="s">
        <v>94</v>
      </c>
      <c r="B52" s="102"/>
      <c r="C52" s="102"/>
      <c r="D52" s="102"/>
      <c r="E52" s="102">
        <f>+E50/'[49]Plan de financement'!$D$22</f>
        <v>1.1477698553583791E-3</v>
      </c>
      <c r="F52" s="102">
        <f>+F50/'[49]Plan de financement'!$D$22</f>
        <v>2.2955397107167581E-3</v>
      </c>
      <c r="G52" s="102">
        <f>+G50/'[49]Plan de financement'!$D$22</f>
        <v>2.2955397107167477E-3</v>
      </c>
      <c r="H52" s="102">
        <f>+H50/'[49]Plan de financement'!$D$22</f>
        <v>2.2955397107167477E-3</v>
      </c>
      <c r="I52" s="102">
        <f>+I50/'[49]Plan de financement'!$D$22</f>
        <v>2.2955397107167529E-3</v>
      </c>
      <c r="J52" s="102">
        <f>+J50/'[49]Plan de financement'!$D$22</f>
        <v>7.9706280231414978E-3</v>
      </c>
      <c r="K52" s="102">
        <f>+K50/'[49]Plan de financement'!$D$22</f>
        <v>1.3645716335566258E-2</v>
      </c>
      <c r="L52" s="102">
        <f>+L50/'[49]Plan de financement'!$D$22</f>
        <v>1.3645716335566252E-2</v>
      </c>
      <c r="M52" s="102">
        <f>+M50/'[49]Plan de financement'!$D$22</f>
        <v>1.3645716335566252E-2</v>
      </c>
      <c r="N52" s="102" t="e">
        <f>+N50/'[49]Plan de financement'!$D$22</f>
        <v>#REF!</v>
      </c>
      <c r="O52" s="102">
        <f>+O50/'[49]Plan de financement'!$D$22</f>
        <v>-6.8802468916866416E-4</v>
      </c>
      <c r="P52" s="102" t="e">
        <f>+P50/'[49]Plan de financement'!$D$22</f>
        <v>#REF!</v>
      </c>
      <c r="Q52" s="102">
        <f>+Q50/'[49]Plan de financement'!$D$22</f>
        <v>1.3645716335566247E-2</v>
      </c>
      <c r="R52" s="102">
        <f>+R50/'[49]Plan de financement'!$D$22</f>
        <v>1.3645716335566252E-2</v>
      </c>
      <c r="S52" s="102">
        <f>+S50/'[49]Plan de financement'!$D$22</f>
        <v>1.3645716335566247E-2</v>
      </c>
      <c r="T52" s="102">
        <f>+T50/'[49]Plan de financement'!$D$22</f>
        <v>1.3645716335566252E-2</v>
      </c>
      <c r="U52" s="102">
        <f>+U50/'[49]Plan de financement'!$D$22</f>
        <v>-4.6017588578451833E-2</v>
      </c>
      <c r="V52" s="102">
        <f>+V50/'[49]Plan de financement'!$D$22</f>
        <v>1.3645716335566252E-2</v>
      </c>
      <c r="W52" s="102">
        <f>+W50/'[49]Plan de financement'!$D$22</f>
        <v>1.3645716335566258E-2</v>
      </c>
      <c r="X52" s="102">
        <f>+X50/'[49]Plan de financement'!$D$22</f>
        <v>1.3645716335566252E-2</v>
      </c>
      <c r="Y52" s="102">
        <f>+Y50/'[49]Plan de financement'!$D$22</f>
        <v>1.3645716335566258E-2</v>
      </c>
      <c r="Z52" s="102">
        <f>+Z50/'[49]Plan de financement'!$D$22</f>
        <v>-1.8069500646660356E-2</v>
      </c>
      <c r="AA52" s="102">
        <f>+AA50/'[49]Plan de financement'!$D$22</f>
        <v>1.3645716335566247E-2</v>
      </c>
      <c r="AB52" s="102">
        <f>+AB50/'[49]Plan de financement'!$D$22</f>
        <v>1.3645716335566247E-2</v>
      </c>
      <c r="AC52" s="102">
        <f>+AC50/'[49]Plan de financement'!$D$22</f>
        <v>1.3645716335566252E-2</v>
      </c>
      <c r="AD52" s="102">
        <f>+AD50/'[49]Plan de financement'!$D$22</f>
        <v>1.364569266246528E-2</v>
      </c>
      <c r="AE52" s="102">
        <f>+AE50/'[49]Plan de financement'!$D$22</f>
        <v>-0.12665062117500894</v>
      </c>
      <c r="AF52" s="102">
        <f>+AF50/'[49]Plan de financement'!$D$22</f>
        <v>1.3645716335566252E-2</v>
      </c>
      <c r="AG52" s="102">
        <f>+AG50/'[49]Plan de financement'!$D$22</f>
        <v>1.3645716335566247E-2</v>
      </c>
      <c r="AH52" s="102">
        <f>+AH50/'Plan de financement'!$D$22</f>
        <v>1.3645716335566252E-2</v>
      </c>
      <c r="AI52" s="102">
        <f>+AI50/'Plan de financement'!$D$22</f>
        <v>1.3645716335566252E-2</v>
      </c>
      <c r="AJ52" s="102">
        <f>+AJ50/'Plan de financement'!$D$22</f>
        <v>1.3645716335566252E-2</v>
      </c>
      <c r="AK52" s="102">
        <f>+AK50/'Plan de financement'!$D$22</f>
        <v>1.3645716335566252E-2</v>
      </c>
      <c r="AL52" s="102">
        <f>+AL50/'Plan de financement'!$D$22</f>
        <v>1.3645716335566252E-2</v>
      </c>
      <c r="AM52" s="102">
        <f>+AM50/'Plan de financement'!$D$22</f>
        <v>1.3645716335566252E-2</v>
      </c>
      <c r="AN52" s="102">
        <f>+AN50/'Plan de financement'!$D$22</f>
        <v>1.3645716335566258E-2</v>
      </c>
      <c r="AO52" s="102">
        <f>+AO50/'Plan de financement'!$D$22</f>
        <v>1.3645716335566252E-2</v>
      </c>
      <c r="AP52" s="102">
        <f>+AP50/'Plan de financement'!$D$22</f>
        <v>1.3645716335566252E-2</v>
      </c>
      <c r="AQ52" s="102">
        <f>+AQ50/'Plan de financement'!$D$22</f>
        <v>1.3645716335566244E-2</v>
      </c>
      <c r="AR52" s="102">
        <f>+AR50/'Plan de financement'!$D$22</f>
        <v>1.3645716335566252E-2</v>
      </c>
      <c r="AS52" s="102">
        <f>+AS50/'Plan de financement'!$D$22</f>
        <v>6.8228581677831236E-3</v>
      </c>
      <c r="AT52" s="19" t="s">
        <v>95</v>
      </c>
      <c r="AU52" s="103" t="e">
        <f>AVERAGE(E52:AS52)</f>
        <v>#REF!</v>
      </c>
    </row>
    <row r="53" spans="1:48">
      <c r="A53" s="104"/>
      <c r="B53" s="105"/>
      <c r="C53" s="105"/>
      <c r="D53" s="105"/>
      <c r="E53" s="105"/>
      <c r="F53" s="105"/>
      <c r="G53" s="105"/>
      <c r="H53" s="105"/>
      <c r="I53" s="105"/>
      <c r="J53" s="105"/>
      <c r="K53" s="105"/>
      <c r="L53" s="105"/>
      <c r="M53" s="105"/>
      <c r="N53" s="105"/>
      <c r="O53" s="105"/>
      <c r="P53" s="105"/>
      <c r="Q53" s="105"/>
      <c r="R53" s="105"/>
      <c r="S53" s="105"/>
      <c r="T53" s="105"/>
      <c r="U53" s="105"/>
      <c r="V53" s="105"/>
      <c r="W53" s="105"/>
      <c r="X53" s="105"/>
      <c r="Y53" s="105"/>
      <c r="Z53" s="105"/>
      <c r="AA53" s="105"/>
      <c r="AB53" s="105"/>
      <c r="AC53" s="105"/>
      <c r="AD53" s="105"/>
      <c r="AE53" s="105"/>
      <c r="AF53" s="105"/>
      <c r="AG53" s="105"/>
      <c r="AH53" s="105"/>
      <c r="AI53" s="105"/>
      <c r="AJ53" s="105"/>
      <c r="AK53" s="105"/>
      <c r="AL53" s="105"/>
      <c r="AM53" s="105"/>
      <c r="AN53" s="105"/>
      <c r="AO53" s="105"/>
      <c r="AP53" s="105"/>
      <c r="AQ53" s="105"/>
      <c r="AR53" s="105"/>
      <c r="AS53" s="105"/>
    </row>
  </sheetData>
  <printOptions horizontalCentered="1"/>
  <pageMargins left="0.27559055118110237" right="0.15748031496062992" top="1.1811023622047245" bottom="0.23622047244094491" header="0.11811023622047245" footer="0.11811023622047245"/>
  <pageSetup paperSize="8" scale="53" orientation="landscape" verticalDpi="360" r:id="rId1"/>
  <headerFooter alignWithMargins="0">
    <oddHeader xml:space="preserve">&amp;LSODEGIS&amp;CCOMPTES D'EXPLOITATION
RESIDENCE UNIVERSITAIRE
CAMPUS UNIVERSITAIRE DE SAINT-PIERRE&amp;RPLS
VD
</oddHead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F0"/>
    <pageSetUpPr fitToPage="1"/>
  </sheetPr>
  <dimension ref="A1:Q23"/>
  <sheetViews>
    <sheetView showGridLines="0" workbookViewId="0">
      <selection activeCell="D6" sqref="D6"/>
    </sheetView>
  </sheetViews>
  <sheetFormatPr baseColWidth="10" defaultRowHeight="12.75"/>
  <cols>
    <col min="1" max="1" width="4" style="13" customWidth="1"/>
    <col min="2" max="2" width="42.85546875" style="2" bestFit="1" customWidth="1"/>
    <col min="3" max="3" width="6.7109375" style="2" bestFit="1" customWidth="1"/>
    <col min="4" max="4" width="11.5703125" style="2" customWidth="1"/>
    <col min="5" max="5" width="2.28515625" style="16" customWidth="1"/>
    <col min="6" max="6" width="24.140625" style="2" hidden="1" customWidth="1"/>
    <col min="7" max="7" width="46.7109375" style="2" bestFit="1" customWidth="1"/>
    <col min="8" max="8" width="13" style="2" customWidth="1"/>
    <col min="9" max="9" width="7.28515625" style="2" bestFit="1" customWidth="1"/>
    <col min="10" max="10" width="2" style="2" bestFit="1" customWidth="1"/>
    <col min="11" max="11" width="31.7109375" style="2" bestFit="1" customWidth="1"/>
    <col min="12" max="13" width="11.42578125" style="2"/>
    <col min="14" max="14" width="13.5703125" style="2" customWidth="1"/>
    <col min="15" max="256" width="11.42578125" style="2"/>
    <col min="257" max="257" width="4" style="2" customWidth="1"/>
    <col min="258" max="258" width="42.85546875" style="2" bestFit="1" customWidth="1"/>
    <col min="259" max="259" width="6.7109375" style="2" bestFit="1" customWidth="1"/>
    <col min="260" max="260" width="11.5703125" style="2" customWidth="1"/>
    <col min="261" max="261" width="2.28515625" style="2" customWidth="1"/>
    <col min="262" max="262" width="0" style="2" hidden="1" customWidth="1"/>
    <col min="263" max="263" width="46.7109375" style="2" bestFit="1" customWidth="1"/>
    <col min="264" max="264" width="13" style="2" customWidth="1"/>
    <col min="265" max="265" width="7.28515625" style="2" bestFit="1" customWidth="1"/>
    <col min="266" max="266" width="2" style="2" bestFit="1" customWidth="1"/>
    <col min="267" max="267" width="31.7109375" style="2" bestFit="1" customWidth="1"/>
    <col min="268" max="269" width="11.42578125" style="2"/>
    <col min="270" max="270" width="13.5703125" style="2" customWidth="1"/>
    <col min="271" max="512" width="11.42578125" style="2"/>
    <col min="513" max="513" width="4" style="2" customWidth="1"/>
    <col min="514" max="514" width="42.85546875" style="2" bestFit="1" customWidth="1"/>
    <col min="515" max="515" width="6.7109375" style="2" bestFit="1" customWidth="1"/>
    <col min="516" max="516" width="11.5703125" style="2" customWidth="1"/>
    <col min="517" max="517" width="2.28515625" style="2" customWidth="1"/>
    <col min="518" max="518" width="0" style="2" hidden="1" customWidth="1"/>
    <col min="519" max="519" width="46.7109375" style="2" bestFit="1" customWidth="1"/>
    <col min="520" max="520" width="13" style="2" customWidth="1"/>
    <col min="521" max="521" width="7.28515625" style="2" bestFit="1" customWidth="1"/>
    <col min="522" max="522" width="2" style="2" bestFit="1" customWidth="1"/>
    <col min="523" max="523" width="31.7109375" style="2" bestFit="1" customWidth="1"/>
    <col min="524" max="525" width="11.42578125" style="2"/>
    <col min="526" max="526" width="13.5703125" style="2" customWidth="1"/>
    <col min="527" max="768" width="11.42578125" style="2"/>
    <col min="769" max="769" width="4" style="2" customWidth="1"/>
    <col min="770" max="770" width="42.85546875" style="2" bestFit="1" customWidth="1"/>
    <col min="771" max="771" width="6.7109375" style="2" bestFit="1" customWidth="1"/>
    <col min="772" max="772" width="11.5703125" style="2" customWidth="1"/>
    <col min="773" max="773" width="2.28515625" style="2" customWidth="1"/>
    <col min="774" max="774" width="0" style="2" hidden="1" customWidth="1"/>
    <col min="775" max="775" width="46.7109375" style="2" bestFit="1" customWidth="1"/>
    <col min="776" max="776" width="13" style="2" customWidth="1"/>
    <col min="777" max="777" width="7.28515625" style="2" bestFit="1" customWidth="1"/>
    <col min="778" max="778" width="2" style="2" bestFit="1" customWidth="1"/>
    <col min="779" max="779" width="31.7109375" style="2" bestFit="1" customWidth="1"/>
    <col min="780" max="781" width="11.42578125" style="2"/>
    <col min="782" max="782" width="13.5703125" style="2" customWidth="1"/>
    <col min="783" max="1024" width="11.42578125" style="2"/>
    <col min="1025" max="1025" width="4" style="2" customWidth="1"/>
    <col min="1026" max="1026" width="42.85546875" style="2" bestFit="1" customWidth="1"/>
    <col min="1027" max="1027" width="6.7109375" style="2" bestFit="1" customWidth="1"/>
    <col min="1028" max="1028" width="11.5703125" style="2" customWidth="1"/>
    <col min="1029" max="1029" width="2.28515625" style="2" customWidth="1"/>
    <col min="1030" max="1030" width="0" style="2" hidden="1" customWidth="1"/>
    <col min="1031" max="1031" width="46.7109375" style="2" bestFit="1" customWidth="1"/>
    <col min="1032" max="1032" width="13" style="2" customWidth="1"/>
    <col min="1033" max="1033" width="7.28515625" style="2" bestFit="1" customWidth="1"/>
    <col min="1034" max="1034" width="2" style="2" bestFit="1" customWidth="1"/>
    <col min="1035" max="1035" width="31.7109375" style="2" bestFit="1" customWidth="1"/>
    <col min="1036" max="1037" width="11.42578125" style="2"/>
    <col min="1038" max="1038" width="13.5703125" style="2" customWidth="1"/>
    <col min="1039" max="1280" width="11.42578125" style="2"/>
    <col min="1281" max="1281" width="4" style="2" customWidth="1"/>
    <col min="1282" max="1282" width="42.85546875" style="2" bestFit="1" customWidth="1"/>
    <col min="1283" max="1283" width="6.7109375" style="2" bestFit="1" customWidth="1"/>
    <col min="1284" max="1284" width="11.5703125" style="2" customWidth="1"/>
    <col min="1285" max="1285" width="2.28515625" style="2" customWidth="1"/>
    <col min="1286" max="1286" width="0" style="2" hidden="1" customWidth="1"/>
    <col min="1287" max="1287" width="46.7109375" style="2" bestFit="1" customWidth="1"/>
    <col min="1288" max="1288" width="13" style="2" customWidth="1"/>
    <col min="1289" max="1289" width="7.28515625" style="2" bestFit="1" customWidth="1"/>
    <col min="1290" max="1290" width="2" style="2" bestFit="1" customWidth="1"/>
    <col min="1291" max="1291" width="31.7109375" style="2" bestFit="1" customWidth="1"/>
    <col min="1292" max="1293" width="11.42578125" style="2"/>
    <col min="1294" max="1294" width="13.5703125" style="2" customWidth="1"/>
    <col min="1295" max="1536" width="11.42578125" style="2"/>
    <col min="1537" max="1537" width="4" style="2" customWidth="1"/>
    <col min="1538" max="1538" width="42.85546875" style="2" bestFit="1" customWidth="1"/>
    <col min="1539" max="1539" width="6.7109375" style="2" bestFit="1" customWidth="1"/>
    <col min="1540" max="1540" width="11.5703125" style="2" customWidth="1"/>
    <col min="1541" max="1541" width="2.28515625" style="2" customWidth="1"/>
    <col min="1542" max="1542" width="0" style="2" hidden="1" customWidth="1"/>
    <col min="1543" max="1543" width="46.7109375" style="2" bestFit="1" customWidth="1"/>
    <col min="1544" max="1544" width="13" style="2" customWidth="1"/>
    <col min="1545" max="1545" width="7.28515625" style="2" bestFit="1" customWidth="1"/>
    <col min="1546" max="1546" width="2" style="2" bestFit="1" customWidth="1"/>
    <col min="1547" max="1547" width="31.7109375" style="2" bestFit="1" customWidth="1"/>
    <col min="1548" max="1549" width="11.42578125" style="2"/>
    <col min="1550" max="1550" width="13.5703125" style="2" customWidth="1"/>
    <col min="1551" max="1792" width="11.42578125" style="2"/>
    <col min="1793" max="1793" width="4" style="2" customWidth="1"/>
    <col min="1794" max="1794" width="42.85546875" style="2" bestFit="1" customWidth="1"/>
    <col min="1795" max="1795" width="6.7109375" style="2" bestFit="1" customWidth="1"/>
    <col min="1796" max="1796" width="11.5703125" style="2" customWidth="1"/>
    <col min="1797" max="1797" width="2.28515625" style="2" customWidth="1"/>
    <col min="1798" max="1798" width="0" style="2" hidden="1" customWidth="1"/>
    <col min="1799" max="1799" width="46.7109375" style="2" bestFit="1" customWidth="1"/>
    <col min="1800" max="1800" width="13" style="2" customWidth="1"/>
    <col min="1801" max="1801" width="7.28515625" style="2" bestFit="1" customWidth="1"/>
    <col min="1802" max="1802" width="2" style="2" bestFit="1" customWidth="1"/>
    <col min="1803" max="1803" width="31.7109375" style="2" bestFit="1" customWidth="1"/>
    <col min="1804" max="1805" width="11.42578125" style="2"/>
    <col min="1806" max="1806" width="13.5703125" style="2" customWidth="1"/>
    <col min="1807" max="2048" width="11.42578125" style="2"/>
    <col min="2049" max="2049" width="4" style="2" customWidth="1"/>
    <col min="2050" max="2050" width="42.85546875" style="2" bestFit="1" customWidth="1"/>
    <col min="2051" max="2051" width="6.7109375" style="2" bestFit="1" customWidth="1"/>
    <col min="2052" max="2052" width="11.5703125" style="2" customWidth="1"/>
    <col min="2053" max="2053" width="2.28515625" style="2" customWidth="1"/>
    <col min="2054" max="2054" width="0" style="2" hidden="1" customWidth="1"/>
    <col min="2055" max="2055" width="46.7109375" style="2" bestFit="1" customWidth="1"/>
    <col min="2056" max="2056" width="13" style="2" customWidth="1"/>
    <col min="2057" max="2057" width="7.28515625" style="2" bestFit="1" customWidth="1"/>
    <col min="2058" max="2058" width="2" style="2" bestFit="1" customWidth="1"/>
    <col min="2059" max="2059" width="31.7109375" style="2" bestFit="1" customWidth="1"/>
    <col min="2060" max="2061" width="11.42578125" style="2"/>
    <col min="2062" max="2062" width="13.5703125" style="2" customWidth="1"/>
    <col min="2063" max="2304" width="11.42578125" style="2"/>
    <col min="2305" max="2305" width="4" style="2" customWidth="1"/>
    <col min="2306" max="2306" width="42.85546875" style="2" bestFit="1" customWidth="1"/>
    <col min="2307" max="2307" width="6.7109375" style="2" bestFit="1" customWidth="1"/>
    <col min="2308" max="2308" width="11.5703125" style="2" customWidth="1"/>
    <col min="2309" max="2309" width="2.28515625" style="2" customWidth="1"/>
    <col min="2310" max="2310" width="0" style="2" hidden="1" customWidth="1"/>
    <col min="2311" max="2311" width="46.7109375" style="2" bestFit="1" customWidth="1"/>
    <col min="2312" max="2312" width="13" style="2" customWidth="1"/>
    <col min="2313" max="2313" width="7.28515625" style="2" bestFit="1" customWidth="1"/>
    <col min="2314" max="2314" width="2" style="2" bestFit="1" customWidth="1"/>
    <col min="2315" max="2315" width="31.7109375" style="2" bestFit="1" customWidth="1"/>
    <col min="2316" max="2317" width="11.42578125" style="2"/>
    <col min="2318" max="2318" width="13.5703125" style="2" customWidth="1"/>
    <col min="2319" max="2560" width="11.42578125" style="2"/>
    <col min="2561" max="2561" width="4" style="2" customWidth="1"/>
    <col min="2562" max="2562" width="42.85546875" style="2" bestFit="1" customWidth="1"/>
    <col min="2563" max="2563" width="6.7109375" style="2" bestFit="1" customWidth="1"/>
    <col min="2564" max="2564" width="11.5703125" style="2" customWidth="1"/>
    <col min="2565" max="2565" width="2.28515625" style="2" customWidth="1"/>
    <col min="2566" max="2566" width="0" style="2" hidden="1" customWidth="1"/>
    <col min="2567" max="2567" width="46.7109375" style="2" bestFit="1" customWidth="1"/>
    <col min="2568" max="2568" width="13" style="2" customWidth="1"/>
    <col min="2569" max="2569" width="7.28515625" style="2" bestFit="1" customWidth="1"/>
    <col min="2570" max="2570" width="2" style="2" bestFit="1" customWidth="1"/>
    <col min="2571" max="2571" width="31.7109375" style="2" bestFit="1" customWidth="1"/>
    <col min="2572" max="2573" width="11.42578125" style="2"/>
    <col min="2574" max="2574" width="13.5703125" style="2" customWidth="1"/>
    <col min="2575" max="2816" width="11.42578125" style="2"/>
    <col min="2817" max="2817" width="4" style="2" customWidth="1"/>
    <col min="2818" max="2818" width="42.85546875" style="2" bestFit="1" customWidth="1"/>
    <col min="2819" max="2819" width="6.7109375" style="2" bestFit="1" customWidth="1"/>
    <col min="2820" max="2820" width="11.5703125" style="2" customWidth="1"/>
    <col min="2821" max="2821" width="2.28515625" style="2" customWidth="1"/>
    <col min="2822" max="2822" width="0" style="2" hidden="1" customWidth="1"/>
    <col min="2823" max="2823" width="46.7109375" style="2" bestFit="1" customWidth="1"/>
    <col min="2824" max="2824" width="13" style="2" customWidth="1"/>
    <col min="2825" max="2825" width="7.28515625" style="2" bestFit="1" customWidth="1"/>
    <col min="2826" max="2826" width="2" style="2" bestFit="1" customWidth="1"/>
    <col min="2827" max="2827" width="31.7109375" style="2" bestFit="1" customWidth="1"/>
    <col min="2828" max="2829" width="11.42578125" style="2"/>
    <col min="2830" max="2830" width="13.5703125" style="2" customWidth="1"/>
    <col min="2831" max="3072" width="11.42578125" style="2"/>
    <col min="3073" max="3073" width="4" style="2" customWidth="1"/>
    <col min="3074" max="3074" width="42.85546875" style="2" bestFit="1" customWidth="1"/>
    <col min="3075" max="3075" width="6.7109375" style="2" bestFit="1" customWidth="1"/>
    <col min="3076" max="3076" width="11.5703125" style="2" customWidth="1"/>
    <col min="3077" max="3077" width="2.28515625" style="2" customWidth="1"/>
    <col min="3078" max="3078" width="0" style="2" hidden="1" customWidth="1"/>
    <col min="3079" max="3079" width="46.7109375" style="2" bestFit="1" customWidth="1"/>
    <col min="3080" max="3080" width="13" style="2" customWidth="1"/>
    <col min="3081" max="3081" width="7.28515625" style="2" bestFit="1" customWidth="1"/>
    <col min="3082" max="3082" width="2" style="2" bestFit="1" customWidth="1"/>
    <col min="3083" max="3083" width="31.7109375" style="2" bestFit="1" customWidth="1"/>
    <col min="3084" max="3085" width="11.42578125" style="2"/>
    <col min="3086" max="3086" width="13.5703125" style="2" customWidth="1"/>
    <col min="3087" max="3328" width="11.42578125" style="2"/>
    <col min="3329" max="3329" width="4" style="2" customWidth="1"/>
    <col min="3330" max="3330" width="42.85546875" style="2" bestFit="1" customWidth="1"/>
    <col min="3331" max="3331" width="6.7109375" style="2" bestFit="1" customWidth="1"/>
    <col min="3332" max="3332" width="11.5703125" style="2" customWidth="1"/>
    <col min="3333" max="3333" width="2.28515625" style="2" customWidth="1"/>
    <col min="3334" max="3334" width="0" style="2" hidden="1" customWidth="1"/>
    <col min="3335" max="3335" width="46.7109375" style="2" bestFit="1" customWidth="1"/>
    <col min="3336" max="3336" width="13" style="2" customWidth="1"/>
    <col min="3337" max="3337" width="7.28515625" style="2" bestFit="1" customWidth="1"/>
    <col min="3338" max="3338" width="2" style="2" bestFit="1" customWidth="1"/>
    <col min="3339" max="3339" width="31.7109375" style="2" bestFit="1" customWidth="1"/>
    <col min="3340" max="3341" width="11.42578125" style="2"/>
    <col min="3342" max="3342" width="13.5703125" style="2" customWidth="1"/>
    <col min="3343" max="3584" width="11.42578125" style="2"/>
    <col min="3585" max="3585" width="4" style="2" customWidth="1"/>
    <col min="3586" max="3586" width="42.85546875" style="2" bestFit="1" customWidth="1"/>
    <col min="3587" max="3587" width="6.7109375" style="2" bestFit="1" customWidth="1"/>
    <col min="3588" max="3588" width="11.5703125" style="2" customWidth="1"/>
    <col min="3589" max="3589" width="2.28515625" style="2" customWidth="1"/>
    <col min="3590" max="3590" width="0" style="2" hidden="1" customWidth="1"/>
    <col min="3591" max="3591" width="46.7109375" style="2" bestFit="1" customWidth="1"/>
    <col min="3592" max="3592" width="13" style="2" customWidth="1"/>
    <col min="3593" max="3593" width="7.28515625" style="2" bestFit="1" customWidth="1"/>
    <col min="3594" max="3594" width="2" style="2" bestFit="1" customWidth="1"/>
    <col min="3595" max="3595" width="31.7109375" style="2" bestFit="1" customWidth="1"/>
    <col min="3596" max="3597" width="11.42578125" style="2"/>
    <col min="3598" max="3598" width="13.5703125" style="2" customWidth="1"/>
    <col min="3599" max="3840" width="11.42578125" style="2"/>
    <col min="3841" max="3841" width="4" style="2" customWidth="1"/>
    <col min="3842" max="3842" width="42.85546875" style="2" bestFit="1" customWidth="1"/>
    <col min="3843" max="3843" width="6.7109375" style="2" bestFit="1" customWidth="1"/>
    <col min="3844" max="3844" width="11.5703125" style="2" customWidth="1"/>
    <col min="3845" max="3845" width="2.28515625" style="2" customWidth="1"/>
    <col min="3846" max="3846" width="0" style="2" hidden="1" customWidth="1"/>
    <col min="3847" max="3847" width="46.7109375" style="2" bestFit="1" customWidth="1"/>
    <col min="3848" max="3848" width="13" style="2" customWidth="1"/>
    <col min="3849" max="3849" width="7.28515625" style="2" bestFit="1" customWidth="1"/>
    <col min="3850" max="3850" width="2" style="2" bestFit="1" customWidth="1"/>
    <col min="3851" max="3851" width="31.7109375" style="2" bestFit="1" customWidth="1"/>
    <col min="3852" max="3853" width="11.42578125" style="2"/>
    <col min="3854" max="3854" width="13.5703125" style="2" customWidth="1"/>
    <col min="3855" max="4096" width="11.42578125" style="2"/>
    <col min="4097" max="4097" width="4" style="2" customWidth="1"/>
    <col min="4098" max="4098" width="42.85546875" style="2" bestFit="1" customWidth="1"/>
    <col min="4099" max="4099" width="6.7109375" style="2" bestFit="1" customWidth="1"/>
    <col min="4100" max="4100" width="11.5703125" style="2" customWidth="1"/>
    <col min="4101" max="4101" width="2.28515625" style="2" customWidth="1"/>
    <col min="4102" max="4102" width="0" style="2" hidden="1" customWidth="1"/>
    <col min="4103" max="4103" width="46.7109375" style="2" bestFit="1" customWidth="1"/>
    <col min="4104" max="4104" width="13" style="2" customWidth="1"/>
    <col min="4105" max="4105" width="7.28515625" style="2" bestFit="1" customWidth="1"/>
    <col min="4106" max="4106" width="2" style="2" bestFit="1" customWidth="1"/>
    <col min="4107" max="4107" width="31.7109375" style="2" bestFit="1" customWidth="1"/>
    <col min="4108" max="4109" width="11.42578125" style="2"/>
    <col min="4110" max="4110" width="13.5703125" style="2" customWidth="1"/>
    <col min="4111" max="4352" width="11.42578125" style="2"/>
    <col min="4353" max="4353" width="4" style="2" customWidth="1"/>
    <col min="4354" max="4354" width="42.85546875" style="2" bestFit="1" customWidth="1"/>
    <col min="4355" max="4355" width="6.7109375" style="2" bestFit="1" customWidth="1"/>
    <col min="4356" max="4356" width="11.5703125" style="2" customWidth="1"/>
    <col min="4357" max="4357" width="2.28515625" style="2" customWidth="1"/>
    <col min="4358" max="4358" width="0" style="2" hidden="1" customWidth="1"/>
    <col min="4359" max="4359" width="46.7109375" style="2" bestFit="1" customWidth="1"/>
    <col min="4360" max="4360" width="13" style="2" customWidth="1"/>
    <col min="4361" max="4361" width="7.28515625" style="2" bestFit="1" customWidth="1"/>
    <col min="4362" max="4362" width="2" style="2" bestFit="1" customWidth="1"/>
    <col min="4363" max="4363" width="31.7109375" style="2" bestFit="1" customWidth="1"/>
    <col min="4364" max="4365" width="11.42578125" style="2"/>
    <col min="4366" max="4366" width="13.5703125" style="2" customWidth="1"/>
    <col min="4367" max="4608" width="11.42578125" style="2"/>
    <col min="4609" max="4609" width="4" style="2" customWidth="1"/>
    <col min="4610" max="4610" width="42.85546875" style="2" bestFit="1" customWidth="1"/>
    <col min="4611" max="4611" width="6.7109375" style="2" bestFit="1" customWidth="1"/>
    <col min="4612" max="4612" width="11.5703125" style="2" customWidth="1"/>
    <col min="4613" max="4613" width="2.28515625" style="2" customWidth="1"/>
    <col min="4614" max="4614" width="0" style="2" hidden="1" customWidth="1"/>
    <col min="4615" max="4615" width="46.7109375" style="2" bestFit="1" customWidth="1"/>
    <col min="4616" max="4616" width="13" style="2" customWidth="1"/>
    <col min="4617" max="4617" width="7.28515625" style="2" bestFit="1" customWidth="1"/>
    <col min="4618" max="4618" width="2" style="2" bestFit="1" customWidth="1"/>
    <col min="4619" max="4619" width="31.7109375" style="2" bestFit="1" customWidth="1"/>
    <col min="4620" max="4621" width="11.42578125" style="2"/>
    <col min="4622" max="4622" width="13.5703125" style="2" customWidth="1"/>
    <col min="4623" max="4864" width="11.42578125" style="2"/>
    <col min="4865" max="4865" width="4" style="2" customWidth="1"/>
    <col min="4866" max="4866" width="42.85546875" style="2" bestFit="1" customWidth="1"/>
    <col min="4867" max="4867" width="6.7109375" style="2" bestFit="1" customWidth="1"/>
    <col min="4868" max="4868" width="11.5703125" style="2" customWidth="1"/>
    <col min="4869" max="4869" width="2.28515625" style="2" customWidth="1"/>
    <col min="4870" max="4870" width="0" style="2" hidden="1" customWidth="1"/>
    <col min="4871" max="4871" width="46.7109375" style="2" bestFit="1" customWidth="1"/>
    <col min="4872" max="4872" width="13" style="2" customWidth="1"/>
    <col min="4873" max="4873" width="7.28515625" style="2" bestFit="1" customWidth="1"/>
    <col min="4874" max="4874" width="2" style="2" bestFit="1" customWidth="1"/>
    <col min="4875" max="4875" width="31.7109375" style="2" bestFit="1" customWidth="1"/>
    <col min="4876" max="4877" width="11.42578125" style="2"/>
    <col min="4878" max="4878" width="13.5703125" style="2" customWidth="1"/>
    <col min="4879" max="5120" width="11.42578125" style="2"/>
    <col min="5121" max="5121" width="4" style="2" customWidth="1"/>
    <col min="5122" max="5122" width="42.85546875" style="2" bestFit="1" customWidth="1"/>
    <col min="5123" max="5123" width="6.7109375" style="2" bestFit="1" customWidth="1"/>
    <col min="5124" max="5124" width="11.5703125" style="2" customWidth="1"/>
    <col min="5125" max="5125" width="2.28515625" style="2" customWidth="1"/>
    <col min="5126" max="5126" width="0" style="2" hidden="1" customWidth="1"/>
    <col min="5127" max="5127" width="46.7109375" style="2" bestFit="1" customWidth="1"/>
    <col min="5128" max="5128" width="13" style="2" customWidth="1"/>
    <col min="5129" max="5129" width="7.28515625" style="2" bestFit="1" customWidth="1"/>
    <col min="5130" max="5130" width="2" style="2" bestFit="1" customWidth="1"/>
    <col min="5131" max="5131" width="31.7109375" style="2" bestFit="1" customWidth="1"/>
    <col min="5132" max="5133" width="11.42578125" style="2"/>
    <col min="5134" max="5134" width="13.5703125" style="2" customWidth="1"/>
    <col min="5135" max="5376" width="11.42578125" style="2"/>
    <col min="5377" max="5377" width="4" style="2" customWidth="1"/>
    <col min="5378" max="5378" width="42.85546875" style="2" bestFit="1" customWidth="1"/>
    <col min="5379" max="5379" width="6.7109375" style="2" bestFit="1" customWidth="1"/>
    <col min="5380" max="5380" width="11.5703125" style="2" customWidth="1"/>
    <col min="5381" max="5381" width="2.28515625" style="2" customWidth="1"/>
    <col min="5382" max="5382" width="0" style="2" hidden="1" customWidth="1"/>
    <col min="5383" max="5383" width="46.7109375" style="2" bestFit="1" customWidth="1"/>
    <col min="5384" max="5384" width="13" style="2" customWidth="1"/>
    <col min="5385" max="5385" width="7.28515625" style="2" bestFit="1" customWidth="1"/>
    <col min="5386" max="5386" width="2" style="2" bestFit="1" customWidth="1"/>
    <col min="5387" max="5387" width="31.7109375" style="2" bestFit="1" customWidth="1"/>
    <col min="5388" max="5389" width="11.42578125" style="2"/>
    <col min="5390" max="5390" width="13.5703125" style="2" customWidth="1"/>
    <col min="5391" max="5632" width="11.42578125" style="2"/>
    <col min="5633" max="5633" width="4" style="2" customWidth="1"/>
    <col min="5634" max="5634" width="42.85546875" style="2" bestFit="1" customWidth="1"/>
    <col min="5635" max="5635" width="6.7109375" style="2" bestFit="1" customWidth="1"/>
    <col min="5636" max="5636" width="11.5703125" style="2" customWidth="1"/>
    <col min="5637" max="5637" width="2.28515625" style="2" customWidth="1"/>
    <col min="5638" max="5638" width="0" style="2" hidden="1" customWidth="1"/>
    <col min="5639" max="5639" width="46.7109375" style="2" bestFit="1" customWidth="1"/>
    <col min="5640" max="5640" width="13" style="2" customWidth="1"/>
    <col min="5641" max="5641" width="7.28515625" style="2" bestFit="1" customWidth="1"/>
    <col min="5642" max="5642" width="2" style="2" bestFit="1" customWidth="1"/>
    <col min="5643" max="5643" width="31.7109375" style="2" bestFit="1" customWidth="1"/>
    <col min="5644" max="5645" width="11.42578125" style="2"/>
    <col min="5646" max="5646" width="13.5703125" style="2" customWidth="1"/>
    <col min="5647" max="5888" width="11.42578125" style="2"/>
    <col min="5889" max="5889" width="4" style="2" customWidth="1"/>
    <col min="5890" max="5890" width="42.85546875" style="2" bestFit="1" customWidth="1"/>
    <col min="5891" max="5891" width="6.7109375" style="2" bestFit="1" customWidth="1"/>
    <col min="5892" max="5892" width="11.5703125" style="2" customWidth="1"/>
    <col min="5893" max="5893" width="2.28515625" style="2" customWidth="1"/>
    <col min="5894" max="5894" width="0" style="2" hidden="1" customWidth="1"/>
    <col min="5895" max="5895" width="46.7109375" style="2" bestFit="1" customWidth="1"/>
    <col min="5896" max="5896" width="13" style="2" customWidth="1"/>
    <col min="5897" max="5897" width="7.28515625" style="2" bestFit="1" customWidth="1"/>
    <col min="5898" max="5898" width="2" style="2" bestFit="1" customWidth="1"/>
    <col min="5899" max="5899" width="31.7109375" style="2" bestFit="1" customWidth="1"/>
    <col min="5900" max="5901" width="11.42578125" style="2"/>
    <col min="5902" max="5902" width="13.5703125" style="2" customWidth="1"/>
    <col min="5903" max="6144" width="11.42578125" style="2"/>
    <col min="6145" max="6145" width="4" style="2" customWidth="1"/>
    <col min="6146" max="6146" width="42.85546875" style="2" bestFit="1" customWidth="1"/>
    <col min="6147" max="6147" width="6.7109375" style="2" bestFit="1" customWidth="1"/>
    <col min="6148" max="6148" width="11.5703125" style="2" customWidth="1"/>
    <col min="6149" max="6149" width="2.28515625" style="2" customWidth="1"/>
    <col min="6150" max="6150" width="0" style="2" hidden="1" customWidth="1"/>
    <col min="6151" max="6151" width="46.7109375" style="2" bestFit="1" customWidth="1"/>
    <col min="6152" max="6152" width="13" style="2" customWidth="1"/>
    <col min="6153" max="6153" width="7.28515625" style="2" bestFit="1" customWidth="1"/>
    <col min="6154" max="6154" width="2" style="2" bestFit="1" customWidth="1"/>
    <col min="6155" max="6155" width="31.7109375" style="2" bestFit="1" customWidth="1"/>
    <col min="6156" max="6157" width="11.42578125" style="2"/>
    <col min="6158" max="6158" width="13.5703125" style="2" customWidth="1"/>
    <col min="6159" max="6400" width="11.42578125" style="2"/>
    <col min="6401" max="6401" width="4" style="2" customWidth="1"/>
    <col min="6402" max="6402" width="42.85546875" style="2" bestFit="1" customWidth="1"/>
    <col min="6403" max="6403" width="6.7109375" style="2" bestFit="1" customWidth="1"/>
    <col min="6404" max="6404" width="11.5703125" style="2" customWidth="1"/>
    <col min="6405" max="6405" width="2.28515625" style="2" customWidth="1"/>
    <col min="6406" max="6406" width="0" style="2" hidden="1" customWidth="1"/>
    <col min="6407" max="6407" width="46.7109375" style="2" bestFit="1" customWidth="1"/>
    <col min="6408" max="6408" width="13" style="2" customWidth="1"/>
    <col min="6409" max="6409" width="7.28515625" style="2" bestFit="1" customWidth="1"/>
    <col min="6410" max="6410" width="2" style="2" bestFit="1" customWidth="1"/>
    <col min="6411" max="6411" width="31.7109375" style="2" bestFit="1" customWidth="1"/>
    <col min="6412" max="6413" width="11.42578125" style="2"/>
    <col min="6414" max="6414" width="13.5703125" style="2" customWidth="1"/>
    <col min="6415" max="6656" width="11.42578125" style="2"/>
    <col min="6657" max="6657" width="4" style="2" customWidth="1"/>
    <col min="6658" max="6658" width="42.85546875" style="2" bestFit="1" customWidth="1"/>
    <col min="6659" max="6659" width="6.7109375" style="2" bestFit="1" customWidth="1"/>
    <col min="6660" max="6660" width="11.5703125" style="2" customWidth="1"/>
    <col min="6661" max="6661" width="2.28515625" style="2" customWidth="1"/>
    <col min="6662" max="6662" width="0" style="2" hidden="1" customWidth="1"/>
    <col min="6663" max="6663" width="46.7109375" style="2" bestFit="1" customWidth="1"/>
    <col min="6664" max="6664" width="13" style="2" customWidth="1"/>
    <col min="6665" max="6665" width="7.28515625" style="2" bestFit="1" customWidth="1"/>
    <col min="6666" max="6666" width="2" style="2" bestFit="1" customWidth="1"/>
    <col min="6667" max="6667" width="31.7109375" style="2" bestFit="1" customWidth="1"/>
    <col min="6668" max="6669" width="11.42578125" style="2"/>
    <col min="6670" max="6670" width="13.5703125" style="2" customWidth="1"/>
    <col min="6671" max="6912" width="11.42578125" style="2"/>
    <col min="6913" max="6913" width="4" style="2" customWidth="1"/>
    <col min="6914" max="6914" width="42.85546875" style="2" bestFit="1" customWidth="1"/>
    <col min="6915" max="6915" width="6.7109375" style="2" bestFit="1" customWidth="1"/>
    <col min="6916" max="6916" width="11.5703125" style="2" customWidth="1"/>
    <col min="6917" max="6917" width="2.28515625" style="2" customWidth="1"/>
    <col min="6918" max="6918" width="0" style="2" hidden="1" customWidth="1"/>
    <col min="6919" max="6919" width="46.7109375" style="2" bestFit="1" customWidth="1"/>
    <col min="6920" max="6920" width="13" style="2" customWidth="1"/>
    <col min="6921" max="6921" width="7.28515625" style="2" bestFit="1" customWidth="1"/>
    <col min="6922" max="6922" width="2" style="2" bestFit="1" customWidth="1"/>
    <col min="6923" max="6923" width="31.7109375" style="2" bestFit="1" customWidth="1"/>
    <col min="6924" max="6925" width="11.42578125" style="2"/>
    <col min="6926" max="6926" width="13.5703125" style="2" customWidth="1"/>
    <col min="6927" max="7168" width="11.42578125" style="2"/>
    <col min="7169" max="7169" width="4" style="2" customWidth="1"/>
    <col min="7170" max="7170" width="42.85546875" style="2" bestFit="1" customWidth="1"/>
    <col min="7171" max="7171" width="6.7109375" style="2" bestFit="1" customWidth="1"/>
    <col min="7172" max="7172" width="11.5703125" style="2" customWidth="1"/>
    <col min="7173" max="7173" width="2.28515625" style="2" customWidth="1"/>
    <col min="7174" max="7174" width="0" style="2" hidden="1" customWidth="1"/>
    <col min="7175" max="7175" width="46.7109375" style="2" bestFit="1" customWidth="1"/>
    <col min="7176" max="7176" width="13" style="2" customWidth="1"/>
    <col min="7177" max="7177" width="7.28515625" style="2" bestFit="1" customWidth="1"/>
    <col min="7178" max="7178" width="2" style="2" bestFit="1" customWidth="1"/>
    <col min="7179" max="7179" width="31.7109375" style="2" bestFit="1" customWidth="1"/>
    <col min="7180" max="7181" width="11.42578125" style="2"/>
    <col min="7182" max="7182" width="13.5703125" style="2" customWidth="1"/>
    <col min="7183" max="7424" width="11.42578125" style="2"/>
    <col min="7425" max="7425" width="4" style="2" customWidth="1"/>
    <col min="7426" max="7426" width="42.85546875" style="2" bestFit="1" customWidth="1"/>
    <col min="7427" max="7427" width="6.7109375" style="2" bestFit="1" customWidth="1"/>
    <col min="7428" max="7428" width="11.5703125" style="2" customWidth="1"/>
    <col min="7429" max="7429" width="2.28515625" style="2" customWidth="1"/>
    <col min="7430" max="7430" width="0" style="2" hidden="1" customWidth="1"/>
    <col min="7431" max="7431" width="46.7109375" style="2" bestFit="1" customWidth="1"/>
    <col min="7432" max="7432" width="13" style="2" customWidth="1"/>
    <col min="7433" max="7433" width="7.28515625" style="2" bestFit="1" customWidth="1"/>
    <col min="7434" max="7434" width="2" style="2" bestFit="1" customWidth="1"/>
    <col min="7435" max="7435" width="31.7109375" style="2" bestFit="1" customWidth="1"/>
    <col min="7436" max="7437" width="11.42578125" style="2"/>
    <col min="7438" max="7438" width="13.5703125" style="2" customWidth="1"/>
    <col min="7439" max="7680" width="11.42578125" style="2"/>
    <col min="7681" max="7681" width="4" style="2" customWidth="1"/>
    <col min="7682" max="7682" width="42.85546875" style="2" bestFit="1" customWidth="1"/>
    <col min="7683" max="7683" width="6.7109375" style="2" bestFit="1" customWidth="1"/>
    <col min="7684" max="7684" width="11.5703125" style="2" customWidth="1"/>
    <col min="7685" max="7685" width="2.28515625" style="2" customWidth="1"/>
    <col min="7686" max="7686" width="0" style="2" hidden="1" customWidth="1"/>
    <col min="7687" max="7687" width="46.7109375" style="2" bestFit="1" customWidth="1"/>
    <col min="7688" max="7688" width="13" style="2" customWidth="1"/>
    <col min="7689" max="7689" width="7.28515625" style="2" bestFit="1" customWidth="1"/>
    <col min="7690" max="7690" width="2" style="2" bestFit="1" customWidth="1"/>
    <col min="7691" max="7691" width="31.7109375" style="2" bestFit="1" customWidth="1"/>
    <col min="7692" max="7693" width="11.42578125" style="2"/>
    <col min="7694" max="7694" width="13.5703125" style="2" customWidth="1"/>
    <col min="7695" max="7936" width="11.42578125" style="2"/>
    <col min="7937" max="7937" width="4" style="2" customWidth="1"/>
    <col min="7938" max="7938" width="42.85546875" style="2" bestFit="1" customWidth="1"/>
    <col min="7939" max="7939" width="6.7109375" style="2" bestFit="1" customWidth="1"/>
    <col min="7940" max="7940" width="11.5703125" style="2" customWidth="1"/>
    <col min="7941" max="7941" width="2.28515625" style="2" customWidth="1"/>
    <col min="7942" max="7942" width="0" style="2" hidden="1" customWidth="1"/>
    <col min="7943" max="7943" width="46.7109375" style="2" bestFit="1" customWidth="1"/>
    <col min="7944" max="7944" width="13" style="2" customWidth="1"/>
    <col min="7945" max="7945" width="7.28515625" style="2" bestFit="1" customWidth="1"/>
    <col min="7946" max="7946" width="2" style="2" bestFit="1" customWidth="1"/>
    <col min="7947" max="7947" width="31.7109375" style="2" bestFit="1" customWidth="1"/>
    <col min="7948" max="7949" width="11.42578125" style="2"/>
    <col min="7950" max="7950" width="13.5703125" style="2" customWidth="1"/>
    <col min="7951" max="8192" width="11.42578125" style="2"/>
    <col min="8193" max="8193" width="4" style="2" customWidth="1"/>
    <col min="8194" max="8194" width="42.85546875" style="2" bestFit="1" customWidth="1"/>
    <col min="8195" max="8195" width="6.7109375" style="2" bestFit="1" customWidth="1"/>
    <col min="8196" max="8196" width="11.5703125" style="2" customWidth="1"/>
    <col min="8197" max="8197" width="2.28515625" style="2" customWidth="1"/>
    <col min="8198" max="8198" width="0" style="2" hidden="1" customWidth="1"/>
    <col min="8199" max="8199" width="46.7109375" style="2" bestFit="1" customWidth="1"/>
    <col min="8200" max="8200" width="13" style="2" customWidth="1"/>
    <col min="8201" max="8201" width="7.28515625" style="2" bestFit="1" customWidth="1"/>
    <col min="8202" max="8202" width="2" style="2" bestFit="1" customWidth="1"/>
    <col min="8203" max="8203" width="31.7109375" style="2" bestFit="1" customWidth="1"/>
    <col min="8204" max="8205" width="11.42578125" style="2"/>
    <col min="8206" max="8206" width="13.5703125" style="2" customWidth="1"/>
    <col min="8207" max="8448" width="11.42578125" style="2"/>
    <col min="8449" max="8449" width="4" style="2" customWidth="1"/>
    <col min="8450" max="8450" width="42.85546875" style="2" bestFit="1" customWidth="1"/>
    <col min="8451" max="8451" width="6.7109375" style="2" bestFit="1" customWidth="1"/>
    <col min="8452" max="8452" width="11.5703125" style="2" customWidth="1"/>
    <col min="8453" max="8453" width="2.28515625" style="2" customWidth="1"/>
    <col min="8454" max="8454" width="0" style="2" hidden="1" customWidth="1"/>
    <col min="8455" max="8455" width="46.7109375" style="2" bestFit="1" customWidth="1"/>
    <col min="8456" max="8456" width="13" style="2" customWidth="1"/>
    <col min="8457" max="8457" width="7.28515625" style="2" bestFit="1" customWidth="1"/>
    <col min="8458" max="8458" width="2" style="2" bestFit="1" customWidth="1"/>
    <col min="8459" max="8459" width="31.7109375" style="2" bestFit="1" customWidth="1"/>
    <col min="8460" max="8461" width="11.42578125" style="2"/>
    <col min="8462" max="8462" width="13.5703125" style="2" customWidth="1"/>
    <col min="8463" max="8704" width="11.42578125" style="2"/>
    <col min="8705" max="8705" width="4" style="2" customWidth="1"/>
    <col min="8706" max="8706" width="42.85546875" style="2" bestFit="1" customWidth="1"/>
    <col min="8707" max="8707" width="6.7109375" style="2" bestFit="1" customWidth="1"/>
    <col min="8708" max="8708" width="11.5703125" style="2" customWidth="1"/>
    <col min="8709" max="8709" width="2.28515625" style="2" customWidth="1"/>
    <col min="8710" max="8710" width="0" style="2" hidden="1" customWidth="1"/>
    <col min="8711" max="8711" width="46.7109375" style="2" bestFit="1" customWidth="1"/>
    <col min="8712" max="8712" width="13" style="2" customWidth="1"/>
    <col min="8713" max="8713" width="7.28515625" style="2" bestFit="1" customWidth="1"/>
    <col min="8714" max="8714" width="2" style="2" bestFit="1" customWidth="1"/>
    <col min="8715" max="8715" width="31.7109375" style="2" bestFit="1" customWidth="1"/>
    <col min="8716" max="8717" width="11.42578125" style="2"/>
    <col min="8718" max="8718" width="13.5703125" style="2" customWidth="1"/>
    <col min="8719" max="8960" width="11.42578125" style="2"/>
    <col min="8961" max="8961" width="4" style="2" customWidth="1"/>
    <col min="8962" max="8962" width="42.85546875" style="2" bestFit="1" customWidth="1"/>
    <col min="8963" max="8963" width="6.7109375" style="2" bestFit="1" customWidth="1"/>
    <col min="8964" max="8964" width="11.5703125" style="2" customWidth="1"/>
    <col min="8965" max="8965" width="2.28515625" style="2" customWidth="1"/>
    <col min="8966" max="8966" width="0" style="2" hidden="1" customWidth="1"/>
    <col min="8967" max="8967" width="46.7109375" style="2" bestFit="1" customWidth="1"/>
    <col min="8968" max="8968" width="13" style="2" customWidth="1"/>
    <col min="8969" max="8969" width="7.28515625" style="2" bestFit="1" customWidth="1"/>
    <col min="8970" max="8970" width="2" style="2" bestFit="1" customWidth="1"/>
    <col min="8971" max="8971" width="31.7109375" style="2" bestFit="1" customWidth="1"/>
    <col min="8972" max="8973" width="11.42578125" style="2"/>
    <col min="8974" max="8974" width="13.5703125" style="2" customWidth="1"/>
    <col min="8975" max="9216" width="11.42578125" style="2"/>
    <col min="9217" max="9217" width="4" style="2" customWidth="1"/>
    <col min="9218" max="9218" width="42.85546875" style="2" bestFit="1" customWidth="1"/>
    <col min="9219" max="9219" width="6.7109375" style="2" bestFit="1" customWidth="1"/>
    <col min="9220" max="9220" width="11.5703125" style="2" customWidth="1"/>
    <col min="9221" max="9221" width="2.28515625" style="2" customWidth="1"/>
    <col min="9222" max="9222" width="0" style="2" hidden="1" customWidth="1"/>
    <col min="9223" max="9223" width="46.7109375" style="2" bestFit="1" customWidth="1"/>
    <col min="9224" max="9224" width="13" style="2" customWidth="1"/>
    <col min="9225" max="9225" width="7.28515625" style="2" bestFit="1" customWidth="1"/>
    <col min="9226" max="9226" width="2" style="2" bestFit="1" customWidth="1"/>
    <col min="9227" max="9227" width="31.7109375" style="2" bestFit="1" customWidth="1"/>
    <col min="9228" max="9229" width="11.42578125" style="2"/>
    <col min="9230" max="9230" width="13.5703125" style="2" customWidth="1"/>
    <col min="9231" max="9472" width="11.42578125" style="2"/>
    <col min="9473" max="9473" width="4" style="2" customWidth="1"/>
    <col min="9474" max="9474" width="42.85546875" style="2" bestFit="1" customWidth="1"/>
    <col min="9475" max="9475" width="6.7109375" style="2" bestFit="1" customWidth="1"/>
    <col min="9476" max="9476" width="11.5703125" style="2" customWidth="1"/>
    <col min="9477" max="9477" width="2.28515625" style="2" customWidth="1"/>
    <col min="9478" max="9478" width="0" style="2" hidden="1" customWidth="1"/>
    <col min="9479" max="9479" width="46.7109375" style="2" bestFit="1" customWidth="1"/>
    <col min="9480" max="9480" width="13" style="2" customWidth="1"/>
    <col min="9481" max="9481" width="7.28515625" style="2" bestFit="1" customWidth="1"/>
    <col min="9482" max="9482" width="2" style="2" bestFit="1" customWidth="1"/>
    <col min="9483" max="9483" width="31.7109375" style="2" bestFit="1" customWidth="1"/>
    <col min="9484" max="9485" width="11.42578125" style="2"/>
    <col min="9486" max="9486" width="13.5703125" style="2" customWidth="1"/>
    <col min="9487" max="9728" width="11.42578125" style="2"/>
    <col min="9729" max="9729" width="4" style="2" customWidth="1"/>
    <col min="9730" max="9730" width="42.85546875" style="2" bestFit="1" customWidth="1"/>
    <col min="9731" max="9731" width="6.7109375" style="2" bestFit="1" customWidth="1"/>
    <col min="9732" max="9732" width="11.5703125" style="2" customWidth="1"/>
    <col min="9733" max="9733" width="2.28515625" style="2" customWidth="1"/>
    <col min="9734" max="9734" width="0" style="2" hidden="1" customWidth="1"/>
    <col min="9735" max="9735" width="46.7109375" style="2" bestFit="1" customWidth="1"/>
    <col min="9736" max="9736" width="13" style="2" customWidth="1"/>
    <col min="9737" max="9737" width="7.28515625" style="2" bestFit="1" customWidth="1"/>
    <col min="9738" max="9738" width="2" style="2" bestFit="1" customWidth="1"/>
    <col min="9739" max="9739" width="31.7109375" style="2" bestFit="1" customWidth="1"/>
    <col min="9740" max="9741" width="11.42578125" style="2"/>
    <col min="9742" max="9742" width="13.5703125" style="2" customWidth="1"/>
    <col min="9743" max="9984" width="11.42578125" style="2"/>
    <col min="9985" max="9985" width="4" style="2" customWidth="1"/>
    <col min="9986" max="9986" width="42.85546875" style="2" bestFit="1" customWidth="1"/>
    <col min="9987" max="9987" width="6.7109375" style="2" bestFit="1" customWidth="1"/>
    <col min="9988" max="9988" width="11.5703125" style="2" customWidth="1"/>
    <col min="9989" max="9989" width="2.28515625" style="2" customWidth="1"/>
    <col min="9990" max="9990" width="0" style="2" hidden="1" customWidth="1"/>
    <col min="9991" max="9991" width="46.7109375" style="2" bestFit="1" customWidth="1"/>
    <col min="9992" max="9992" width="13" style="2" customWidth="1"/>
    <col min="9993" max="9993" width="7.28515625" style="2" bestFit="1" customWidth="1"/>
    <col min="9994" max="9994" width="2" style="2" bestFit="1" customWidth="1"/>
    <col min="9995" max="9995" width="31.7109375" style="2" bestFit="1" customWidth="1"/>
    <col min="9996" max="9997" width="11.42578125" style="2"/>
    <col min="9998" max="9998" width="13.5703125" style="2" customWidth="1"/>
    <col min="9999" max="10240" width="11.42578125" style="2"/>
    <col min="10241" max="10241" width="4" style="2" customWidth="1"/>
    <col min="10242" max="10242" width="42.85546875" style="2" bestFit="1" customWidth="1"/>
    <col min="10243" max="10243" width="6.7109375" style="2" bestFit="1" customWidth="1"/>
    <col min="10244" max="10244" width="11.5703125" style="2" customWidth="1"/>
    <col min="10245" max="10245" width="2.28515625" style="2" customWidth="1"/>
    <col min="10246" max="10246" width="0" style="2" hidden="1" customWidth="1"/>
    <col min="10247" max="10247" width="46.7109375" style="2" bestFit="1" customWidth="1"/>
    <col min="10248" max="10248" width="13" style="2" customWidth="1"/>
    <col min="10249" max="10249" width="7.28515625" style="2" bestFit="1" customWidth="1"/>
    <col min="10250" max="10250" width="2" style="2" bestFit="1" customWidth="1"/>
    <col min="10251" max="10251" width="31.7109375" style="2" bestFit="1" customWidth="1"/>
    <col min="10252" max="10253" width="11.42578125" style="2"/>
    <col min="10254" max="10254" width="13.5703125" style="2" customWidth="1"/>
    <col min="10255" max="10496" width="11.42578125" style="2"/>
    <col min="10497" max="10497" width="4" style="2" customWidth="1"/>
    <col min="10498" max="10498" width="42.85546875" style="2" bestFit="1" customWidth="1"/>
    <col min="10499" max="10499" width="6.7109375" style="2" bestFit="1" customWidth="1"/>
    <col min="10500" max="10500" width="11.5703125" style="2" customWidth="1"/>
    <col min="10501" max="10501" width="2.28515625" style="2" customWidth="1"/>
    <col min="10502" max="10502" width="0" style="2" hidden="1" customWidth="1"/>
    <col min="10503" max="10503" width="46.7109375" style="2" bestFit="1" customWidth="1"/>
    <col min="10504" max="10504" width="13" style="2" customWidth="1"/>
    <col min="10505" max="10505" width="7.28515625" style="2" bestFit="1" customWidth="1"/>
    <col min="10506" max="10506" width="2" style="2" bestFit="1" customWidth="1"/>
    <col min="10507" max="10507" width="31.7109375" style="2" bestFit="1" customWidth="1"/>
    <col min="10508" max="10509" width="11.42578125" style="2"/>
    <col min="10510" max="10510" width="13.5703125" style="2" customWidth="1"/>
    <col min="10511" max="10752" width="11.42578125" style="2"/>
    <col min="10753" max="10753" width="4" style="2" customWidth="1"/>
    <col min="10754" max="10754" width="42.85546875" style="2" bestFit="1" customWidth="1"/>
    <col min="10755" max="10755" width="6.7109375" style="2" bestFit="1" customWidth="1"/>
    <col min="10756" max="10756" width="11.5703125" style="2" customWidth="1"/>
    <col min="10757" max="10757" width="2.28515625" style="2" customWidth="1"/>
    <col min="10758" max="10758" width="0" style="2" hidden="1" customWidth="1"/>
    <col min="10759" max="10759" width="46.7109375" style="2" bestFit="1" customWidth="1"/>
    <col min="10760" max="10760" width="13" style="2" customWidth="1"/>
    <col min="10761" max="10761" width="7.28515625" style="2" bestFit="1" customWidth="1"/>
    <col min="10762" max="10762" width="2" style="2" bestFit="1" customWidth="1"/>
    <col min="10763" max="10763" width="31.7109375" style="2" bestFit="1" customWidth="1"/>
    <col min="10764" max="10765" width="11.42578125" style="2"/>
    <col min="10766" max="10766" width="13.5703125" style="2" customWidth="1"/>
    <col min="10767" max="11008" width="11.42578125" style="2"/>
    <col min="11009" max="11009" width="4" style="2" customWidth="1"/>
    <col min="11010" max="11010" width="42.85546875" style="2" bestFit="1" customWidth="1"/>
    <col min="11011" max="11011" width="6.7109375" style="2" bestFit="1" customWidth="1"/>
    <col min="11012" max="11012" width="11.5703125" style="2" customWidth="1"/>
    <col min="11013" max="11013" width="2.28515625" style="2" customWidth="1"/>
    <col min="11014" max="11014" width="0" style="2" hidden="1" customWidth="1"/>
    <col min="11015" max="11015" width="46.7109375" style="2" bestFit="1" customWidth="1"/>
    <col min="11016" max="11016" width="13" style="2" customWidth="1"/>
    <col min="11017" max="11017" width="7.28515625" style="2" bestFit="1" customWidth="1"/>
    <col min="11018" max="11018" width="2" style="2" bestFit="1" customWidth="1"/>
    <col min="11019" max="11019" width="31.7109375" style="2" bestFit="1" customWidth="1"/>
    <col min="11020" max="11021" width="11.42578125" style="2"/>
    <col min="11022" max="11022" width="13.5703125" style="2" customWidth="1"/>
    <col min="11023" max="11264" width="11.42578125" style="2"/>
    <col min="11265" max="11265" width="4" style="2" customWidth="1"/>
    <col min="11266" max="11266" width="42.85546875" style="2" bestFit="1" customWidth="1"/>
    <col min="11267" max="11267" width="6.7109375" style="2" bestFit="1" customWidth="1"/>
    <col min="11268" max="11268" width="11.5703125" style="2" customWidth="1"/>
    <col min="11269" max="11269" width="2.28515625" style="2" customWidth="1"/>
    <col min="11270" max="11270" width="0" style="2" hidden="1" customWidth="1"/>
    <col min="11271" max="11271" width="46.7109375" style="2" bestFit="1" customWidth="1"/>
    <col min="11272" max="11272" width="13" style="2" customWidth="1"/>
    <col min="11273" max="11273" width="7.28515625" style="2" bestFit="1" customWidth="1"/>
    <col min="11274" max="11274" width="2" style="2" bestFit="1" customWidth="1"/>
    <col min="11275" max="11275" width="31.7109375" style="2" bestFit="1" customWidth="1"/>
    <col min="11276" max="11277" width="11.42578125" style="2"/>
    <col min="11278" max="11278" width="13.5703125" style="2" customWidth="1"/>
    <col min="11279" max="11520" width="11.42578125" style="2"/>
    <col min="11521" max="11521" width="4" style="2" customWidth="1"/>
    <col min="11522" max="11522" width="42.85546875" style="2" bestFit="1" customWidth="1"/>
    <col min="11523" max="11523" width="6.7109375" style="2" bestFit="1" customWidth="1"/>
    <col min="11524" max="11524" width="11.5703125" style="2" customWidth="1"/>
    <col min="11525" max="11525" width="2.28515625" style="2" customWidth="1"/>
    <col min="11526" max="11526" width="0" style="2" hidden="1" customWidth="1"/>
    <col min="11527" max="11527" width="46.7109375" style="2" bestFit="1" customWidth="1"/>
    <col min="11528" max="11528" width="13" style="2" customWidth="1"/>
    <col min="11529" max="11529" width="7.28515625" style="2" bestFit="1" customWidth="1"/>
    <col min="11530" max="11530" width="2" style="2" bestFit="1" customWidth="1"/>
    <col min="11531" max="11531" width="31.7109375" style="2" bestFit="1" customWidth="1"/>
    <col min="11532" max="11533" width="11.42578125" style="2"/>
    <col min="11534" max="11534" width="13.5703125" style="2" customWidth="1"/>
    <col min="11535" max="11776" width="11.42578125" style="2"/>
    <col min="11777" max="11777" width="4" style="2" customWidth="1"/>
    <col min="11778" max="11778" width="42.85546875" style="2" bestFit="1" customWidth="1"/>
    <col min="11779" max="11779" width="6.7109375" style="2" bestFit="1" customWidth="1"/>
    <col min="11780" max="11780" width="11.5703125" style="2" customWidth="1"/>
    <col min="11781" max="11781" width="2.28515625" style="2" customWidth="1"/>
    <col min="11782" max="11782" width="0" style="2" hidden="1" customWidth="1"/>
    <col min="11783" max="11783" width="46.7109375" style="2" bestFit="1" customWidth="1"/>
    <col min="11784" max="11784" width="13" style="2" customWidth="1"/>
    <col min="11785" max="11785" width="7.28515625" style="2" bestFit="1" customWidth="1"/>
    <col min="11786" max="11786" width="2" style="2" bestFit="1" customWidth="1"/>
    <col min="11787" max="11787" width="31.7109375" style="2" bestFit="1" customWidth="1"/>
    <col min="11788" max="11789" width="11.42578125" style="2"/>
    <col min="11790" max="11790" width="13.5703125" style="2" customWidth="1"/>
    <col min="11791" max="12032" width="11.42578125" style="2"/>
    <col min="12033" max="12033" width="4" style="2" customWidth="1"/>
    <col min="12034" max="12034" width="42.85546875" style="2" bestFit="1" customWidth="1"/>
    <col min="12035" max="12035" width="6.7109375" style="2" bestFit="1" customWidth="1"/>
    <col min="12036" max="12036" width="11.5703125" style="2" customWidth="1"/>
    <col min="12037" max="12037" width="2.28515625" style="2" customWidth="1"/>
    <col min="12038" max="12038" width="0" style="2" hidden="1" customWidth="1"/>
    <col min="12039" max="12039" width="46.7109375" style="2" bestFit="1" customWidth="1"/>
    <col min="12040" max="12040" width="13" style="2" customWidth="1"/>
    <col min="12041" max="12041" width="7.28515625" style="2" bestFit="1" customWidth="1"/>
    <col min="12042" max="12042" width="2" style="2" bestFit="1" customWidth="1"/>
    <col min="12043" max="12043" width="31.7109375" style="2" bestFit="1" customWidth="1"/>
    <col min="12044" max="12045" width="11.42578125" style="2"/>
    <col min="12046" max="12046" width="13.5703125" style="2" customWidth="1"/>
    <col min="12047" max="12288" width="11.42578125" style="2"/>
    <col min="12289" max="12289" width="4" style="2" customWidth="1"/>
    <col min="12290" max="12290" width="42.85546875" style="2" bestFit="1" customWidth="1"/>
    <col min="12291" max="12291" width="6.7109375" style="2" bestFit="1" customWidth="1"/>
    <col min="12292" max="12292" width="11.5703125" style="2" customWidth="1"/>
    <col min="12293" max="12293" width="2.28515625" style="2" customWidth="1"/>
    <col min="12294" max="12294" width="0" style="2" hidden="1" customWidth="1"/>
    <col min="12295" max="12295" width="46.7109375" style="2" bestFit="1" customWidth="1"/>
    <col min="12296" max="12296" width="13" style="2" customWidth="1"/>
    <col min="12297" max="12297" width="7.28515625" style="2" bestFit="1" customWidth="1"/>
    <col min="12298" max="12298" width="2" style="2" bestFit="1" customWidth="1"/>
    <col min="12299" max="12299" width="31.7109375" style="2" bestFit="1" customWidth="1"/>
    <col min="12300" max="12301" width="11.42578125" style="2"/>
    <col min="12302" max="12302" width="13.5703125" style="2" customWidth="1"/>
    <col min="12303" max="12544" width="11.42578125" style="2"/>
    <col min="12545" max="12545" width="4" style="2" customWidth="1"/>
    <col min="12546" max="12546" width="42.85546875" style="2" bestFit="1" customWidth="1"/>
    <col min="12547" max="12547" width="6.7109375" style="2" bestFit="1" customWidth="1"/>
    <col min="12548" max="12548" width="11.5703125" style="2" customWidth="1"/>
    <col min="12549" max="12549" width="2.28515625" style="2" customWidth="1"/>
    <col min="12550" max="12550" width="0" style="2" hidden="1" customWidth="1"/>
    <col min="12551" max="12551" width="46.7109375" style="2" bestFit="1" customWidth="1"/>
    <col min="12552" max="12552" width="13" style="2" customWidth="1"/>
    <col min="12553" max="12553" width="7.28515625" style="2" bestFit="1" customWidth="1"/>
    <col min="12554" max="12554" width="2" style="2" bestFit="1" customWidth="1"/>
    <col min="12555" max="12555" width="31.7109375" style="2" bestFit="1" customWidth="1"/>
    <col min="12556" max="12557" width="11.42578125" style="2"/>
    <col min="12558" max="12558" width="13.5703125" style="2" customWidth="1"/>
    <col min="12559" max="12800" width="11.42578125" style="2"/>
    <col min="12801" max="12801" width="4" style="2" customWidth="1"/>
    <col min="12802" max="12802" width="42.85546875" style="2" bestFit="1" customWidth="1"/>
    <col min="12803" max="12803" width="6.7109375" style="2" bestFit="1" customWidth="1"/>
    <col min="12804" max="12804" width="11.5703125" style="2" customWidth="1"/>
    <col min="12805" max="12805" width="2.28515625" style="2" customWidth="1"/>
    <col min="12806" max="12806" width="0" style="2" hidden="1" customWidth="1"/>
    <col min="12807" max="12807" width="46.7109375" style="2" bestFit="1" customWidth="1"/>
    <col min="12808" max="12808" width="13" style="2" customWidth="1"/>
    <col min="12809" max="12809" width="7.28515625" style="2" bestFit="1" customWidth="1"/>
    <col min="12810" max="12810" width="2" style="2" bestFit="1" customWidth="1"/>
    <col min="12811" max="12811" width="31.7109375" style="2" bestFit="1" customWidth="1"/>
    <col min="12812" max="12813" width="11.42578125" style="2"/>
    <col min="12814" max="12814" width="13.5703125" style="2" customWidth="1"/>
    <col min="12815" max="13056" width="11.42578125" style="2"/>
    <col min="13057" max="13057" width="4" style="2" customWidth="1"/>
    <col min="13058" max="13058" width="42.85546875" style="2" bestFit="1" customWidth="1"/>
    <col min="13059" max="13059" width="6.7109375" style="2" bestFit="1" customWidth="1"/>
    <col min="13060" max="13060" width="11.5703125" style="2" customWidth="1"/>
    <col min="13061" max="13061" width="2.28515625" style="2" customWidth="1"/>
    <col min="13062" max="13062" width="0" style="2" hidden="1" customWidth="1"/>
    <col min="13063" max="13063" width="46.7109375" style="2" bestFit="1" customWidth="1"/>
    <col min="13064" max="13064" width="13" style="2" customWidth="1"/>
    <col min="13065" max="13065" width="7.28515625" style="2" bestFit="1" customWidth="1"/>
    <col min="13066" max="13066" width="2" style="2" bestFit="1" customWidth="1"/>
    <col min="13067" max="13067" width="31.7109375" style="2" bestFit="1" customWidth="1"/>
    <col min="13068" max="13069" width="11.42578125" style="2"/>
    <col min="13070" max="13070" width="13.5703125" style="2" customWidth="1"/>
    <col min="13071" max="13312" width="11.42578125" style="2"/>
    <col min="13313" max="13313" width="4" style="2" customWidth="1"/>
    <col min="13314" max="13314" width="42.85546875" style="2" bestFit="1" customWidth="1"/>
    <col min="13315" max="13315" width="6.7109375" style="2" bestFit="1" customWidth="1"/>
    <col min="13316" max="13316" width="11.5703125" style="2" customWidth="1"/>
    <col min="13317" max="13317" width="2.28515625" style="2" customWidth="1"/>
    <col min="13318" max="13318" width="0" style="2" hidden="1" customWidth="1"/>
    <col min="13319" max="13319" width="46.7109375" style="2" bestFit="1" customWidth="1"/>
    <col min="13320" max="13320" width="13" style="2" customWidth="1"/>
    <col min="13321" max="13321" width="7.28515625" style="2" bestFit="1" customWidth="1"/>
    <col min="13322" max="13322" width="2" style="2" bestFit="1" customWidth="1"/>
    <col min="13323" max="13323" width="31.7109375" style="2" bestFit="1" customWidth="1"/>
    <col min="13324" max="13325" width="11.42578125" style="2"/>
    <col min="13326" max="13326" width="13.5703125" style="2" customWidth="1"/>
    <col min="13327" max="13568" width="11.42578125" style="2"/>
    <col min="13569" max="13569" width="4" style="2" customWidth="1"/>
    <col min="13570" max="13570" width="42.85546875" style="2" bestFit="1" customWidth="1"/>
    <col min="13571" max="13571" width="6.7109375" style="2" bestFit="1" customWidth="1"/>
    <col min="13572" max="13572" width="11.5703125" style="2" customWidth="1"/>
    <col min="13573" max="13573" width="2.28515625" style="2" customWidth="1"/>
    <col min="13574" max="13574" width="0" style="2" hidden="1" customWidth="1"/>
    <col min="13575" max="13575" width="46.7109375" style="2" bestFit="1" customWidth="1"/>
    <col min="13576" max="13576" width="13" style="2" customWidth="1"/>
    <col min="13577" max="13577" width="7.28515625" style="2" bestFit="1" customWidth="1"/>
    <col min="13578" max="13578" width="2" style="2" bestFit="1" customWidth="1"/>
    <col min="13579" max="13579" width="31.7109375" style="2" bestFit="1" customWidth="1"/>
    <col min="13580" max="13581" width="11.42578125" style="2"/>
    <col min="13582" max="13582" width="13.5703125" style="2" customWidth="1"/>
    <col min="13583" max="13824" width="11.42578125" style="2"/>
    <col min="13825" max="13825" width="4" style="2" customWidth="1"/>
    <col min="13826" max="13826" width="42.85546875" style="2" bestFit="1" customWidth="1"/>
    <col min="13827" max="13827" width="6.7109375" style="2" bestFit="1" customWidth="1"/>
    <col min="13828" max="13828" width="11.5703125" style="2" customWidth="1"/>
    <col min="13829" max="13829" width="2.28515625" style="2" customWidth="1"/>
    <col min="13830" max="13830" width="0" style="2" hidden="1" customWidth="1"/>
    <col min="13831" max="13831" width="46.7109375" style="2" bestFit="1" customWidth="1"/>
    <col min="13832" max="13832" width="13" style="2" customWidth="1"/>
    <col min="13833" max="13833" width="7.28515625" style="2" bestFit="1" customWidth="1"/>
    <col min="13834" max="13834" width="2" style="2" bestFit="1" customWidth="1"/>
    <col min="13835" max="13835" width="31.7109375" style="2" bestFit="1" customWidth="1"/>
    <col min="13836" max="13837" width="11.42578125" style="2"/>
    <col min="13838" max="13838" width="13.5703125" style="2" customWidth="1"/>
    <col min="13839" max="14080" width="11.42578125" style="2"/>
    <col min="14081" max="14081" width="4" style="2" customWidth="1"/>
    <col min="14082" max="14082" width="42.85546875" style="2" bestFit="1" customWidth="1"/>
    <col min="14083" max="14083" width="6.7109375" style="2" bestFit="1" customWidth="1"/>
    <col min="14084" max="14084" width="11.5703125" style="2" customWidth="1"/>
    <col min="14085" max="14085" width="2.28515625" style="2" customWidth="1"/>
    <col min="14086" max="14086" width="0" style="2" hidden="1" customWidth="1"/>
    <col min="14087" max="14087" width="46.7109375" style="2" bestFit="1" customWidth="1"/>
    <col min="14088" max="14088" width="13" style="2" customWidth="1"/>
    <col min="14089" max="14089" width="7.28515625" style="2" bestFit="1" customWidth="1"/>
    <col min="14090" max="14090" width="2" style="2" bestFit="1" customWidth="1"/>
    <col min="14091" max="14091" width="31.7109375" style="2" bestFit="1" customWidth="1"/>
    <col min="14092" max="14093" width="11.42578125" style="2"/>
    <col min="14094" max="14094" width="13.5703125" style="2" customWidth="1"/>
    <col min="14095" max="14336" width="11.42578125" style="2"/>
    <col min="14337" max="14337" width="4" style="2" customWidth="1"/>
    <col min="14338" max="14338" width="42.85546875" style="2" bestFit="1" customWidth="1"/>
    <col min="14339" max="14339" width="6.7109375" style="2" bestFit="1" customWidth="1"/>
    <col min="14340" max="14340" width="11.5703125" style="2" customWidth="1"/>
    <col min="14341" max="14341" width="2.28515625" style="2" customWidth="1"/>
    <col min="14342" max="14342" width="0" style="2" hidden="1" customWidth="1"/>
    <col min="14343" max="14343" width="46.7109375" style="2" bestFit="1" customWidth="1"/>
    <col min="14344" max="14344" width="13" style="2" customWidth="1"/>
    <col min="14345" max="14345" width="7.28515625" style="2" bestFit="1" customWidth="1"/>
    <col min="14346" max="14346" width="2" style="2" bestFit="1" customWidth="1"/>
    <col min="14347" max="14347" width="31.7109375" style="2" bestFit="1" customWidth="1"/>
    <col min="14348" max="14349" width="11.42578125" style="2"/>
    <col min="14350" max="14350" width="13.5703125" style="2" customWidth="1"/>
    <col min="14351" max="14592" width="11.42578125" style="2"/>
    <col min="14593" max="14593" width="4" style="2" customWidth="1"/>
    <col min="14594" max="14594" width="42.85546875" style="2" bestFit="1" customWidth="1"/>
    <col min="14595" max="14595" width="6.7109375" style="2" bestFit="1" customWidth="1"/>
    <col min="14596" max="14596" width="11.5703125" style="2" customWidth="1"/>
    <col min="14597" max="14597" width="2.28515625" style="2" customWidth="1"/>
    <col min="14598" max="14598" width="0" style="2" hidden="1" customWidth="1"/>
    <col min="14599" max="14599" width="46.7109375" style="2" bestFit="1" customWidth="1"/>
    <col min="14600" max="14600" width="13" style="2" customWidth="1"/>
    <col min="14601" max="14601" width="7.28515625" style="2" bestFit="1" customWidth="1"/>
    <col min="14602" max="14602" width="2" style="2" bestFit="1" customWidth="1"/>
    <col min="14603" max="14603" width="31.7109375" style="2" bestFit="1" customWidth="1"/>
    <col min="14604" max="14605" width="11.42578125" style="2"/>
    <col min="14606" max="14606" width="13.5703125" style="2" customWidth="1"/>
    <col min="14607" max="14848" width="11.42578125" style="2"/>
    <col min="14849" max="14849" width="4" style="2" customWidth="1"/>
    <col min="14850" max="14850" width="42.85546875" style="2" bestFit="1" customWidth="1"/>
    <col min="14851" max="14851" width="6.7109375" style="2" bestFit="1" customWidth="1"/>
    <col min="14852" max="14852" width="11.5703125" style="2" customWidth="1"/>
    <col min="14853" max="14853" width="2.28515625" style="2" customWidth="1"/>
    <col min="14854" max="14854" width="0" style="2" hidden="1" customWidth="1"/>
    <col min="14855" max="14855" width="46.7109375" style="2" bestFit="1" customWidth="1"/>
    <col min="14856" max="14856" width="13" style="2" customWidth="1"/>
    <col min="14857" max="14857" width="7.28515625" style="2" bestFit="1" customWidth="1"/>
    <col min="14858" max="14858" width="2" style="2" bestFit="1" customWidth="1"/>
    <col min="14859" max="14859" width="31.7109375" style="2" bestFit="1" customWidth="1"/>
    <col min="14860" max="14861" width="11.42578125" style="2"/>
    <col min="14862" max="14862" width="13.5703125" style="2" customWidth="1"/>
    <col min="14863" max="15104" width="11.42578125" style="2"/>
    <col min="15105" max="15105" width="4" style="2" customWidth="1"/>
    <col min="15106" max="15106" width="42.85546875" style="2" bestFit="1" customWidth="1"/>
    <col min="15107" max="15107" width="6.7109375" style="2" bestFit="1" customWidth="1"/>
    <col min="15108" max="15108" width="11.5703125" style="2" customWidth="1"/>
    <col min="15109" max="15109" width="2.28515625" style="2" customWidth="1"/>
    <col min="15110" max="15110" width="0" style="2" hidden="1" customWidth="1"/>
    <col min="15111" max="15111" width="46.7109375" style="2" bestFit="1" customWidth="1"/>
    <col min="15112" max="15112" width="13" style="2" customWidth="1"/>
    <col min="15113" max="15113" width="7.28515625" style="2" bestFit="1" customWidth="1"/>
    <col min="15114" max="15114" width="2" style="2" bestFit="1" customWidth="1"/>
    <col min="15115" max="15115" width="31.7109375" style="2" bestFit="1" customWidth="1"/>
    <col min="15116" max="15117" width="11.42578125" style="2"/>
    <col min="15118" max="15118" width="13.5703125" style="2" customWidth="1"/>
    <col min="15119" max="15360" width="11.42578125" style="2"/>
    <col min="15361" max="15361" width="4" style="2" customWidth="1"/>
    <col min="15362" max="15362" width="42.85546875" style="2" bestFit="1" customWidth="1"/>
    <col min="15363" max="15363" width="6.7109375" style="2" bestFit="1" customWidth="1"/>
    <col min="15364" max="15364" width="11.5703125" style="2" customWidth="1"/>
    <col min="15365" max="15365" width="2.28515625" style="2" customWidth="1"/>
    <col min="15366" max="15366" width="0" style="2" hidden="1" customWidth="1"/>
    <col min="15367" max="15367" width="46.7109375" style="2" bestFit="1" customWidth="1"/>
    <col min="15368" max="15368" width="13" style="2" customWidth="1"/>
    <col min="15369" max="15369" width="7.28515625" style="2" bestFit="1" customWidth="1"/>
    <col min="15370" max="15370" width="2" style="2" bestFit="1" customWidth="1"/>
    <col min="15371" max="15371" width="31.7109375" style="2" bestFit="1" customWidth="1"/>
    <col min="15372" max="15373" width="11.42578125" style="2"/>
    <col min="15374" max="15374" width="13.5703125" style="2" customWidth="1"/>
    <col min="15375" max="15616" width="11.42578125" style="2"/>
    <col min="15617" max="15617" width="4" style="2" customWidth="1"/>
    <col min="15618" max="15618" width="42.85546875" style="2" bestFit="1" customWidth="1"/>
    <col min="15619" max="15619" width="6.7109375" style="2" bestFit="1" customWidth="1"/>
    <col min="15620" max="15620" width="11.5703125" style="2" customWidth="1"/>
    <col min="15621" max="15621" width="2.28515625" style="2" customWidth="1"/>
    <col min="15622" max="15622" width="0" style="2" hidden="1" customWidth="1"/>
    <col min="15623" max="15623" width="46.7109375" style="2" bestFit="1" customWidth="1"/>
    <col min="15624" max="15624" width="13" style="2" customWidth="1"/>
    <col min="15625" max="15625" width="7.28515625" style="2" bestFit="1" customWidth="1"/>
    <col min="15626" max="15626" width="2" style="2" bestFit="1" customWidth="1"/>
    <col min="15627" max="15627" width="31.7109375" style="2" bestFit="1" customWidth="1"/>
    <col min="15628" max="15629" width="11.42578125" style="2"/>
    <col min="15630" max="15630" width="13.5703125" style="2" customWidth="1"/>
    <col min="15631" max="15872" width="11.42578125" style="2"/>
    <col min="15873" max="15873" width="4" style="2" customWidth="1"/>
    <col min="15874" max="15874" width="42.85546875" style="2" bestFit="1" customWidth="1"/>
    <col min="15875" max="15875" width="6.7109375" style="2" bestFit="1" customWidth="1"/>
    <col min="15876" max="15876" width="11.5703125" style="2" customWidth="1"/>
    <col min="15877" max="15877" width="2.28515625" style="2" customWidth="1"/>
    <col min="15878" max="15878" width="0" style="2" hidden="1" customWidth="1"/>
    <col min="15879" max="15879" width="46.7109375" style="2" bestFit="1" customWidth="1"/>
    <col min="15880" max="15880" width="13" style="2" customWidth="1"/>
    <col min="15881" max="15881" width="7.28515625" style="2" bestFit="1" customWidth="1"/>
    <col min="15882" max="15882" width="2" style="2" bestFit="1" customWidth="1"/>
    <col min="15883" max="15883" width="31.7109375" style="2" bestFit="1" customWidth="1"/>
    <col min="15884" max="15885" width="11.42578125" style="2"/>
    <col min="15886" max="15886" width="13.5703125" style="2" customWidth="1"/>
    <col min="15887" max="16128" width="11.42578125" style="2"/>
    <col min="16129" max="16129" width="4" style="2" customWidth="1"/>
    <col min="16130" max="16130" width="42.85546875" style="2" bestFit="1" customWidth="1"/>
    <col min="16131" max="16131" width="6.7109375" style="2" bestFit="1" customWidth="1"/>
    <col min="16132" max="16132" width="11.5703125" style="2" customWidth="1"/>
    <col min="16133" max="16133" width="2.28515625" style="2" customWidth="1"/>
    <col min="16134" max="16134" width="0" style="2" hidden="1" customWidth="1"/>
    <col min="16135" max="16135" width="46.7109375" style="2" bestFit="1" customWidth="1"/>
    <col min="16136" max="16136" width="13" style="2" customWidth="1"/>
    <col min="16137" max="16137" width="7.28515625" style="2" bestFit="1" customWidth="1"/>
    <col min="16138" max="16138" width="2" style="2" bestFit="1" customWidth="1"/>
    <col min="16139" max="16139" width="31.7109375" style="2" bestFit="1" customWidth="1"/>
    <col min="16140" max="16141" width="11.42578125" style="2"/>
    <col min="16142" max="16142" width="13.5703125" style="2" customWidth="1"/>
    <col min="16143" max="16384" width="11.42578125" style="2"/>
  </cols>
  <sheetData>
    <row r="1" spans="1:17" s="108" customFormat="1" ht="12.75" customHeight="1">
      <c r="A1" s="106"/>
      <c r="B1" s="650" t="s">
        <v>7</v>
      </c>
      <c r="C1" s="650" t="s">
        <v>96</v>
      </c>
      <c r="D1" s="650" t="s">
        <v>33</v>
      </c>
      <c r="E1" s="107"/>
      <c r="F1" s="653" t="s">
        <v>97</v>
      </c>
      <c r="G1" s="655" t="s">
        <v>21</v>
      </c>
      <c r="H1" s="655" t="s">
        <v>29</v>
      </c>
      <c r="I1" s="2"/>
      <c r="J1" s="2"/>
      <c r="K1" s="2"/>
      <c r="L1" s="2"/>
      <c r="M1" s="2"/>
      <c r="N1" s="2"/>
      <c r="O1" s="2"/>
      <c r="P1" s="2"/>
      <c r="Q1" s="2"/>
    </row>
    <row r="2" spans="1:17" s="108" customFormat="1">
      <c r="A2" s="106"/>
      <c r="B2" s="651"/>
      <c r="C2" s="651"/>
      <c r="D2" s="652"/>
      <c r="E2" s="107"/>
      <c r="F2" s="654"/>
      <c r="G2" s="656"/>
      <c r="H2" s="657"/>
      <c r="I2" s="2"/>
      <c r="J2" s="2"/>
      <c r="K2" s="2"/>
      <c r="L2" s="2"/>
      <c r="M2" s="2"/>
      <c r="N2" s="2"/>
      <c r="O2" s="2"/>
      <c r="P2" s="2"/>
      <c r="Q2" s="2"/>
    </row>
    <row r="3" spans="1:17">
      <c r="B3" s="109" t="s">
        <v>8</v>
      </c>
      <c r="C3" s="110"/>
      <c r="D3" s="111"/>
      <c r="E3" s="112"/>
      <c r="F3" s="113"/>
      <c r="G3" s="110" t="s">
        <v>98</v>
      </c>
      <c r="H3" s="114">
        <f>'[49]Prix de revient'!D10</f>
        <v>2455687.7200000002</v>
      </c>
      <c r="I3" s="115">
        <f>H3/$H$22</f>
        <v>0.2113954303937057</v>
      </c>
    </row>
    <row r="4" spans="1:17">
      <c r="B4" s="116" t="s">
        <v>37</v>
      </c>
      <c r="C4" s="117"/>
      <c r="D4" s="118">
        <f>SUM(D3)</f>
        <v>0</v>
      </c>
      <c r="E4" s="119"/>
      <c r="F4" s="120">
        <f>SUM(F3)</f>
        <v>0</v>
      </c>
      <c r="G4" s="121" t="s">
        <v>46</v>
      </c>
      <c r="H4" s="122">
        <f>'[49]Prix de revient'!D12</f>
        <v>3306813.6103789355</v>
      </c>
      <c r="I4" s="115">
        <f>H4/$H$22</f>
        <v>0.28466375455826237</v>
      </c>
    </row>
    <row r="5" spans="1:17">
      <c r="A5" s="13" t="s">
        <v>15</v>
      </c>
      <c r="B5" s="123" t="s">
        <v>9</v>
      </c>
      <c r="C5" s="121">
        <v>40</v>
      </c>
      <c r="D5" s="111">
        <f>'[49]Prix de revient'!I5</f>
        <v>580828.00475000008</v>
      </c>
      <c r="E5" s="112"/>
      <c r="F5" s="124">
        <f>($H$9)/$H$22*D5</f>
        <v>288125.06663356285</v>
      </c>
      <c r="G5" s="121"/>
      <c r="H5" s="122"/>
    </row>
    <row r="6" spans="1:17">
      <c r="A6" s="13" t="s">
        <v>15</v>
      </c>
      <c r="B6" s="123" t="s">
        <v>99</v>
      </c>
      <c r="C6" s="121">
        <v>40</v>
      </c>
      <c r="D6" s="111">
        <f>'[49]Prix de revient'!I3</f>
        <v>4646624.0380000006</v>
      </c>
      <c r="E6" s="112"/>
      <c r="F6" s="124">
        <f>($H$9)/$H$22*D6</f>
        <v>2305000.5330685028</v>
      </c>
      <c r="G6" s="121"/>
      <c r="H6" s="122"/>
    </row>
    <row r="7" spans="1:17">
      <c r="A7" s="13" t="s">
        <v>15</v>
      </c>
      <c r="B7" s="125" t="s">
        <v>100</v>
      </c>
      <c r="C7" s="121">
        <v>40</v>
      </c>
      <c r="D7" s="111">
        <f>'[49]Prix de revient'!I4</f>
        <v>1161656.0095000002</v>
      </c>
      <c r="E7" s="112"/>
      <c r="F7" s="124">
        <f>($H$9)/$H$22*D7</f>
        <v>576250.1332671257</v>
      </c>
      <c r="G7" s="121"/>
      <c r="H7" s="122"/>
    </row>
    <row r="8" spans="1:17">
      <c r="A8" s="13" t="s">
        <v>15</v>
      </c>
      <c r="B8" s="123" t="s">
        <v>3</v>
      </c>
      <c r="C8" s="121">
        <v>30</v>
      </c>
      <c r="D8" s="111">
        <f>'[49]Prix de revient'!I6</f>
        <v>580828.00475000008</v>
      </c>
      <c r="E8" s="112"/>
      <c r="F8" s="124">
        <f>($H$9)/$H$22*D8</f>
        <v>288125.06663356285</v>
      </c>
      <c r="G8" s="121"/>
      <c r="H8" s="122"/>
    </row>
    <row r="9" spans="1:17">
      <c r="B9" s="126" t="s">
        <v>99</v>
      </c>
      <c r="C9" s="127"/>
      <c r="D9" s="118">
        <f>SUM(D5:D8)</f>
        <v>6969936.0570000019</v>
      </c>
      <c r="E9" s="119"/>
      <c r="F9" s="120">
        <f>SUM(F5:F8)</f>
        <v>3457500.7996027544</v>
      </c>
      <c r="G9" s="127" t="s">
        <v>101</v>
      </c>
      <c r="H9" s="128">
        <f>SUM(H3:H8)</f>
        <v>5762501.3303789357</v>
      </c>
      <c r="I9" s="115">
        <f>H9/$H$22</f>
        <v>0.49605918495196805</v>
      </c>
    </row>
    <row r="10" spans="1:17">
      <c r="A10" s="13" t="s">
        <v>1</v>
      </c>
      <c r="B10" s="123" t="s">
        <v>16</v>
      </c>
      <c r="C10" s="121">
        <v>35</v>
      </c>
      <c r="D10" s="111">
        <f>'[49]Prix de revient'!I7</f>
        <v>580828.00475000008</v>
      </c>
      <c r="E10" s="112"/>
      <c r="F10" s="124">
        <f t="shared" ref="F10:F18" si="0">($H$9)/$H$22*D10</f>
        <v>288125.06663356285</v>
      </c>
      <c r="G10" s="121" t="s">
        <v>102</v>
      </c>
      <c r="H10" s="122">
        <f>'[49]Prix de revient'!D13</f>
        <v>5854058.7599999998</v>
      </c>
      <c r="I10" s="129">
        <f>H10/$H$22</f>
        <v>0.5039408150480319</v>
      </c>
      <c r="K10" s="130"/>
    </row>
    <row r="11" spans="1:17">
      <c r="A11" s="13" t="s">
        <v>4</v>
      </c>
      <c r="B11" s="123" t="s">
        <v>17</v>
      </c>
      <c r="C11" s="121">
        <v>20</v>
      </c>
      <c r="D11" s="111">
        <f>'[49]Prix de revient'!I8</f>
        <v>464662.40380000003</v>
      </c>
      <c r="E11" s="112"/>
      <c r="F11" s="124">
        <f t="shared" si="0"/>
        <v>230500.05330685028</v>
      </c>
      <c r="G11" s="121"/>
      <c r="H11" s="122"/>
      <c r="I11" s="115">
        <f>H11/$H$22</f>
        <v>0</v>
      </c>
    </row>
    <row r="12" spans="1:17">
      <c r="A12" s="13" t="s">
        <v>13</v>
      </c>
      <c r="B12" s="123" t="s">
        <v>103</v>
      </c>
      <c r="C12" s="121">
        <v>15</v>
      </c>
      <c r="D12" s="111">
        <f>'[49]Prix de revient'!I9</f>
        <v>232331.20190000001</v>
      </c>
      <c r="E12" s="112"/>
      <c r="F12" s="124">
        <f t="shared" si="0"/>
        <v>115250.02665342514</v>
      </c>
      <c r="G12" s="121"/>
      <c r="H12" s="131"/>
      <c r="I12" s="115">
        <f>H12/$H$22</f>
        <v>0</v>
      </c>
      <c r="K12" s="130"/>
    </row>
    <row r="13" spans="1:17">
      <c r="A13" s="13" t="s">
        <v>5</v>
      </c>
      <c r="B13" s="123" t="s">
        <v>104</v>
      </c>
      <c r="C13" s="121">
        <v>10</v>
      </c>
      <c r="D13" s="111">
        <f>'[49]Prix de revient'!I10</f>
        <v>464662.40380000003</v>
      </c>
      <c r="E13" s="112"/>
      <c r="F13" s="124">
        <f t="shared" si="0"/>
        <v>230500.05330685028</v>
      </c>
      <c r="G13" s="121"/>
      <c r="H13" s="122"/>
      <c r="I13" s="115"/>
    </row>
    <row r="14" spans="1:17">
      <c r="A14" s="13" t="s">
        <v>6</v>
      </c>
      <c r="B14" s="123" t="s">
        <v>105</v>
      </c>
      <c r="C14" s="121">
        <v>15</v>
      </c>
      <c r="D14" s="111">
        <f>'[49]Prix de revient'!I12</f>
        <v>232331.20190000001</v>
      </c>
      <c r="E14" s="112"/>
      <c r="F14" s="124">
        <f t="shared" si="0"/>
        <v>115250.02665342514</v>
      </c>
      <c r="G14" s="121"/>
      <c r="H14" s="122"/>
      <c r="I14" s="115"/>
    </row>
    <row r="15" spans="1:17">
      <c r="A15" s="13" t="s">
        <v>12</v>
      </c>
      <c r="B15" s="123" t="s">
        <v>19</v>
      </c>
      <c r="C15" s="121">
        <v>20</v>
      </c>
      <c r="D15" s="111">
        <f>'[49]Prix de revient'!I13</f>
        <v>116165.60095000001</v>
      </c>
      <c r="E15" s="112"/>
      <c r="F15" s="124">
        <f t="shared" si="0"/>
        <v>57625.013326712571</v>
      </c>
      <c r="G15" s="121"/>
      <c r="H15" s="122"/>
      <c r="I15" s="115"/>
    </row>
    <row r="16" spans="1:17">
      <c r="A16" s="13" t="s">
        <v>14</v>
      </c>
      <c r="B16" s="123" t="s">
        <v>20</v>
      </c>
      <c r="C16" s="121">
        <v>20</v>
      </c>
      <c r="D16" s="111">
        <f>'[49]Prix de revient'!I14</f>
        <v>1742484.01425</v>
      </c>
      <c r="E16" s="112"/>
      <c r="F16" s="124">
        <f t="shared" si="0"/>
        <v>864375.19990068849</v>
      </c>
      <c r="G16" s="121"/>
      <c r="H16" s="122"/>
      <c r="I16" s="115"/>
    </row>
    <row r="17" spans="1:11">
      <c r="A17" s="13" t="s">
        <v>34</v>
      </c>
      <c r="B17" s="123" t="s">
        <v>106</v>
      </c>
      <c r="C17" s="121">
        <v>15</v>
      </c>
      <c r="D17" s="111">
        <f>'[49]Prix de revient'!I15</f>
        <v>580828.00475000008</v>
      </c>
      <c r="E17" s="112"/>
      <c r="F17" s="124">
        <f t="shared" si="0"/>
        <v>288125.06663356285</v>
      </c>
      <c r="G17" s="117"/>
      <c r="H17" s="132"/>
      <c r="I17" s="115"/>
    </row>
    <row r="18" spans="1:11">
      <c r="A18" s="13" t="s">
        <v>107</v>
      </c>
      <c r="B18" s="123" t="s">
        <v>26</v>
      </c>
      <c r="C18" s="121">
        <v>15</v>
      </c>
      <c r="D18" s="111">
        <f>'[49]Prix de revient'!I16</f>
        <v>232331.20190000001</v>
      </c>
      <c r="E18" s="112"/>
      <c r="F18" s="124">
        <f t="shared" si="0"/>
        <v>115250.02665342514</v>
      </c>
      <c r="G18" s="121"/>
      <c r="H18" s="133"/>
      <c r="I18" s="115"/>
    </row>
    <row r="19" spans="1:11">
      <c r="B19" s="116" t="s">
        <v>108</v>
      </c>
      <c r="C19" s="117"/>
      <c r="D19" s="118">
        <f>SUM(D10:D18)</f>
        <v>4646624.0379999997</v>
      </c>
      <c r="E19" s="119"/>
      <c r="F19" s="120">
        <f>SUM(F10:F18)</f>
        <v>2305000.5330685033</v>
      </c>
      <c r="G19" s="121"/>
      <c r="H19" s="133"/>
    </row>
    <row r="20" spans="1:11">
      <c r="B20" s="116" t="s">
        <v>109</v>
      </c>
      <c r="C20" s="117"/>
      <c r="D20" s="118">
        <f>SUM(D9,D19)</f>
        <v>11616560.095000003</v>
      </c>
      <c r="E20" s="119"/>
      <c r="F20" s="120">
        <f>SUM(F9,F19)</f>
        <v>5762501.3326712577</v>
      </c>
      <c r="G20" s="134" t="s">
        <v>110</v>
      </c>
      <c r="H20" s="128">
        <f>SUM(H10:H17)</f>
        <v>5854058.7599999998</v>
      </c>
      <c r="I20" s="115">
        <f>H20/$H$22</f>
        <v>0.5039408150480319</v>
      </c>
    </row>
    <row r="21" spans="1:11">
      <c r="B21" s="135"/>
      <c r="C21" s="136"/>
      <c r="D21" s="111"/>
      <c r="E21" s="112"/>
      <c r="F21" s="124">
        <f>($H$3)/$H$22*D21</f>
        <v>0</v>
      </c>
      <c r="G21" s="137"/>
      <c r="H21" s="138"/>
      <c r="I21" s="115"/>
    </row>
    <row r="22" spans="1:11">
      <c r="B22" s="139" t="s">
        <v>111</v>
      </c>
      <c r="C22" s="140"/>
      <c r="D22" s="141">
        <f>D21+D20+D4</f>
        <v>11616560.095000003</v>
      </c>
      <c r="E22" s="142"/>
      <c r="F22" s="143">
        <f>F21+F20+F4</f>
        <v>5762501.3326712577</v>
      </c>
      <c r="G22" s="140" t="s">
        <v>24</v>
      </c>
      <c r="H22" s="144">
        <f>H21+H20+H9</f>
        <v>11616560.090378936</v>
      </c>
      <c r="I22" s="115">
        <f>H22/$H$22</f>
        <v>1</v>
      </c>
      <c r="J22" s="130"/>
      <c r="K22" s="130">
        <f>D22-H22</f>
        <v>4.621066153049469E-3</v>
      </c>
    </row>
    <row r="23" spans="1:11">
      <c r="H23" s="130"/>
    </row>
  </sheetData>
  <mergeCells count="6">
    <mergeCell ref="H1:H2"/>
    <mergeCell ref="B1:B2"/>
    <mergeCell ref="C1:C2"/>
    <mergeCell ref="D1:D2"/>
    <mergeCell ref="F1:F2"/>
    <mergeCell ref="G1:G2"/>
  </mergeCells>
  <pageMargins left="0.78740157480314965" right="0.78740157480314965" top="1.3779527559055118" bottom="0.98425196850393704" header="0.51181102362204722" footer="0.51181102362204722"/>
  <pageSetup paperSize="9" scale="96" orientation="landscape" r:id="rId1"/>
  <headerFooter alignWithMargins="0">
    <oddHeader>&amp;LSODEGIS&amp;CPLAN DE FINANCEMENT
RESIDENCE UNIVERSITAIRE
CAMPUS UNIVERSITAIRE DE SAINT-PIERRE&amp;RPLS
VD</oddHead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F0"/>
    <pageSetUpPr fitToPage="1"/>
  </sheetPr>
  <dimension ref="A1:P71"/>
  <sheetViews>
    <sheetView showGridLines="0" workbookViewId="0">
      <selection activeCell="B2" sqref="B2"/>
    </sheetView>
  </sheetViews>
  <sheetFormatPr baseColWidth="10" defaultRowHeight="12.75"/>
  <cols>
    <col min="1" max="1" width="36.28515625" style="2" bestFit="1" customWidth="1"/>
    <col min="2" max="2" width="8.7109375" style="2" customWidth="1"/>
    <col min="3" max="3" width="11.42578125" style="2"/>
    <col min="4" max="4" width="12.7109375" style="2" bestFit="1" customWidth="1"/>
    <col min="5" max="5" width="3" style="2" customWidth="1"/>
    <col min="6" max="6" width="2.42578125" style="2" bestFit="1" customWidth="1"/>
    <col min="7" max="7" width="41.140625" style="2" bestFit="1" customWidth="1"/>
    <col min="8" max="8" width="8" style="2" bestFit="1" customWidth="1"/>
    <col min="9" max="9" width="14.28515625" style="2" bestFit="1" customWidth="1"/>
    <col min="10" max="10" width="7" style="13" bestFit="1" customWidth="1"/>
    <col min="11" max="11" width="14.42578125" style="2" bestFit="1" customWidth="1"/>
    <col min="12" max="256" width="11.42578125" style="2"/>
    <col min="257" max="257" width="36.28515625" style="2" bestFit="1" customWidth="1"/>
    <col min="258" max="258" width="8.7109375" style="2" customWidth="1"/>
    <col min="259" max="259" width="11.42578125" style="2"/>
    <col min="260" max="260" width="12.7109375" style="2" bestFit="1" customWidth="1"/>
    <col min="261" max="261" width="3" style="2" customWidth="1"/>
    <col min="262" max="262" width="2.42578125" style="2" bestFit="1" customWidth="1"/>
    <col min="263" max="263" width="41.140625" style="2" bestFit="1" customWidth="1"/>
    <col min="264" max="264" width="8" style="2" bestFit="1" customWidth="1"/>
    <col min="265" max="265" width="14.28515625" style="2" bestFit="1" customWidth="1"/>
    <col min="266" max="266" width="7" style="2" bestFit="1" customWidth="1"/>
    <col min="267" max="267" width="14.42578125" style="2" bestFit="1" customWidth="1"/>
    <col min="268" max="512" width="11.42578125" style="2"/>
    <col min="513" max="513" width="36.28515625" style="2" bestFit="1" customWidth="1"/>
    <col min="514" max="514" width="8.7109375" style="2" customWidth="1"/>
    <col min="515" max="515" width="11.42578125" style="2"/>
    <col min="516" max="516" width="12.7109375" style="2" bestFit="1" customWidth="1"/>
    <col min="517" max="517" width="3" style="2" customWidth="1"/>
    <col min="518" max="518" width="2.42578125" style="2" bestFit="1" customWidth="1"/>
    <col min="519" max="519" width="41.140625" style="2" bestFit="1" customWidth="1"/>
    <col min="520" max="520" width="8" style="2" bestFit="1" customWidth="1"/>
    <col min="521" max="521" width="14.28515625" style="2" bestFit="1" customWidth="1"/>
    <col min="522" max="522" width="7" style="2" bestFit="1" customWidth="1"/>
    <col min="523" max="523" width="14.42578125" style="2" bestFit="1" customWidth="1"/>
    <col min="524" max="768" width="11.42578125" style="2"/>
    <col min="769" max="769" width="36.28515625" style="2" bestFit="1" customWidth="1"/>
    <col min="770" max="770" width="8.7109375" style="2" customWidth="1"/>
    <col min="771" max="771" width="11.42578125" style="2"/>
    <col min="772" max="772" width="12.7109375" style="2" bestFit="1" customWidth="1"/>
    <col min="773" max="773" width="3" style="2" customWidth="1"/>
    <col min="774" max="774" width="2.42578125" style="2" bestFit="1" customWidth="1"/>
    <col min="775" max="775" width="41.140625" style="2" bestFit="1" customWidth="1"/>
    <col min="776" max="776" width="8" style="2" bestFit="1" customWidth="1"/>
    <col min="777" max="777" width="14.28515625" style="2" bestFit="1" customWidth="1"/>
    <col min="778" max="778" width="7" style="2" bestFit="1" customWidth="1"/>
    <col min="779" max="779" width="14.42578125" style="2" bestFit="1" customWidth="1"/>
    <col min="780" max="1024" width="11.42578125" style="2"/>
    <col min="1025" max="1025" width="36.28515625" style="2" bestFit="1" customWidth="1"/>
    <col min="1026" max="1026" width="8.7109375" style="2" customWidth="1"/>
    <col min="1027" max="1027" width="11.42578125" style="2"/>
    <col min="1028" max="1028" width="12.7109375" style="2" bestFit="1" customWidth="1"/>
    <col min="1029" max="1029" width="3" style="2" customWidth="1"/>
    <col min="1030" max="1030" width="2.42578125" style="2" bestFit="1" customWidth="1"/>
    <col min="1031" max="1031" width="41.140625" style="2" bestFit="1" customWidth="1"/>
    <col min="1032" max="1032" width="8" style="2" bestFit="1" customWidth="1"/>
    <col min="1033" max="1033" width="14.28515625" style="2" bestFit="1" customWidth="1"/>
    <col min="1034" max="1034" width="7" style="2" bestFit="1" customWidth="1"/>
    <col min="1035" max="1035" width="14.42578125" style="2" bestFit="1" customWidth="1"/>
    <col min="1036" max="1280" width="11.42578125" style="2"/>
    <col min="1281" max="1281" width="36.28515625" style="2" bestFit="1" customWidth="1"/>
    <col min="1282" max="1282" width="8.7109375" style="2" customWidth="1"/>
    <col min="1283" max="1283" width="11.42578125" style="2"/>
    <col min="1284" max="1284" width="12.7109375" style="2" bestFit="1" customWidth="1"/>
    <col min="1285" max="1285" width="3" style="2" customWidth="1"/>
    <col min="1286" max="1286" width="2.42578125" style="2" bestFit="1" customWidth="1"/>
    <col min="1287" max="1287" width="41.140625" style="2" bestFit="1" customWidth="1"/>
    <col min="1288" max="1288" width="8" style="2" bestFit="1" customWidth="1"/>
    <col min="1289" max="1289" width="14.28515625" style="2" bestFit="1" customWidth="1"/>
    <col min="1290" max="1290" width="7" style="2" bestFit="1" customWidth="1"/>
    <col min="1291" max="1291" width="14.42578125" style="2" bestFit="1" customWidth="1"/>
    <col min="1292" max="1536" width="11.42578125" style="2"/>
    <col min="1537" max="1537" width="36.28515625" style="2" bestFit="1" customWidth="1"/>
    <col min="1538" max="1538" width="8.7109375" style="2" customWidth="1"/>
    <col min="1539" max="1539" width="11.42578125" style="2"/>
    <col min="1540" max="1540" width="12.7109375" style="2" bestFit="1" customWidth="1"/>
    <col min="1541" max="1541" width="3" style="2" customWidth="1"/>
    <col min="1542" max="1542" width="2.42578125" style="2" bestFit="1" customWidth="1"/>
    <col min="1543" max="1543" width="41.140625" style="2" bestFit="1" customWidth="1"/>
    <col min="1544" max="1544" width="8" style="2" bestFit="1" customWidth="1"/>
    <col min="1545" max="1545" width="14.28515625" style="2" bestFit="1" customWidth="1"/>
    <col min="1546" max="1546" width="7" style="2" bestFit="1" customWidth="1"/>
    <col min="1547" max="1547" width="14.42578125" style="2" bestFit="1" customWidth="1"/>
    <col min="1548" max="1792" width="11.42578125" style="2"/>
    <col min="1793" max="1793" width="36.28515625" style="2" bestFit="1" customWidth="1"/>
    <col min="1794" max="1794" width="8.7109375" style="2" customWidth="1"/>
    <col min="1795" max="1795" width="11.42578125" style="2"/>
    <col min="1796" max="1796" width="12.7109375" style="2" bestFit="1" customWidth="1"/>
    <col min="1797" max="1797" width="3" style="2" customWidth="1"/>
    <col min="1798" max="1798" width="2.42578125" style="2" bestFit="1" customWidth="1"/>
    <col min="1799" max="1799" width="41.140625" style="2" bestFit="1" customWidth="1"/>
    <col min="1800" max="1800" width="8" style="2" bestFit="1" customWidth="1"/>
    <col min="1801" max="1801" width="14.28515625" style="2" bestFit="1" customWidth="1"/>
    <col min="1802" max="1802" width="7" style="2" bestFit="1" customWidth="1"/>
    <col min="1803" max="1803" width="14.42578125" style="2" bestFit="1" customWidth="1"/>
    <col min="1804" max="2048" width="11.42578125" style="2"/>
    <col min="2049" max="2049" width="36.28515625" style="2" bestFit="1" customWidth="1"/>
    <col min="2050" max="2050" width="8.7109375" style="2" customWidth="1"/>
    <col min="2051" max="2051" width="11.42578125" style="2"/>
    <col min="2052" max="2052" width="12.7109375" style="2" bestFit="1" customWidth="1"/>
    <col min="2053" max="2053" width="3" style="2" customWidth="1"/>
    <col min="2054" max="2054" width="2.42578125" style="2" bestFit="1" customWidth="1"/>
    <col min="2055" max="2055" width="41.140625" style="2" bestFit="1" customWidth="1"/>
    <col min="2056" max="2056" width="8" style="2" bestFit="1" customWidth="1"/>
    <col min="2057" max="2057" width="14.28515625" style="2" bestFit="1" customWidth="1"/>
    <col min="2058" max="2058" width="7" style="2" bestFit="1" customWidth="1"/>
    <col min="2059" max="2059" width="14.42578125" style="2" bestFit="1" customWidth="1"/>
    <col min="2060" max="2304" width="11.42578125" style="2"/>
    <col min="2305" max="2305" width="36.28515625" style="2" bestFit="1" customWidth="1"/>
    <col min="2306" max="2306" width="8.7109375" style="2" customWidth="1"/>
    <col min="2307" max="2307" width="11.42578125" style="2"/>
    <col min="2308" max="2308" width="12.7109375" style="2" bestFit="1" customWidth="1"/>
    <col min="2309" max="2309" width="3" style="2" customWidth="1"/>
    <col min="2310" max="2310" width="2.42578125" style="2" bestFit="1" customWidth="1"/>
    <col min="2311" max="2311" width="41.140625" style="2" bestFit="1" customWidth="1"/>
    <col min="2312" max="2312" width="8" style="2" bestFit="1" customWidth="1"/>
    <col min="2313" max="2313" width="14.28515625" style="2" bestFit="1" customWidth="1"/>
    <col min="2314" max="2314" width="7" style="2" bestFit="1" customWidth="1"/>
    <col min="2315" max="2315" width="14.42578125" style="2" bestFit="1" customWidth="1"/>
    <col min="2316" max="2560" width="11.42578125" style="2"/>
    <col min="2561" max="2561" width="36.28515625" style="2" bestFit="1" customWidth="1"/>
    <col min="2562" max="2562" width="8.7109375" style="2" customWidth="1"/>
    <col min="2563" max="2563" width="11.42578125" style="2"/>
    <col min="2564" max="2564" width="12.7109375" style="2" bestFit="1" customWidth="1"/>
    <col min="2565" max="2565" width="3" style="2" customWidth="1"/>
    <col min="2566" max="2566" width="2.42578125" style="2" bestFit="1" customWidth="1"/>
    <col min="2567" max="2567" width="41.140625" style="2" bestFit="1" customWidth="1"/>
    <col min="2568" max="2568" width="8" style="2" bestFit="1" customWidth="1"/>
    <col min="2569" max="2569" width="14.28515625" style="2" bestFit="1" customWidth="1"/>
    <col min="2570" max="2570" width="7" style="2" bestFit="1" customWidth="1"/>
    <col min="2571" max="2571" width="14.42578125" style="2" bestFit="1" customWidth="1"/>
    <col min="2572" max="2816" width="11.42578125" style="2"/>
    <col min="2817" max="2817" width="36.28515625" style="2" bestFit="1" customWidth="1"/>
    <col min="2818" max="2818" width="8.7109375" style="2" customWidth="1"/>
    <col min="2819" max="2819" width="11.42578125" style="2"/>
    <col min="2820" max="2820" width="12.7109375" style="2" bestFit="1" customWidth="1"/>
    <col min="2821" max="2821" width="3" style="2" customWidth="1"/>
    <col min="2822" max="2822" width="2.42578125" style="2" bestFit="1" customWidth="1"/>
    <col min="2823" max="2823" width="41.140625" style="2" bestFit="1" customWidth="1"/>
    <col min="2824" max="2824" width="8" style="2" bestFit="1" customWidth="1"/>
    <col min="2825" max="2825" width="14.28515625" style="2" bestFit="1" customWidth="1"/>
    <col min="2826" max="2826" width="7" style="2" bestFit="1" customWidth="1"/>
    <col min="2827" max="2827" width="14.42578125" style="2" bestFit="1" customWidth="1"/>
    <col min="2828" max="3072" width="11.42578125" style="2"/>
    <col min="3073" max="3073" width="36.28515625" style="2" bestFit="1" customWidth="1"/>
    <col min="3074" max="3074" width="8.7109375" style="2" customWidth="1"/>
    <col min="3075" max="3075" width="11.42578125" style="2"/>
    <col min="3076" max="3076" width="12.7109375" style="2" bestFit="1" customWidth="1"/>
    <col min="3077" max="3077" width="3" style="2" customWidth="1"/>
    <col min="3078" max="3078" width="2.42578125" style="2" bestFit="1" customWidth="1"/>
    <col min="3079" max="3079" width="41.140625" style="2" bestFit="1" customWidth="1"/>
    <col min="3080" max="3080" width="8" style="2" bestFit="1" customWidth="1"/>
    <col min="3081" max="3081" width="14.28515625" style="2" bestFit="1" customWidth="1"/>
    <col min="3082" max="3082" width="7" style="2" bestFit="1" customWidth="1"/>
    <col min="3083" max="3083" width="14.42578125" style="2" bestFit="1" customWidth="1"/>
    <col min="3084" max="3328" width="11.42578125" style="2"/>
    <col min="3329" max="3329" width="36.28515625" style="2" bestFit="1" customWidth="1"/>
    <col min="3330" max="3330" width="8.7109375" style="2" customWidth="1"/>
    <col min="3331" max="3331" width="11.42578125" style="2"/>
    <col min="3332" max="3332" width="12.7109375" style="2" bestFit="1" customWidth="1"/>
    <col min="3333" max="3333" width="3" style="2" customWidth="1"/>
    <col min="3334" max="3334" width="2.42578125" style="2" bestFit="1" customWidth="1"/>
    <col min="3335" max="3335" width="41.140625" style="2" bestFit="1" customWidth="1"/>
    <col min="3336" max="3336" width="8" style="2" bestFit="1" customWidth="1"/>
    <col min="3337" max="3337" width="14.28515625" style="2" bestFit="1" customWidth="1"/>
    <col min="3338" max="3338" width="7" style="2" bestFit="1" customWidth="1"/>
    <col min="3339" max="3339" width="14.42578125" style="2" bestFit="1" customWidth="1"/>
    <col min="3340" max="3584" width="11.42578125" style="2"/>
    <col min="3585" max="3585" width="36.28515625" style="2" bestFit="1" customWidth="1"/>
    <col min="3586" max="3586" width="8.7109375" style="2" customWidth="1"/>
    <col min="3587" max="3587" width="11.42578125" style="2"/>
    <col min="3588" max="3588" width="12.7109375" style="2" bestFit="1" customWidth="1"/>
    <col min="3589" max="3589" width="3" style="2" customWidth="1"/>
    <col min="3590" max="3590" width="2.42578125" style="2" bestFit="1" customWidth="1"/>
    <col min="3591" max="3591" width="41.140625" style="2" bestFit="1" customWidth="1"/>
    <col min="3592" max="3592" width="8" style="2" bestFit="1" customWidth="1"/>
    <col min="3593" max="3593" width="14.28515625" style="2" bestFit="1" customWidth="1"/>
    <col min="3594" max="3594" width="7" style="2" bestFit="1" customWidth="1"/>
    <col min="3595" max="3595" width="14.42578125" style="2" bestFit="1" customWidth="1"/>
    <col min="3596" max="3840" width="11.42578125" style="2"/>
    <col min="3841" max="3841" width="36.28515625" style="2" bestFit="1" customWidth="1"/>
    <col min="3842" max="3842" width="8.7109375" style="2" customWidth="1"/>
    <col min="3843" max="3843" width="11.42578125" style="2"/>
    <col min="3844" max="3844" width="12.7109375" style="2" bestFit="1" customWidth="1"/>
    <col min="3845" max="3845" width="3" style="2" customWidth="1"/>
    <col min="3846" max="3846" width="2.42578125" style="2" bestFit="1" customWidth="1"/>
    <col min="3847" max="3847" width="41.140625" style="2" bestFit="1" customWidth="1"/>
    <col min="3848" max="3848" width="8" style="2" bestFit="1" customWidth="1"/>
    <col min="3849" max="3849" width="14.28515625" style="2" bestFit="1" customWidth="1"/>
    <col min="3850" max="3850" width="7" style="2" bestFit="1" customWidth="1"/>
    <col min="3851" max="3851" width="14.42578125" style="2" bestFit="1" customWidth="1"/>
    <col min="3852" max="4096" width="11.42578125" style="2"/>
    <col min="4097" max="4097" width="36.28515625" style="2" bestFit="1" customWidth="1"/>
    <col min="4098" max="4098" width="8.7109375" style="2" customWidth="1"/>
    <col min="4099" max="4099" width="11.42578125" style="2"/>
    <col min="4100" max="4100" width="12.7109375" style="2" bestFit="1" customWidth="1"/>
    <col min="4101" max="4101" width="3" style="2" customWidth="1"/>
    <col min="4102" max="4102" width="2.42578125" style="2" bestFit="1" customWidth="1"/>
    <col min="4103" max="4103" width="41.140625" style="2" bestFit="1" customWidth="1"/>
    <col min="4104" max="4104" width="8" style="2" bestFit="1" customWidth="1"/>
    <col min="4105" max="4105" width="14.28515625" style="2" bestFit="1" customWidth="1"/>
    <col min="4106" max="4106" width="7" style="2" bestFit="1" customWidth="1"/>
    <col min="4107" max="4107" width="14.42578125" style="2" bestFit="1" customWidth="1"/>
    <col min="4108" max="4352" width="11.42578125" style="2"/>
    <col min="4353" max="4353" width="36.28515625" style="2" bestFit="1" customWidth="1"/>
    <col min="4354" max="4354" width="8.7109375" style="2" customWidth="1"/>
    <col min="4355" max="4355" width="11.42578125" style="2"/>
    <col min="4356" max="4356" width="12.7109375" style="2" bestFit="1" customWidth="1"/>
    <col min="4357" max="4357" width="3" style="2" customWidth="1"/>
    <col min="4358" max="4358" width="2.42578125" style="2" bestFit="1" customWidth="1"/>
    <col min="4359" max="4359" width="41.140625" style="2" bestFit="1" customWidth="1"/>
    <col min="4360" max="4360" width="8" style="2" bestFit="1" customWidth="1"/>
    <col min="4361" max="4361" width="14.28515625" style="2" bestFit="1" customWidth="1"/>
    <col min="4362" max="4362" width="7" style="2" bestFit="1" customWidth="1"/>
    <col min="4363" max="4363" width="14.42578125" style="2" bestFit="1" customWidth="1"/>
    <col min="4364" max="4608" width="11.42578125" style="2"/>
    <col min="4609" max="4609" width="36.28515625" style="2" bestFit="1" customWidth="1"/>
    <col min="4610" max="4610" width="8.7109375" style="2" customWidth="1"/>
    <col min="4611" max="4611" width="11.42578125" style="2"/>
    <col min="4612" max="4612" width="12.7109375" style="2" bestFit="1" customWidth="1"/>
    <col min="4613" max="4613" width="3" style="2" customWidth="1"/>
    <col min="4614" max="4614" width="2.42578125" style="2" bestFit="1" customWidth="1"/>
    <col min="4615" max="4615" width="41.140625" style="2" bestFit="1" customWidth="1"/>
    <col min="4616" max="4616" width="8" style="2" bestFit="1" customWidth="1"/>
    <col min="4617" max="4617" width="14.28515625" style="2" bestFit="1" customWidth="1"/>
    <col min="4618" max="4618" width="7" style="2" bestFit="1" customWidth="1"/>
    <col min="4619" max="4619" width="14.42578125" style="2" bestFit="1" customWidth="1"/>
    <col min="4620" max="4864" width="11.42578125" style="2"/>
    <col min="4865" max="4865" width="36.28515625" style="2" bestFit="1" customWidth="1"/>
    <col min="4866" max="4866" width="8.7109375" style="2" customWidth="1"/>
    <col min="4867" max="4867" width="11.42578125" style="2"/>
    <col min="4868" max="4868" width="12.7109375" style="2" bestFit="1" customWidth="1"/>
    <col min="4869" max="4869" width="3" style="2" customWidth="1"/>
    <col min="4870" max="4870" width="2.42578125" style="2" bestFit="1" customWidth="1"/>
    <col min="4871" max="4871" width="41.140625" style="2" bestFit="1" customWidth="1"/>
    <col min="4872" max="4872" width="8" style="2" bestFit="1" customWidth="1"/>
    <col min="4873" max="4873" width="14.28515625" style="2" bestFit="1" customWidth="1"/>
    <col min="4874" max="4874" width="7" style="2" bestFit="1" customWidth="1"/>
    <col min="4875" max="4875" width="14.42578125" style="2" bestFit="1" customWidth="1"/>
    <col min="4876" max="5120" width="11.42578125" style="2"/>
    <col min="5121" max="5121" width="36.28515625" style="2" bestFit="1" customWidth="1"/>
    <col min="5122" max="5122" width="8.7109375" style="2" customWidth="1"/>
    <col min="5123" max="5123" width="11.42578125" style="2"/>
    <col min="5124" max="5124" width="12.7109375" style="2" bestFit="1" customWidth="1"/>
    <col min="5125" max="5125" width="3" style="2" customWidth="1"/>
    <col min="5126" max="5126" width="2.42578125" style="2" bestFit="1" customWidth="1"/>
    <col min="5127" max="5127" width="41.140625" style="2" bestFit="1" customWidth="1"/>
    <col min="5128" max="5128" width="8" style="2" bestFit="1" customWidth="1"/>
    <col min="5129" max="5129" width="14.28515625" style="2" bestFit="1" customWidth="1"/>
    <col min="5130" max="5130" width="7" style="2" bestFit="1" customWidth="1"/>
    <col min="5131" max="5131" width="14.42578125" style="2" bestFit="1" customWidth="1"/>
    <col min="5132" max="5376" width="11.42578125" style="2"/>
    <col min="5377" max="5377" width="36.28515625" style="2" bestFit="1" customWidth="1"/>
    <col min="5378" max="5378" width="8.7109375" style="2" customWidth="1"/>
    <col min="5379" max="5379" width="11.42578125" style="2"/>
    <col min="5380" max="5380" width="12.7109375" style="2" bestFit="1" customWidth="1"/>
    <col min="5381" max="5381" width="3" style="2" customWidth="1"/>
    <col min="5382" max="5382" width="2.42578125" style="2" bestFit="1" customWidth="1"/>
    <col min="5383" max="5383" width="41.140625" style="2" bestFit="1" customWidth="1"/>
    <col min="5384" max="5384" width="8" style="2" bestFit="1" customWidth="1"/>
    <col min="5385" max="5385" width="14.28515625" style="2" bestFit="1" customWidth="1"/>
    <col min="5386" max="5386" width="7" style="2" bestFit="1" customWidth="1"/>
    <col min="5387" max="5387" width="14.42578125" style="2" bestFit="1" customWidth="1"/>
    <col min="5388" max="5632" width="11.42578125" style="2"/>
    <col min="5633" max="5633" width="36.28515625" style="2" bestFit="1" customWidth="1"/>
    <col min="5634" max="5634" width="8.7109375" style="2" customWidth="1"/>
    <col min="5635" max="5635" width="11.42578125" style="2"/>
    <col min="5636" max="5636" width="12.7109375" style="2" bestFit="1" customWidth="1"/>
    <col min="5637" max="5637" width="3" style="2" customWidth="1"/>
    <col min="5638" max="5638" width="2.42578125" style="2" bestFit="1" customWidth="1"/>
    <col min="5639" max="5639" width="41.140625" style="2" bestFit="1" customWidth="1"/>
    <col min="5640" max="5640" width="8" style="2" bestFit="1" customWidth="1"/>
    <col min="5641" max="5641" width="14.28515625" style="2" bestFit="1" customWidth="1"/>
    <col min="5642" max="5642" width="7" style="2" bestFit="1" customWidth="1"/>
    <col min="5643" max="5643" width="14.42578125" style="2" bestFit="1" customWidth="1"/>
    <col min="5644" max="5888" width="11.42578125" style="2"/>
    <col min="5889" max="5889" width="36.28515625" style="2" bestFit="1" customWidth="1"/>
    <col min="5890" max="5890" width="8.7109375" style="2" customWidth="1"/>
    <col min="5891" max="5891" width="11.42578125" style="2"/>
    <col min="5892" max="5892" width="12.7109375" style="2" bestFit="1" customWidth="1"/>
    <col min="5893" max="5893" width="3" style="2" customWidth="1"/>
    <col min="5894" max="5894" width="2.42578125" style="2" bestFit="1" customWidth="1"/>
    <col min="5895" max="5895" width="41.140625" style="2" bestFit="1" customWidth="1"/>
    <col min="5896" max="5896" width="8" style="2" bestFit="1" customWidth="1"/>
    <col min="5897" max="5897" width="14.28515625" style="2" bestFit="1" customWidth="1"/>
    <col min="5898" max="5898" width="7" style="2" bestFit="1" customWidth="1"/>
    <col min="5899" max="5899" width="14.42578125" style="2" bestFit="1" customWidth="1"/>
    <col min="5900" max="6144" width="11.42578125" style="2"/>
    <col min="6145" max="6145" width="36.28515625" style="2" bestFit="1" customWidth="1"/>
    <col min="6146" max="6146" width="8.7109375" style="2" customWidth="1"/>
    <col min="6147" max="6147" width="11.42578125" style="2"/>
    <col min="6148" max="6148" width="12.7109375" style="2" bestFit="1" customWidth="1"/>
    <col min="6149" max="6149" width="3" style="2" customWidth="1"/>
    <col min="6150" max="6150" width="2.42578125" style="2" bestFit="1" customWidth="1"/>
    <col min="6151" max="6151" width="41.140625" style="2" bestFit="1" customWidth="1"/>
    <col min="6152" max="6152" width="8" style="2" bestFit="1" customWidth="1"/>
    <col min="6153" max="6153" width="14.28515625" style="2" bestFit="1" customWidth="1"/>
    <col min="6154" max="6154" width="7" style="2" bestFit="1" customWidth="1"/>
    <col min="6155" max="6155" width="14.42578125" style="2" bestFit="1" customWidth="1"/>
    <col min="6156" max="6400" width="11.42578125" style="2"/>
    <col min="6401" max="6401" width="36.28515625" style="2" bestFit="1" customWidth="1"/>
    <col min="6402" max="6402" width="8.7109375" style="2" customWidth="1"/>
    <col min="6403" max="6403" width="11.42578125" style="2"/>
    <col min="6404" max="6404" width="12.7109375" style="2" bestFit="1" customWidth="1"/>
    <col min="6405" max="6405" width="3" style="2" customWidth="1"/>
    <col min="6406" max="6406" width="2.42578125" style="2" bestFit="1" customWidth="1"/>
    <col min="6407" max="6407" width="41.140625" style="2" bestFit="1" customWidth="1"/>
    <col min="6408" max="6408" width="8" style="2" bestFit="1" customWidth="1"/>
    <col min="6409" max="6409" width="14.28515625" style="2" bestFit="1" customWidth="1"/>
    <col min="6410" max="6410" width="7" style="2" bestFit="1" customWidth="1"/>
    <col min="6411" max="6411" width="14.42578125" style="2" bestFit="1" customWidth="1"/>
    <col min="6412" max="6656" width="11.42578125" style="2"/>
    <col min="6657" max="6657" width="36.28515625" style="2" bestFit="1" customWidth="1"/>
    <col min="6658" max="6658" width="8.7109375" style="2" customWidth="1"/>
    <col min="6659" max="6659" width="11.42578125" style="2"/>
    <col min="6660" max="6660" width="12.7109375" style="2" bestFit="1" customWidth="1"/>
    <col min="6661" max="6661" width="3" style="2" customWidth="1"/>
    <col min="6662" max="6662" width="2.42578125" style="2" bestFit="1" customWidth="1"/>
    <col min="6663" max="6663" width="41.140625" style="2" bestFit="1" customWidth="1"/>
    <col min="6664" max="6664" width="8" style="2" bestFit="1" customWidth="1"/>
    <col min="6665" max="6665" width="14.28515625" style="2" bestFit="1" customWidth="1"/>
    <col min="6666" max="6666" width="7" style="2" bestFit="1" customWidth="1"/>
    <col min="6667" max="6667" width="14.42578125" style="2" bestFit="1" customWidth="1"/>
    <col min="6668" max="6912" width="11.42578125" style="2"/>
    <col min="6913" max="6913" width="36.28515625" style="2" bestFit="1" customWidth="1"/>
    <col min="6914" max="6914" width="8.7109375" style="2" customWidth="1"/>
    <col min="6915" max="6915" width="11.42578125" style="2"/>
    <col min="6916" max="6916" width="12.7109375" style="2" bestFit="1" customWidth="1"/>
    <col min="6917" max="6917" width="3" style="2" customWidth="1"/>
    <col min="6918" max="6918" width="2.42578125" style="2" bestFit="1" customWidth="1"/>
    <col min="6919" max="6919" width="41.140625" style="2" bestFit="1" customWidth="1"/>
    <col min="6920" max="6920" width="8" style="2" bestFit="1" customWidth="1"/>
    <col min="6921" max="6921" width="14.28515625" style="2" bestFit="1" customWidth="1"/>
    <col min="6922" max="6922" width="7" style="2" bestFit="1" customWidth="1"/>
    <col min="6923" max="6923" width="14.42578125" style="2" bestFit="1" customWidth="1"/>
    <col min="6924" max="7168" width="11.42578125" style="2"/>
    <col min="7169" max="7169" width="36.28515625" style="2" bestFit="1" customWidth="1"/>
    <col min="7170" max="7170" width="8.7109375" style="2" customWidth="1"/>
    <col min="7171" max="7171" width="11.42578125" style="2"/>
    <col min="7172" max="7172" width="12.7109375" style="2" bestFit="1" customWidth="1"/>
    <col min="7173" max="7173" width="3" style="2" customWidth="1"/>
    <col min="7174" max="7174" width="2.42578125" style="2" bestFit="1" customWidth="1"/>
    <col min="7175" max="7175" width="41.140625" style="2" bestFit="1" customWidth="1"/>
    <col min="7176" max="7176" width="8" style="2" bestFit="1" customWidth="1"/>
    <col min="7177" max="7177" width="14.28515625" style="2" bestFit="1" customWidth="1"/>
    <col min="7178" max="7178" width="7" style="2" bestFit="1" customWidth="1"/>
    <col min="7179" max="7179" width="14.42578125" style="2" bestFit="1" customWidth="1"/>
    <col min="7180" max="7424" width="11.42578125" style="2"/>
    <col min="7425" max="7425" width="36.28515625" style="2" bestFit="1" customWidth="1"/>
    <col min="7426" max="7426" width="8.7109375" style="2" customWidth="1"/>
    <col min="7427" max="7427" width="11.42578125" style="2"/>
    <col min="7428" max="7428" width="12.7109375" style="2" bestFit="1" customWidth="1"/>
    <col min="7429" max="7429" width="3" style="2" customWidth="1"/>
    <col min="7430" max="7430" width="2.42578125" style="2" bestFit="1" customWidth="1"/>
    <col min="7431" max="7431" width="41.140625" style="2" bestFit="1" customWidth="1"/>
    <col min="7432" max="7432" width="8" style="2" bestFit="1" customWidth="1"/>
    <col min="7433" max="7433" width="14.28515625" style="2" bestFit="1" customWidth="1"/>
    <col min="7434" max="7434" width="7" style="2" bestFit="1" customWidth="1"/>
    <col min="7435" max="7435" width="14.42578125" style="2" bestFit="1" customWidth="1"/>
    <col min="7436" max="7680" width="11.42578125" style="2"/>
    <col min="7681" max="7681" width="36.28515625" style="2" bestFit="1" customWidth="1"/>
    <col min="7682" max="7682" width="8.7109375" style="2" customWidth="1"/>
    <col min="7683" max="7683" width="11.42578125" style="2"/>
    <col min="7684" max="7684" width="12.7109375" style="2" bestFit="1" customWidth="1"/>
    <col min="7685" max="7685" width="3" style="2" customWidth="1"/>
    <col min="7686" max="7686" width="2.42578125" style="2" bestFit="1" customWidth="1"/>
    <col min="7687" max="7687" width="41.140625" style="2" bestFit="1" customWidth="1"/>
    <col min="7688" max="7688" width="8" style="2" bestFit="1" customWidth="1"/>
    <col min="7689" max="7689" width="14.28515625" style="2" bestFit="1" customWidth="1"/>
    <col min="7690" max="7690" width="7" style="2" bestFit="1" customWidth="1"/>
    <col min="7691" max="7691" width="14.42578125" style="2" bestFit="1" customWidth="1"/>
    <col min="7692" max="7936" width="11.42578125" style="2"/>
    <col min="7937" max="7937" width="36.28515625" style="2" bestFit="1" customWidth="1"/>
    <col min="7938" max="7938" width="8.7109375" style="2" customWidth="1"/>
    <col min="7939" max="7939" width="11.42578125" style="2"/>
    <col min="7940" max="7940" width="12.7109375" style="2" bestFit="1" customWidth="1"/>
    <col min="7941" max="7941" width="3" style="2" customWidth="1"/>
    <col min="7942" max="7942" width="2.42578125" style="2" bestFit="1" customWidth="1"/>
    <col min="7943" max="7943" width="41.140625" style="2" bestFit="1" customWidth="1"/>
    <col min="7944" max="7944" width="8" style="2" bestFit="1" customWidth="1"/>
    <col min="7945" max="7945" width="14.28515625" style="2" bestFit="1" customWidth="1"/>
    <col min="7946" max="7946" width="7" style="2" bestFit="1" customWidth="1"/>
    <col min="7947" max="7947" width="14.42578125" style="2" bestFit="1" customWidth="1"/>
    <col min="7948" max="8192" width="11.42578125" style="2"/>
    <col min="8193" max="8193" width="36.28515625" style="2" bestFit="1" customWidth="1"/>
    <col min="8194" max="8194" width="8.7109375" style="2" customWidth="1"/>
    <col min="8195" max="8195" width="11.42578125" style="2"/>
    <col min="8196" max="8196" width="12.7109375" style="2" bestFit="1" customWidth="1"/>
    <col min="8197" max="8197" width="3" style="2" customWidth="1"/>
    <col min="8198" max="8198" width="2.42578125" style="2" bestFit="1" customWidth="1"/>
    <col min="8199" max="8199" width="41.140625" style="2" bestFit="1" customWidth="1"/>
    <col min="8200" max="8200" width="8" style="2" bestFit="1" customWidth="1"/>
    <col min="8201" max="8201" width="14.28515625" style="2" bestFit="1" customWidth="1"/>
    <col min="8202" max="8202" width="7" style="2" bestFit="1" customWidth="1"/>
    <col min="8203" max="8203" width="14.42578125" style="2" bestFit="1" customWidth="1"/>
    <col min="8204" max="8448" width="11.42578125" style="2"/>
    <col min="8449" max="8449" width="36.28515625" style="2" bestFit="1" customWidth="1"/>
    <col min="8450" max="8450" width="8.7109375" style="2" customWidth="1"/>
    <col min="8451" max="8451" width="11.42578125" style="2"/>
    <col min="8452" max="8452" width="12.7109375" style="2" bestFit="1" customWidth="1"/>
    <col min="8453" max="8453" width="3" style="2" customWidth="1"/>
    <col min="8454" max="8454" width="2.42578125" style="2" bestFit="1" customWidth="1"/>
    <col min="8455" max="8455" width="41.140625" style="2" bestFit="1" customWidth="1"/>
    <col min="8456" max="8456" width="8" style="2" bestFit="1" customWidth="1"/>
    <col min="8457" max="8457" width="14.28515625" style="2" bestFit="1" customWidth="1"/>
    <col min="8458" max="8458" width="7" style="2" bestFit="1" customWidth="1"/>
    <col min="8459" max="8459" width="14.42578125" style="2" bestFit="1" customWidth="1"/>
    <col min="8460" max="8704" width="11.42578125" style="2"/>
    <col min="8705" max="8705" width="36.28515625" style="2" bestFit="1" customWidth="1"/>
    <col min="8706" max="8706" width="8.7109375" style="2" customWidth="1"/>
    <col min="8707" max="8707" width="11.42578125" style="2"/>
    <col min="8708" max="8708" width="12.7109375" style="2" bestFit="1" customWidth="1"/>
    <col min="8709" max="8709" width="3" style="2" customWidth="1"/>
    <col min="8710" max="8710" width="2.42578125" style="2" bestFit="1" customWidth="1"/>
    <col min="8711" max="8711" width="41.140625" style="2" bestFit="1" customWidth="1"/>
    <col min="8712" max="8712" width="8" style="2" bestFit="1" customWidth="1"/>
    <col min="8713" max="8713" width="14.28515625" style="2" bestFit="1" customWidth="1"/>
    <col min="8714" max="8714" width="7" style="2" bestFit="1" customWidth="1"/>
    <col min="8715" max="8715" width="14.42578125" style="2" bestFit="1" customWidth="1"/>
    <col min="8716" max="8960" width="11.42578125" style="2"/>
    <col min="8961" max="8961" width="36.28515625" style="2" bestFit="1" customWidth="1"/>
    <col min="8962" max="8962" width="8.7109375" style="2" customWidth="1"/>
    <col min="8963" max="8963" width="11.42578125" style="2"/>
    <col min="8964" max="8964" width="12.7109375" style="2" bestFit="1" customWidth="1"/>
    <col min="8965" max="8965" width="3" style="2" customWidth="1"/>
    <col min="8966" max="8966" width="2.42578125" style="2" bestFit="1" customWidth="1"/>
    <col min="8967" max="8967" width="41.140625" style="2" bestFit="1" customWidth="1"/>
    <col min="8968" max="8968" width="8" style="2" bestFit="1" customWidth="1"/>
    <col min="8969" max="8969" width="14.28515625" style="2" bestFit="1" customWidth="1"/>
    <col min="8970" max="8970" width="7" style="2" bestFit="1" customWidth="1"/>
    <col min="8971" max="8971" width="14.42578125" style="2" bestFit="1" customWidth="1"/>
    <col min="8972" max="9216" width="11.42578125" style="2"/>
    <col min="9217" max="9217" width="36.28515625" style="2" bestFit="1" customWidth="1"/>
    <col min="9218" max="9218" width="8.7109375" style="2" customWidth="1"/>
    <col min="9219" max="9219" width="11.42578125" style="2"/>
    <col min="9220" max="9220" width="12.7109375" style="2" bestFit="1" customWidth="1"/>
    <col min="9221" max="9221" width="3" style="2" customWidth="1"/>
    <col min="9222" max="9222" width="2.42578125" style="2" bestFit="1" customWidth="1"/>
    <col min="9223" max="9223" width="41.140625" style="2" bestFit="1" customWidth="1"/>
    <col min="9224" max="9224" width="8" style="2" bestFit="1" customWidth="1"/>
    <col min="9225" max="9225" width="14.28515625" style="2" bestFit="1" customWidth="1"/>
    <col min="9226" max="9226" width="7" style="2" bestFit="1" customWidth="1"/>
    <col min="9227" max="9227" width="14.42578125" style="2" bestFit="1" customWidth="1"/>
    <col min="9228" max="9472" width="11.42578125" style="2"/>
    <col min="9473" max="9473" width="36.28515625" style="2" bestFit="1" customWidth="1"/>
    <col min="9474" max="9474" width="8.7109375" style="2" customWidth="1"/>
    <col min="9475" max="9475" width="11.42578125" style="2"/>
    <col min="9476" max="9476" width="12.7109375" style="2" bestFit="1" customWidth="1"/>
    <col min="9477" max="9477" width="3" style="2" customWidth="1"/>
    <col min="9478" max="9478" width="2.42578125" style="2" bestFit="1" customWidth="1"/>
    <col min="9479" max="9479" width="41.140625" style="2" bestFit="1" customWidth="1"/>
    <col min="9480" max="9480" width="8" style="2" bestFit="1" customWidth="1"/>
    <col min="9481" max="9481" width="14.28515625" style="2" bestFit="1" customWidth="1"/>
    <col min="9482" max="9482" width="7" style="2" bestFit="1" customWidth="1"/>
    <col min="9483" max="9483" width="14.42578125" style="2" bestFit="1" customWidth="1"/>
    <col min="9484" max="9728" width="11.42578125" style="2"/>
    <col min="9729" max="9729" width="36.28515625" style="2" bestFit="1" customWidth="1"/>
    <col min="9730" max="9730" width="8.7109375" style="2" customWidth="1"/>
    <col min="9731" max="9731" width="11.42578125" style="2"/>
    <col min="9732" max="9732" width="12.7109375" style="2" bestFit="1" customWidth="1"/>
    <col min="9733" max="9733" width="3" style="2" customWidth="1"/>
    <col min="9734" max="9734" width="2.42578125" style="2" bestFit="1" customWidth="1"/>
    <col min="9735" max="9735" width="41.140625" style="2" bestFit="1" customWidth="1"/>
    <col min="9736" max="9736" width="8" style="2" bestFit="1" customWidth="1"/>
    <col min="9737" max="9737" width="14.28515625" style="2" bestFit="1" customWidth="1"/>
    <col min="9738" max="9738" width="7" style="2" bestFit="1" customWidth="1"/>
    <col min="9739" max="9739" width="14.42578125" style="2" bestFit="1" customWidth="1"/>
    <col min="9740" max="9984" width="11.42578125" style="2"/>
    <col min="9985" max="9985" width="36.28515625" style="2" bestFit="1" customWidth="1"/>
    <col min="9986" max="9986" width="8.7109375" style="2" customWidth="1"/>
    <col min="9987" max="9987" width="11.42578125" style="2"/>
    <col min="9988" max="9988" width="12.7109375" style="2" bestFit="1" customWidth="1"/>
    <col min="9989" max="9989" width="3" style="2" customWidth="1"/>
    <col min="9990" max="9990" width="2.42578125" style="2" bestFit="1" customWidth="1"/>
    <col min="9991" max="9991" width="41.140625" style="2" bestFit="1" customWidth="1"/>
    <col min="9992" max="9992" width="8" style="2" bestFit="1" customWidth="1"/>
    <col min="9993" max="9993" width="14.28515625" style="2" bestFit="1" customWidth="1"/>
    <col min="9994" max="9994" width="7" style="2" bestFit="1" customWidth="1"/>
    <col min="9995" max="9995" width="14.42578125" style="2" bestFit="1" customWidth="1"/>
    <col min="9996" max="10240" width="11.42578125" style="2"/>
    <col min="10241" max="10241" width="36.28515625" style="2" bestFit="1" customWidth="1"/>
    <col min="10242" max="10242" width="8.7109375" style="2" customWidth="1"/>
    <col min="10243" max="10243" width="11.42578125" style="2"/>
    <col min="10244" max="10244" width="12.7109375" style="2" bestFit="1" customWidth="1"/>
    <col min="10245" max="10245" width="3" style="2" customWidth="1"/>
    <col min="10246" max="10246" width="2.42578125" style="2" bestFit="1" customWidth="1"/>
    <col min="10247" max="10247" width="41.140625" style="2" bestFit="1" customWidth="1"/>
    <col min="10248" max="10248" width="8" style="2" bestFit="1" customWidth="1"/>
    <col min="10249" max="10249" width="14.28515625" style="2" bestFit="1" customWidth="1"/>
    <col min="10250" max="10250" width="7" style="2" bestFit="1" customWidth="1"/>
    <col min="10251" max="10251" width="14.42578125" style="2" bestFit="1" customWidth="1"/>
    <col min="10252" max="10496" width="11.42578125" style="2"/>
    <col min="10497" max="10497" width="36.28515625" style="2" bestFit="1" customWidth="1"/>
    <col min="10498" max="10498" width="8.7109375" style="2" customWidth="1"/>
    <col min="10499" max="10499" width="11.42578125" style="2"/>
    <col min="10500" max="10500" width="12.7109375" style="2" bestFit="1" customWidth="1"/>
    <col min="10501" max="10501" width="3" style="2" customWidth="1"/>
    <col min="10502" max="10502" width="2.42578125" style="2" bestFit="1" customWidth="1"/>
    <col min="10503" max="10503" width="41.140625" style="2" bestFit="1" customWidth="1"/>
    <col min="10504" max="10504" width="8" style="2" bestFit="1" customWidth="1"/>
    <col min="10505" max="10505" width="14.28515625" style="2" bestFit="1" customWidth="1"/>
    <col min="10506" max="10506" width="7" style="2" bestFit="1" customWidth="1"/>
    <col min="10507" max="10507" width="14.42578125" style="2" bestFit="1" customWidth="1"/>
    <col min="10508" max="10752" width="11.42578125" style="2"/>
    <col min="10753" max="10753" width="36.28515625" style="2" bestFit="1" customWidth="1"/>
    <col min="10754" max="10754" width="8.7109375" style="2" customWidth="1"/>
    <col min="10755" max="10755" width="11.42578125" style="2"/>
    <col min="10756" max="10756" width="12.7109375" style="2" bestFit="1" customWidth="1"/>
    <col min="10757" max="10757" width="3" style="2" customWidth="1"/>
    <col min="10758" max="10758" width="2.42578125" style="2" bestFit="1" customWidth="1"/>
    <col min="10759" max="10759" width="41.140625" style="2" bestFit="1" customWidth="1"/>
    <col min="10760" max="10760" width="8" style="2" bestFit="1" customWidth="1"/>
    <col min="10761" max="10761" width="14.28515625" style="2" bestFit="1" customWidth="1"/>
    <col min="10762" max="10762" width="7" style="2" bestFit="1" customWidth="1"/>
    <col min="10763" max="10763" width="14.42578125" style="2" bestFit="1" customWidth="1"/>
    <col min="10764" max="11008" width="11.42578125" style="2"/>
    <col min="11009" max="11009" width="36.28515625" style="2" bestFit="1" customWidth="1"/>
    <col min="11010" max="11010" width="8.7109375" style="2" customWidth="1"/>
    <col min="11011" max="11011" width="11.42578125" style="2"/>
    <col min="11012" max="11012" width="12.7109375" style="2" bestFit="1" customWidth="1"/>
    <col min="11013" max="11013" width="3" style="2" customWidth="1"/>
    <col min="11014" max="11014" width="2.42578125" style="2" bestFit="1" customWidth="1"/>
    <col min="11015" max="11015" width="41.140625" style="2" bestFit="1" customWidth="1"/>
    <col min="11016" max="11016" width="8" style="2" bestFit="1" customWidth="1"/>
    <col min="11017" max="11017" width="14.28515625" style="2" bestFit="1" customWidth="1"/>
    <col min="11018" max="11018" width="7" style="2" bestFit="1" customWidth="1"/>
    <col min="11019" max="11019" width="14.42578125" style="2" bestFit="1" customWidth="1"/>
    <col min="11020" max="11264" width="11.42578125" style="2"/>
    <col min="11265" max="11265" width="36.28515625" style="2" bestFit="1" customWidth="1"/>
    <col min="11266" max="11266" width="8.7109375" style="2" customWidth="1"/>
    <col min="11267" max="11267" width="11.42578125" style="2"/>
    <col min="11268" max="11268" width="12.7109375" style="2" bestFit="1" customWidth="1"/>
    <col min="11269" max="11269" width="3" style="2" customWidth="1"/>
    <col min="11270" max="11270" width="2.42578125" style="2" bestFit="1" customWidth="1"/>
    <col min="11271" max="11271" width="41.140625" style="2" bestFit="1" customWidth="1"/>
    <col min="11272" max="11272" width="8" style="2" bestFit="1" customWidth="1"/>
    <col min="11273" max="11273" width="14.28515625" style="2" bestFit="1" customWidth="1"/>
    <col min="11274" max="11274" width="7" style="2" bestFit="1" customWidth="1"/>
    <col min="11275" max="11275" width="14.42578125" style="2" bestFit="1" customWidth="1"/>
    <col min="11276" max="11520" width="11.42578125" style="2"/>
    <col min="11521" max="11521" width="36.28515625" style="2" bestFit="1" customWidth="1"/>
    <col min="11522" max="11522" width="8.7109375" style="2" customWidth="1"/>
    <col min="11523" max="11523" width="11.42578125" style="2"/>
    <col min="11524" max="11524" width="12.7109375" style="2" bestFit="1" customWidth="1"/>
    <col min="11525" max="11525" width="3" style="2" customWidth="1"/>
    <col min="11526" max="11526" width="2.42578125" style="2" bestFit="1" customWidth="1"/>
    <col min="11527" max="11527" width="41.140625" style="2" bestFit="1" customWidth="1"/>
    <col min="11528" max="11528" width="8" style="2" bestFit="1" customWidth="1"/>
    <col min="11529" max="11529" width="14.28515625" style="2" bestFit="1" customWidth="1"/>
    <col min="11530" max="11530" width="7" style="2" bestFit="1" customWidth="1"/>
    <col min="11531" max="11531" width="14.42578125" style="2" bestFit="1" customWidth="1"/>
    <col min="11532" max="11776" width="11.42578125" style="2"/>
    <col min="11777" max="11777" width="36.28515625" style="2" bestFit="1" customWidth="1"/>
    <col min="11778" max="11778" width="8.7109375" style="2" customWidth="1"/>
    <col min="11779" max="11779" width="11.42578125" style="2"/>
    <col min="11780" max="11780" width="12.7109375" style="2" bestFit="1" customWidth="1"/>
    <col min="11781" max="11781" width="3" style="2" customWidth="1"/>
    <col min="11782" max="11782" width="2.42578125" style="2" bestFit="1" customWidth="1"/>
    <col min="11783" max="11783" width="41.140625" style="2" bestFit="1" customWidth="1"/>
    <col min="11784" max="11784" width="8" style="2" bestFit="1" customWidth="1"/>
    <col min="11785" max="11785" width="14.28515625" style="2" bestFit="1" customWidth="1"/>
    <col min="11786" max="11786" width="7" style="2" bestFit="1" customWidth="1"/>
    <col min="11787" max="11787" width="14.42578125" style="2" bestFit="1" customWidth="1"/>
    <col min="11788" max="12032" width="11.42578125" style="2"/>
    <col min="12033" max="12033" width="36.28515625" style="2" bestFit="1" customWidth="1"/>
    <col min="12034" max="12034" width="8.7109375" style="2" customWidth="1"/>
    <col min="12035" max="12035" width="11.42578125" style="2"/>
    <col min="12036" max="12036" width="12.7109375" style="2" bestFit="1" customWidth="1"/>
    <col min="12037" max="12037" width="3" style="2" customWidth="1"/>
    <col min="12038" max="12038" width="2.42578125" style="2" bestFit="1" customWidth="1"/>
    <col min="12039" max="12039" width="41.140625" style="2" bestFit="1" customWidth="1"/>
    <col min="12040" max="12040" width="8" style="2" bestFit="1" customWidth="1"/>
    <col min="12041" max="12041" width="14.28515625" style="2" bestFit="1" customWidth="1"/>
    <col min="12042" max="12042" width="7" style="2" bestFit="1" customWidth="1"/>
    <col min="12043" max="12043" width="14.42578125" style="2" bestFit="1" customWidth="1"/>
    <col min="12044" max="12288" width="11.42578125" style="2"/>
    <col min="12289" max="12289" width="36.28515625" style="2" bestFit="1" customWidth="1"/>
    <col min="12290" max="12290" width="8.7109375" style="2" customWidth="1"/>
    <col min="12291" max="12291" width="11.42578125" style="2"/>
    <col min="12292" max="12292" width="12.7109375" style="2" bestFit="1" customWidth="1"/>
    <col min="12293" max="12293" width="3" style="2" customWidth="1"/>
    <col min="12294" max="12294" width="2.42578125" style="2" bestFit="1" customWidth="1"/>
    <col min="12295" max="12295" width="41.140625" style="2" bestFit="1" customWidth="1"/>
    <col min="12296" max="12296" width="8" style="2" bestFit="1" customWidth="1"/>
    <col min="12297" max="12297" width="14.28515625" style="2" bestFit="1" customWidth="1"/>
    <col min="12298" max="12298" width="7" style="2" bestFit="1" customWidth="1"/>
    <col min="12299" max="12299" width="14.42578125" style="2" bestFit="1" customWidth="1"/>
    <col min="12300" max="12544" width="11.42578125" style="2"/>
    <col min="12545" max="12545" width="36.28515625" style="2" bestFit="1" customWidth="1"/>
    <col min="12546" max="12546" width="8.7109375" style="2" customWidth="1"/>
    <col min="12547" max="12547" width="11.42578125" style="2"/>
    <col min="12548" max="12548" width="12.7109375" style="2" bestFit="1" customWidth="1"/>
    <col min="12549" max="12549" width="3" style="2" customWidth="1"/>
    <col min="12550" max="12550" width="2.42578125" style="2" bestFit="1" customWidth="1"/>
    <col min="12551" max="12551" width="41.140625" style="2" bestFit="1" customWidth="1"/>
    <col min="12552" max="12552" width="8" style="2" bestFit="1" customWidth="1"/>
    <col min="12553" max="12553" width="14.28515625" style="2" bestFit="1" customWidth="1"/>
    <col min="12554" max="12554" width="7" style="2" bestFit="1" customWidth="1"/>
    <col min="12555" max="12555" width="14.42578125" style="2" bestFit="1" customWidth="1"/>
    <col min="12556" max="12800" width="11.42578125" style="2"/>
    <col min="12801" max="12801" width="36.28515625" style="2" bestFit="1" customWidth="1"/>
    <col min="12802" max="12802" width="8.7109375" style="2" customWidth="1"/>
    <col min="12803" max="12803" width="11.42578125" style="2"/>
    <col min="12804" max="12804" width="12.7109375" style="2" bestFit="1" customWidth="1"/>
    <col min="12805" max="12805" width="3" style="2" customWidth="1"/>
    <col min="12806" max="12806" width="2.42578125" style="2" bestFit="1" customWidth="1"/>
    <col min="12807" max="12807" width="41.140625" style="2" bestFit="1" customWidth="1"/>
    <col min="12808" max="12808" width="8" style="2" bestFit="1" customWidth="1"/>
    <col min="12809" max="12809" width="14.28515625" style="2" bestFit="1" customWidth="1"/>
    <col min="12810" max="12810" width="7" style="2" bestFit="1" customWidth="1"/>
    <col min="12811" max="12811" width="14.42578125" style="2" bestFit="1" customWidth="1"/>
    <col min="12812" max="13056" width="11.42578125" style="2"/>
    <col min="13057" max="13057" width="36.28515625" style="2" bestFit="1" customWidth="1"/>
    <col min="13058" max="13058" width="8.7109375" style="2" customWidth="1"/>
    <col min="13059" max="13059" width="11.42578125" style="2"/>
    <col min="13060" max="13060" width="12.7109375" style="2" bestFit="1" customWidth="1"/>
    <col min="13061" max="13061" width="3" style="2" customWidth="1"/>
    <col min="13062" max="13062" width="2.42578125" style="2" bestFit="1" customWidth="1"/>
    <col min="13063" max="13063" width="41.140625" style="2" bestFit="1" customWidth="1"/>
    <col min="13064" max="13064" width="8" style="2" bestFit="1" customWidth="1"/>
    <col min="13065" max="13065" width="14.28515625" style="2" bestFit="1" customWidth="1"/>
    <col min="13066" max="13066" width="7" style="2" bestFit="1" customWidth="1"/>
    <col min="13067" max="13067" width="14.42578125" style="2" bestFit="1" customWidth="1"/>
    <col min="13068" max="13312" width="11.42578125" style="2"/>
    <col min="13313" max="13313" width="36.28515625" style="2" bestFit="1" customWidth="1"/>
    <col min="13314" max="13314" width="8.7109375" style="2" customWidth="1"/>
    <col min="13315" max="13315" width="11.42578125" style="2"/>
    <col min="13316" max="13316" width="12.7109375" style="2" bestFit="1" customWidth="1"/>
    <col min="13317" max="13317" width="3" style="2" customWidth="1"/>
    <col min="13318" max="13318" width="2.42578125" style="2" bestFit="1" customWidth="1"/>
    <col min="13319" max="13319" width="41.140625" style="2" bestFit="1" customWidth="1"/>
    <col min="13320" max="13320" width="8" style="2" bestFit="1" customWidth="1"/>
    <col min="13321" max="13321" width="14.28515625" style="2" bestFit="1" customWidth="1"/>
    <col min="13322" max="13322" width="7" style="2" bestFit="1" customWidth="1"/>
    <col min="13323" max="13323" width="14.42578125" style="2" bestFit="1" customWidth="1"/>
    <col min="13324" max="13568" width="11.42578125" style="2"/>
    <col min="13569" max="13569" width="36.28515625" style="2" bestFit="1" customWidth="1"/>
    <col min="13570" max="13570" width="8.7109375" style="2" customWidth="1"/>
    <col min="13571" max="13571" width="11.42578125" style="2"/>
    <col min="13572" max="13572" width="12.7109375" style="2" bestFit="1" customWidth="1"/>
    <col min="13573" max="13573" width="3" style="2" customWidth="1"/>
    <col min="13574" max="13574" width="2.42578125" style="2" bestFit="1" customWidth="1"/>
    <col min="13575" max="13575" width="41.140625" style="2" bestFit="1" customWidth="1"/>
    <col min="13576" max="13576" width="8" style="2" bestFit="1" customWidth="1"/>
    <col min="13577" max="13577" width="14.28515625" style="2" bestFit="1" customWidth="1"/>
    <col min="13578" max="13578" width="7" style="2" bestFit="1" customWidth="1"/>
    <col min="13579" max="13579" width="14.42578125" style="2" bestFit="1" customWidth="1"/>
    <col min="13580" max="13824" width="11.42578125" style="2"/>
    <col min="13825" max="13825" width="36.28515625" style="2" bestFit="1" customWidth="1"/>
    <col min="13826" max="13826" width="8.7109375" style="2" customWidth="1"/>
    <col min="13827" max="13827" width="11.42578125" style="2"/>
    <col min="13828" max="13828" width="12.7109375" style="2" bestFit="1" customWidth="1"/>
    <col min="13829" max="13829" width="3" style="2" customWidth="1"/>
    <col min="13830" max="13830" width="2.42578125" style="2" bestFit="1" customWidth="1"/>
    <col min="13831" max="13831" width="41.140625" style="2" bestFit="1" customWidth="1"/>
    <col min="13832" max="13832" width="8" style="2" bestFit="1" customWidth="1"/>
    <col min="13833" max="13833" width="14.28515625" style="2" bestFit="1" customWidth="1"/>
    <col min="13834" max="13834" width="7" style="2" bestFit="1" customWidth="1"/>
    <col min="13835" max="13835" width="14.42578125" style="2" bestFit="1" customWidth="1"/>
    <col min="13836" max="14080" width="11.42578125" style="2"/>
    <col min="14081" max="14081" width="36.28515625" style="2" bestFit="1" customWidth="1"/>
    <col min="14082" max="14082" width="8.7109375" style="2" customWidth="1"/>
    <col min="14083" max="14083" width="11.42578125" style="2"/>
    <col min="14084" max="14084" width="12.7109375" style="2" bestFit="1" customWidth="1"/>
    <col min="14085" max="14085" width="3" style="2" customWidth="1"/>
    <col min="14086" max="14086" width="2.42578125" style="2" bestFit="1" customWidth="1"/>
    <col min="14087" max="14087" width="41.140625" style="2" bestFit="1" customWidth="1"/>
    <col min="14088" max="14088" width="8" style="2" bestFit="1" customWidth="1"/>
    <col min="14089" max="14089" width="14.28515625" style="2" bestFit="1" customWidth="1"/>
    <col min="14090" max="14090" width="7" style="2" bestFit="1" customWidth="1"/>
    <col min="14091" max="14091" width="14.42578125" style="2" bestFit="1" customWidth="1"/>
    <col min="14092" max="14336" width="11.42578125" style="2"/>
    <col min="14337" max="14337" width="36.28515625" style="2" bestFit="1" customWidth="1"/>
    <col min="14338" max="14338" width="8.7109375" style="2" customWidth="1"/>
    <col min="14339" max="14339" width="11.42578125" style="2"/>
    <col min="14340" max="14340" width="12.7109375" style="2" bestFit="1" customWidth="1"/>
    <col min="14341" max="14341" width="3" style="2" customWidth="1"/>
    <col min="14342" max="14342" width="2.42578125" style="2" bestFit="1" customWidth="1"/>
    <col min="14343" max="14343" width="41.140625" style="2" bestFit="1" customWidth="1"/>
    <col min="14344" max="14344" width="8" style="2" bestFit="1" customWidth="1"/>
    <col min="14345" max="14345" width="14.28515625" style="2" bestFit="1" customWidth="1"/>
    <col min="14346" max="14346" width="7" style="2" bestFit="1" customWidth="1"/>
    <col min="14347" max="14347" width="14.42578125" style="2" bestFit="1" customWidth="1"/>
    <col min="14348" max="14592" width="11.42578125" style="2"/>
    <col min="14593" max="14593" width="36.28515625" style="2" bestFit="1" customWidth="1"/>
    <col min="14594" max="14594" width="8.7109375" style="2" customWidth="1"/>
    <col min="14595" max="14595" width="11.42578125" style="2"/>
    <col min="14596" max="14596" width="12.7109375" style="2" bestFit="1" customWidth="1"/>
    <col min="14597" max="14597" width="3" style="2" customWidth="1"/>
    <col min="14598" max="14598" width="2.42578125" style="2" bestFit="1" customWidth="1"/>
    <col min="14599" max="14599" width="41.140625" style="2" bestFit="1" customWidth="1"/>
    <col min="14600" max="14600" width="8" style="2" bestFit="1" customWidth="1"/>
    <col min="14601" max="14601" width="14.28515625" style="2" bestFit="1" customWidth="1"/>
    <col min="14602" max="14602" width="7" style="2" bestFit="1" customWidth="1"/>
    <col min="14603" max="14603" width="14.42578125" style="2" bestFit="1" customWidth="1"/>
    <col min="14604" max="14848" width="11.42578125" style="2"/>
    <col min="14849" max="14849" width="36.28515625" style="2" bestFit="1" customWidth="1"/>
    <col min="14850" max="14850" width="8.7109375" style="2" customWidth="1"/>
    <col min="14851" max="14851" width="11.42578125" style="2"/>
    <col min="14852" max="14852" width="12.7109375" style="2" bestFit="1" customWidth="1"/>
    <col min="14853" max="14853" width="3" style="2" customWidth="1"/>
    <col min="14854" max="14854" width="2.42578125" style="2" bestFit="1" customWidth="1"/>
    <col min="14855" max="14855" width="41.140625" style="2" bestFit="1" customWidth="1"/>
    <col min="14856" max="14856" width="8" style="2" bestFit="1" customWidth="1"/>
    <col min="14857" max="14857" width="14.28515625" style="2" bestFit="1" customWidth="1"/>
    <col min="14858" max="14858" width="7" style="2" bestFit="1" customWidth="1"/>
    <col min="14859" max="14859" width="14.42578125" style="2" bestFit="1" customWidth="1"/>
    <col min="14860" max="15104" width="11.42578125" style="2"/>
    <col min="15105" max="15105" width="36.28515625" style="2" bestFit="1" customWidth="1"/>
    <col min="15106" max="15106" width="8.7109375" style="2" customWidth="1"/>
    <col min="15107" max="15107" width="11.42578125" style="2"/>
    <col min="15108" max="15108" width="12.7109375" style="2" bestFit="1" customWidth="1"/>
    <col min="15109" max="15109" width="3" style="2" customWidth="1"/>
    <col min="15110" max="15110" width="2.42578125" style="2" bestFit="1" customWidth="1"/>
    <col min="15111" max="15111" width="41.140625" style="2" bestFit="1" customWidth="1"/>
    <col min="15112" max="15112" width="8" style="2" bestFit="1" customWidth="1"/>
    <col min="15113" max="15113" width="14.28515625" style="2" bestFit="1" customWidth="1"/>
    <col min="15114" max="15114" width="7" style="2" bestFit="1" customWidth="1"/>
    <col min="15115" max="15115" width="14.42578125" style="2" bestFit="1" customWidth="1"/>
    <col min="15116" max="15360" width="11.42578125" style="2"/>
    <col min="15361" max="15361" width="36.28515625" style="2" bestFit="1" customWidth="1"/>
    <col min="15362" max="15362" width="8.7109375" style="2" customWidth="1"/>
    <col min="15363" max="15363" width="11.42578125" style="2"/>
    <col min="15364" max="15364" width="12.7109375" style="2" bestFit="1" customWidth="1"/>
    <col min="15365" max="15365" width="3" style="2" customWidth="1"/>
    <col min="15366" max="15366" width="2.42578125" style="2" bestFit="1" customWidth="1"/>
    <col min="15367" max="15367" width="41.140625" style="2" bestFit="1" customWidth="1"/>
    <col min="15368" max="15368" width="8" style="2" bestFit="1" customWidth="1"/>
    <col min="15369" max="15369" width="14.28515625" style="2" bestFit="1" customWidth="1"/>
    <col min="15370" max="15370" width="7" style="2" bestFit="1" customWidth="1"/>
    <col min="15371" max="15371" width="14.42578125" style="2" bestFit="1" customWidth="1"/>
    <col min="15372" max="15616" width="11.42578125" style="2"/>
    <col min="15617" max="15617" width="36.28515625" style="2" bestFit="1" customWidth="1"/>
    <col min="15618" max="15618" width="8.7109375" style="2" customWidth="1"/>
    <col min="15619" max="15619" width="11.42578125" style="2"/>
    <col min="15620" max="15620" width="12.7109375" style="2" bestFit="1" customWidth="1"/>
    <col min="15621" max="15621" width="3" style="2" customWidth="1"/>
    <col min="15622" max="15622" width="2.42578125" style="2" bestFit="1" customWidth="1"/>
    <col min="15623" max="15623" width="41.140625" style="2" bestFit="1" customWidth="1"/>
    <col min="15624" max="15624" width="8" style="2" bestFit="1" customWidth="1"/>
    <col min="15625" max="15625" width="14.28515625" style="2" bestFit="1" customWidth="1"/>
    <col min="15626" max="15626" width="7" style="2" bestFit="1" customWidth="1"/>
    <col min="15627" max="15627" width="14.42578125" style="2" bestFit="1" customWidth="1"/>
    <col min="15628" max="15872" width="11.42578125" style="2"/>
    <col min="15873" max="15873" width="36.28515625" style="2" bestFit="1" customWidth="1"/>
    <col min="15874" max="15874" width="8.7109375" style="2" customWidth="1"/>
    <col min="15875" max="15875" width="11.42578125" style="2"/>
    <col min="15876" max="15876" width="12.7109375" style="2" bestFit="1" customWidth="1"/>
    <col min="15877" max="15877" width="3" style="2" customWidth="1"/>
    <col min="15878" max="15878" width="2.42578125" style="2" bestFit="1" customWidth="1"/>
    <col min="15879" max="15879" width="41.140625" style="2" bestFit="1" customWidth="1"/>
    <col min="15880" max="15880" width="8" style="2" bestFit="1" customWidth="1"/>
    <col min="15881" max="15881" width="14.28515625" style="2" bestFit="1" customWidth="1"/>
    <col min="15882" max="15882" width="7" style="2" bestFit="1" customWidth="1"/>
    <col min="15883" max="15883" width="14.42578125" style="2" bestFit="1" customWidth="1"/>
    <col min="15884" max="16128" width="11.42578125" style="2"/>
    <col min="16129" max="16129" width="36.28515625" style="2" bestFit="1" customWidth="1"/>
    <col min="16130" max="16130" width="8.7109375" style="2" customWidth="1"/>
    <col min="16131" max="16131" width="11.42578125" style="2"/>
    <col min="16132" max="16132" width="12.7109375" style="2" bestFit="1" customWidth="1"/>
    <col min="16133" max="16133" width="3" style="2" customWidth="1"/>
    <col min="16134" max="16134" width="2.42578125" style="2" bestFit="1" customWidth="1"/>
    <col min="16135" max="16135" width="41.140625" style="2" bestFit="1" customWidth="1"/>
    <col min="16136" max="16136" width="8" style="2" bestFit="1" customWidth="1"/>
    <col min="16137" max="16137" width="14.28515625" style="2" bestFit="1" customWidth="1"/>
    <col min="16138" max="16138" width="7" style="2" bestFit="1" customWidth="1"/>
    <col min="16139" max="16139" width="14.42578125" style="2" bestFit="1" customWidth="1"/>
    <col min="16140" max="16384" width="11.42578125" style="2"/>
  </cols>
  <sheetData>
    <row r="1" spans="1:16" s="12" customFormat="1">
      <c r="A1" s="658" t="s">
        <v>112</v>
      </c>
      <c r="B1" s="659"/>
      <c r="C1" s="145" t="s">
        <v>113</v>
      </c>
      <c r="D1" s="145" t="s">
        <v>10</v>
      </c>
      <c r="F1" s="146" t="s">
        <v>114</v>
      </c>
      <c r="G1" s="147"/>
      <c r="H1" s="148" t="s">
        <v>28</v>
      </c>
      <c r="I1" s="148" t="s">
        <v>115</v>
      </c>
      <c r="J1" s="148" t="s">
        <v>96</v>
      </c>
      <c r="K1" s="149" t="s">
        <v>116</v>
      </c>
    </row>
    <row r="2" spans="1:16">
      <c r="A2" s="110" t="s">
        <v>117</v>
      </c>
      <c r="B2" s="114">
        <v>4050.95</v>
      </c>
      <c r="C2" s="114">
        <f>D2/B2</f>
        <v>2651.0206482430049</v>
      </c>
      <c r="D2" s="114">
        <f>[55]Bdgt!$L$9</f>
        <v>10739152.095000001</v>
      </c>
      <c r="E2" s="12"/>
      <c r="F2" s="110" t="s">
        <v>8</v>
      </c>
      <c r="G2" s="150"/>
      <c r="H2" s="151"/>
      <c r="I2" s="152"/>
      <c r="J2" s="153"/>
      <c r="K2" s="154"/>
    </row>
    <row r="3" spans="1:16">
      <c r="A3" s="121" t="s">
        <v>118</v>
      </c>
      <c r="B3" s="133"/>
      <c r="C3" s="133"/>
      <c r="D3" s="122">
        <f>[55]Bdgt!$L$133</f>
        <v>364819</v>
      </c>
      <c r="F3" s="155" t="s">
        <v>15</v>
      </c>
      <c r="G3" s="156" t="s">
        <v>99</v>
      </c>
      <c r="H3" s="157">
        <v>0.4</v>
      </c>
      <c r="I3" s="114">
        <f>$D$8*H3</f>
        <v>4646624.0380000006</v>
      </c>
      <c r="J3" s="158">
        <v>40</v>
      </c>
      <c r="K3" s="159">
        <f t="shared" ref="K3:K8" si="0">I3/J3</f>
        <v>116165.60095000002</v>
      </c>
    </row>
    <row r="4" spans="1:16">
      <c r="A4" s="160" t="s">
        <v>31</v>
      </c>
      <c r="B4" s="161"/>
      <c r="C4" s="161"/>
      <c r="D4" s="111">
        <f>[55]Bdgt!$L$136</f>
        <v>290589</v>
      </c>
      <c r="E4" s="8"/>
      <c r="F4" s="162" t="s">
        <v>15</v>
      </c>
      <c r="G4" s="133" t="s">
        <v>119</v>
      </c>
      <c r="H4" s="163">
        <v>0.1</v>
      </c>
      <c r="I4" s="122">
        <f t="shared" ref="I4:I16" si="1">$D$8*H4</f>
        <v>1161656.0095000002</v>
      </c>
      <c r="J4" s="164">
        <v>40</v>
      </c>
      <c r="K4" s="124">
        <f t="shared" si="0"/>
        <v>29041.400237500005</v>
      </c>
    </row>
    <row r="5" spans="1:16">
      <c r="A5" s="121" t="s">
        <v>120</v>
      </c>
      <c r="B5" s="133"/>
      <c r="C5" s="133"/>
      <c r="D5" s="122">
        <f>'[55]DPR LLTS'!$E$68</f>
        <v>222000</v>
      </c>
      <c r="E5" s="8"/>
      <c r="F5" s="165" t="s">
        <v>15</v>
      </c>
      <c r="G5" s="133" t="s">
        <v>121</v>
      </c>
      <c r="H5" s="163">
        <v>0.05</v>
      </c>
      <c r="I5" s="122">
        <f t="shared" si="1"/>
        <v>580828.00475000008</v>
      </c>
      <c r="J5" s="164">
        <v>40</v>
      </c>
      <c r="K5" s="124">
        <f t="shared" si="0"/>
        <v>14520.700118750003</v>
      </c>
    </row>
    <row r="6" spans="1:16">
      <c r="A6" s="166" t="s">
        <v>122</v>
      </c>
      <c r="B6" s="167">
        <f>B2</f>
        <v>4050.95</v>
      </c>
      <c r="C6" s="168">
        <f>D6/B6</f>
        <v>2867.6137930608875</v>
      </c>
      <c r="D6" s="169">
        <f>SUM(D2:D5)</f>
        <v>11616560.095000001</v>
      </c>
      <c r="E6" s="8"/>
      <c r="F6" s="165" t="s">
        <v>15</v>
      </c>
      <c r="G6" s="133" t="s">
        <v>3</v>
      </c>
      <c r="H6" s="163">
        <v>0.05</v>
      </c>
      <c r="I6" s="122">
        <f t="shared" si="1"/>
        <v>580828.00475000008</v>
      </c>
      <c r="J6" s="164">
        <v>40</v>
      </c>
      <c r="K6" s="124">
        <f t="shared" si="0"/>
        <v>14520.700118750003</v>
      </c>
    </row>
    <row r="7" spans="1:16">
      <c r="A7" s="170" t="s">
        <v>123</v>
      </c>
      <c r="B7" s="171"/>
      <c r="C7" s="172"/>
      <c r="D7" s="172">
        <v>0</v>
      </c>
      <c r="E7" s="8"/>
      <c r="F7" s="165" t="s">
        <v>1</v>
      </c>
      <c r="G7" s="173" t="s">
        <v>16</v>
      </c>
      <c r="H7" s="174">
        <v>0.05</v>
      </c>
      <c r="I7" s="122">
        <f t="shared" si="1"/>
        <v>580828.00475000008</v>
      </c>
      <c r="J7" s="164">
        <v>25</v>
      </c>
      <c r="K7" s="124">
        <f t="shared" si="0"/>
        <v>23233.120190000001</v>
      </c>
    </row>
    <row r="8" spans="1:16" s="12" customFormat="1">
      <c r="A8" s="175" t="s">
        <v>124</v>
      </c>
      <c r="B8" s="176"/>
      <c r="C8" s="177"/>
      <c r="D8" s="178">
        <f>D6-D7</f>
        <v>11616560.095000001</v>
      </c>
      <c r="E8" s="8"/>
      <c r="F8" s="165" t="s">
        <v>4</v>
      </c>
      <c r="G8" s="173" t="s">
        <v>17</v>
      </c>
      <c r="H8" s="174">
        <v>0.04</v>
      </c>
      <c r="I8" s="122">
        <f t="shared" si="1"/>
        <v>464662.40380000003</v>
      </c>
      <c r="J8" s="164">
        <v>20</v>
      </c>
      <c r="K8" s="124">
        <f t="shared" si="0"/>
        <v>23233.120190000001</v>
      </c>
      <c r="L8" s="2"/>
    </row>
    <row r="9" spans="1:16">
      <c r="E9" s="8"/>
      <c r="F9" s="165" t="s">
        <v>13</v>
      </c>
      <c r="G9" s="173" t="s">
        <v>103</v>
      </c>
      <c r="H9" s="174">
        <v>0.02</v>
      </c>
      <c r="I9" s="122">
        <f t="shared" si="1"/>
        <v>232331.20190000001</v>
      </c>
      <c r="J9" s="164">
        <v>15</v>
      </c>
      <c r="K9" s="124">
        <f>I9/J9</f>
        <v>15488.746793333334</v>
      </c>
    </row>
    <row r="10" spans="1:16">
      <c r="A10" s="179" t="s">
        <v>125</v>
      </c>
      <c r="B10" s="180">
        <f>+D10/D8</f>
        <v>0.21139543030961266</v>
      </c>
      <c r="C10" s="157"/>
      <c r="D10" s="114">
        <f>[55]Bdgt!$L$168</f>
        <v>2455687.7200000002</v>
      </c>
      <c r="E10" s="8"/>
      <c r="F10" s="165" t="s">
        <v>5</v>
      </c>
      <c r="G10" s="173" t="s">
        <v>104</v>
      </c>
      <c r="H10" s="163">
        <v>0.04</v>
      </c>
      <c r="I10" s="122">
        <f t="shared" si="1"/>
        <v>464662.40380000003</v>
      </c>
      <c r="J10" s="164">
        <v>10</v>
      </c>
      <c r="K10" s="124">
        <f t="shared" ref="K10:K16" si="2">I10/J10</f>
        <v>46466.240380000003</v>
      </c>
    </row>
    <row r="11" spans="1:16">
      <c r="A11" s="181" t="s">
        <v>126</v>
      </c>
      <c r="B11" s="182"/>
      <c r="C11" s="174"/>
      <c r="D11" s="122"/>
      <c r="E11" s="8"/>
      <c r="F11" s="165"/>
      <c r="G11" s="173"/>
      <c r="H11" s="163"/>
      <c r="I11" s="122"/>
      <c r="J11" s="164"/>
      <c r="K11" s="124"/>
    </row>
    <row r="12" spans="1:16">
      <c r="A12" s="123" t="s">
        <v>46</v>
      </c>
      <c r="B12" s="183">
        <f>D12/D6</f>
        <v>0.28466375444502318</v>
      </c>
      <c r="C12" s="133"/>
      <c r="D12" s="122">
        <f>[55]Bdgt!$L$175</f>
        <v>3306813.6103789355</v>
      </c>
      <c r="F12" s="165" t="s">
        <v>6</v>
      </c>
      <c r="G12" s="173" t="s">
        <v>18</v>
      </c>
      <c r="H12" s="163">
        <v>0.02</v>
      </c>
      <c r="I12" s="122">
        <f t="shared" si="1"/>
        <v>232331.20190000001</v>
      </c>
      <c r="J12" s="164">
        <v>15</v>
      </c>
      <c r="K12" s="124">
        <f t="shared" si="2"/>
        <v>15488.746793333334</v>
      </c>
    </row>
    <row r="13" spans="1:16" s="8" customFormat="1">
      <c r="A13" s="125" t="s">
        <v>127</v>
      </c>
      <c r="B13" s="183">
        <f>+D13/D8</f>
        <v>0.50394081484756437</v>
      </c>
      <c r="C13" s="133"/>
      <c r="D13" s="122">
        <f>[55]Bdgt!$L$159</f>
        <v>5854058.7599999998</v>
      </c>
      <c r="E13" s="2"/>
      <c r="F13" s="165" t="s">
        <v>12</v>
      </c>
      <c r="G13" s="173" t="s">
        <v>19</v>
      </c>
      <c r="H13" s="163">
        <v>0.01</v>
      </c>
      <c r="I13" s="122">
        <f t="shared" si="1"/>
        <v>116165.60095000001</v>
      </c>
      <c r="J13" s="164">
        <v>20</v>
      </c>
      <c r="K13" s="124">
        <f t="shared" si="2"/>
        <v>5808.2800475000004</v>
      </c>
      <c r="L13" s="2"/>
    </row>
    <row r="14" spans="1:16" s="8" customFormat="1">
      <c r="A14" s="135" t="s">
        <v>27</v>
      </c>
      <c r="B14" s="184"/>
      <c r="C14" s="185"/>
      <c r="D14" s="186"/>
      <c r="E14" s="2"/>
      <c r="F14" s="165" t="s">
        <v>14</v>
      </c>
      <c r="G14" s="173" t="s">
        <v>20</v>
      </c>
      <c r="H14" s="163">
        <v>0.15</v>
      </c>
      <c r="I14" s="122">
        <f t="shared" si="1"/>
        <v>1742484.01425</v>
      </c>
      <c r="J14" s="164">
        <v>20</v>
      </c>
      <c r="K14" s="124">
        <f t="shared" si="2"/>
        <v>87124.200712499995</v>
      </c>
      <c r="L14" s="2"/>
    </row>
    <row r="15" spans="1:16" s="8" customFormat="1">
      <c r="E15" s="2"/>
      <c r="F15" s="187" t="s">
        <v>34</v>
      </c>
      <c r="G15" s="188" t="s">
        <v>106</v>
      </c>
      <c r="H15" s="163">
        <v>0.05</v>
      </c>
      <c r="I15" s="122">
        <f t="shared" si="1"/>
        <v>580828.00475000008</v>
      </c>
      <c r="J15" s="189">
        <v>15</v>
      </c>
      <c r="K15" s="124">
        <f t="shared" si="2"/>
        <v>38721.866983333341</v>
      </c>
      <c r="L15" s="2"/>
    </row>
    <row r="16" spans="1:16" s="8" customFormat="1">
      <c r="A16" s="190" t="s">
        <v>128</v>
      </c>
      <c r="B16" s="191"/>
      <c r="C16" s="191"/>
      <c r="D16" s="191"/>
      <c r="E16" s="2"/>
      <c r="F16" s="192" t="s">
        <v>107</v>
      </c>
      <c r="G16" s="193" t="s">
        <v>26</v>
      </c>
      <c r="H16" s="194">
        <v>0.02</v>
      </c>
      <c r="I16" s="186">
        <f t="shared" si="1"/>
        <v>232331.20190000001</v>
      </c>
      <c r="J16" s="195">
        <v>15</v>
      </c>
      <c r="K16" s="196">
        <f t="shared" si="2"/>
        <v>15488.746793333334</v>
      </c>
      <c r="L16" s="2"/>
      <c r="M16" s="2"/>
      <c r="N16" s="2"/>
      <c r="O16" s="2"/>
      <c r="P16" s="2"/>
    </row>
    <row r="17" spans="1:16" s="8" customFormat="1">
      <c r="A17" s="197" t="s">
        <v>129</v>
      </c>
      <c r="B17" s="191"/>
      <c r="C17" s="191"/>
      <c r="D17" s="198"/>
      <c r="E17" s="2"/>
      <c r="F17" s="199"/>
      <c r="G17" s="185"/>
      <c r="H17" s="200">
        <f>SUM(H3:H16)</f>
        <v>1.0000000000000002</v>
      </c>
      <c r="I17" s="201">
        <f>SUM(I3:I16)</f>
        <v>11616560.095000003</v>
      </c>
      <c r="J17" s="202"/>
      <c r="K17" s="201">
        <f>SUM(K3:K16)</f>
        <v>445301.47030833329</v>
      </c>
      <c r="L17" s="2"/>
      <c r="M17" s="2"/>
      <c r="N17" s="2"/>
      <c r="O17" s="2"/>
      <c r="P17" s="2"/>
    </row>
    <row r="18" spans="1:16" s="8" customFormat="1">
      <c r="A18" s="191"/>
      <c r="B18" s="191"/>
      <c r="C18" s="191"/>
      <c r="D18" s="203">
        <f>SUM(D17:D17)</f>
        <v>0</v>
      </c>
      <c r="E18" s="2"/>
      <c r="F18" s="2"/>
      <c r="G18" s="2"/>
      <c r="H18" s="2"/>
      <c r="I18" s="130"/>
      <c r="J18" s="13"/>
      <c r="K18" s="2"/>
      <c r="L18" s="2"/>
      <c r="M18" s="2"/>
      <c r="N18" s="2"/>
      <c r="O18" s="2"/>
      <c r="P18" s="2"/>
    </row>
    <row r="19" spans="1:16" s="8" customFormat="1">
      <c r="A19" s="7"/>
      <c r="D19" s="204">
        <f>D8-D10-D12-D13</f>
        <v>4.6210642904043198E-3</v>
      </c>
      <c r="E19" s="2"/>
      <c r="F19" s="2"/>
      <c r="G19" s="2"/>
      <c r="H19" s="2"/>
      <c r="I19" s="2"/>
      <c r="J19" s="13"/>
      <c r="K19" s="2"/>
      <c r="L19" s="2"/>
      <c r="M19" s="2"/>
      <c r="N19" s="2"/>
      <c r="O19" s="2"/>
      <c r="P19" s="2"/>
    </row>
    <row r="20" spans="1:16" s="8" customFormat="1">
      <c r="A20" s="2"/>
      <c r="B20" s="2"/>
      <c r="C20" s="2"/>
      <c r="D20" s="130"/>
      <c r="E20" s="2"/>
      <c r="F20" s="2"/>
      <c r="G20" s="2"/>
      <c r="H20" s="2"/>
      <c r="I20" s="2"/>
      <c r="J20" s="13"/>
      <c r="K20" s="2"/>
      <c r="L20" s="2"/>
      <c r="M20" s="2"/>
      <c r="N20" s="2"/>
      <c r="O20" s="2"/>
      <c r="P20" s="2"/>
    </row>
    <row r="21" spans="1:16" s="8" customFormat="1">
      <c r="A21" s="2"/>
      <c r="B21" s="2"/>
      <c r="C21" s="2"/>
      <c r="D21" s="130"/>
      <c r="E21" s="2"/>
      <c r="F21" s="2"/>
      <c r="G21" s="2"/>
      <c r="H21" s="2"/>
      <c r="I21" s="2"/>
      <c r="J21" s="205"/>
      <c r="K21" s="7"/>
    </row>
    <row r="22" spans="1:16">
      <c r="D22" s="130"/>
      <c r="J22" s="205"/>
      <c r="K22" s="7"/>
    </row>
    <row r="23" spans="1:16">
      <c r="J23" s="205"/>
      <c r="K23" s="206"/>
    </row>
    <row r="24" spans="1:16">
      <c r="J24" s="205"/>
    </row>
    <row r="25" spans="1:16">
      <c r="E25" s="8"/>
      <c r="F25" s="7"/>
      <c r="G25" s="7"/>
      <c r="H25" s="7"/>
      <c r="I25" s="7"/>
      <c r="J25" s="205"/>
      <c r="K25" s="206"/>
    </row>
    <row r="26" spans="1:16">
      <c r="E26" s="8"/>
      <c r="F26" s="7"/>
      <c r="G26" s="7"/>
      <c r="H26" s="7"/>
      <c r="I26" s="7"/>
      <c r="J26" s="205"/>
      <c r="K26" s="206"/>
    </row>
    <row r="27" spans="1:16">
      <c r="E27" s="8"/>
      <c r="F27" s="7"/>
      <c r="G27" s="7"/>
      <c r="H27" s="7"/>
      <c r="I27" s="7"/>
      <c r="J27" s="205"/>
      <c r="K27" s="206"/>
    </row>
    <row r="28" spans="1:16">
      <c r="E28" s="8"/>
      <c r="F28" s="7"/>
      <c r="G28" s="7"/>
      <c r="H28" s="7"/>
      <c r="I28" s="7"/>
      <c r="J28" s="205"/>
      <c r="K28" s="206"/>
    </row>
    <row r="29" spans="1:16" ht="13.5" customHeight="1">
      <c r="E29" s="8"/>
      <c r="F29" s="7"/>
      <c r="G29" s="7"/>
      <c r="H29" s="7"/>
      <c r="I29" s="7"/>
      <c r="J29" s="205"/>
    </row>
    <row r="30" spans="1:16">
      <c r="E30" s="8"/>
      <c r="F30" s="7"/>
      <c r="G30" s="7"/>
      <c r="H30" s="7"/>
      <c r="I30" s="7"/>
      <c r="J30" s="205"/>
    </row>
    <row r="31" spans="1:16">
      <c r="E31" s="7"/>
      <c r="F31" s="7"/>
      <c r="G31" s="7"/>
      <c r="H31" s="7"/>
      <c r="I31" s="7"/>
      <c r="J31" s="205"/>
    </row>
    <row r="32" spans="1:16">
      <c r="E32" s="7"/>
      <c r="F32" s="7"/>
      <c r="G32" s="7"/>
      <c r="H32" s="7"/>
      <c r="I32" s="7"/>
    </row>
    <row r="33" spans="1:15">
      <c r="E33" s="7"/>
      <c r="F33" s="7"/>
      <c r="G33" s="7"/>
      <c r="H33" s="7"/>
      <c r="I33" s="7"/>
    </row>
    <row r="34" spans="1:15">
      <c r="E34" s="7"/>
      <c r="F34" s="7"/>
      <c r="G34" s="7"/>
      <c r="H34" s="7"/>
      <c r="I34" s="7"/>
    </row>
    <row r="35" spans="1:15">
      <c r="E35" s="7"/>
      <c r="F35" s="7"/>
      <c r="G35" s="7"/>
      <c r="H35" s="7"/>
      <c r="I35" s="7"/>
    </row>
    <row r="36" spans="1:15">
      <c r="E36" s="8"/>
      <c r="F36" s="8"/>
      <c r="G36" s="8"/>
    </row>
    <row r="37" spans="1:15">
      <c r="E37" s="8"/>
      <c r="F37" s="8"/>
      <c r="G37" s="8"/>
    </row>
    <row r="38" spans="1:15">
      <c r="E38" s="8"/>
      <c r="F38" s="8"/>
      <c r="G38" s="8"/>
    </row>
    <row r="39" spans="1:15">
      <c r="E39" s="8"/>
      <c r="F39" s="8"/>
      <c r="G39" s="8"/>
    </row>
    <row r="47" spans="1:15">
      <c r="A47" s="2" t="s">
        <v>77</v>
      </c>
      <c r="B47" s="123">
        <f>B48+B49+B50</f>
        <v>0</v>
      </c>
      <c r="C47" s="2">
        <f>C48+C49+C50</f>
        <v>0</v>
      </c>
      <c r="D47" s="2">
        <f>D48+D49+D50</f>
        <v>0</v>
      </c>
      <c r="E47" s="2" t="e">
        <f>#N/A</f>
        <v>#N/A</v>
      </c>
      <c r="F47" s="2" t="e">
        <f>#N/A</f>
        <v>#N/A</v>
      </c>
      <c r="G47" s="2" t="e">
        <f>#N/A</f>
        <v>#N/A</v>
      </c>
      <c r="H47" s="2" t="e">
        <f>#N/A</f>
        <v>#N/A</v>
      </c>
      <c r="I47" s="2" t="e">
        <f>#N/A</f>
        <v>#N/A</v>
      </c>
      <c r="J47" s="13" t="e">
        <f>#N/A</f>
        <v>#N/A</v>
      </c>
      <c r="K47" s="2" t="e">
        <f>#N/A</f>
        <v>#N/A</v>
      </c>
      <c r="L47" s="2" t="e">
        <f>#N/A</f>
        <v>#N/A</v>
      </c>
      <c r="M47" s="2" t="e">
        <f>#N/A</f>
        <v>#N/A</v>
      </c>
      <c r="N47" s="2" t="e">
        <f>#N/A</f>
        <v>#N/A</v>
      </c>
      <c r="O47" s="2" t="e">
        <f>#N/A</f>
        <v>#N/A</v>
      </c>
    </row>
    <row r="48" spans="1:15">
      <c r="A48" s="2" t="s">
        <v>130</v>
      </c>
    </row>
    <row r="49" spans="1:16">
      <c r="A49" s="2" t="s">
        <v>38</v>
      </c>
    </row>
    <row r="50" spans="1:16">
      <c r="A50" s="2" t="s">
        <v>91</v>
      </c>
      <c r="D50" s="2">
        <f>D20</f>
        <v>0</v>
      </c>
      <c r="E50" s="2">
        <f>D50+E20</f>
        <v>0</v>
      </c>
      <c r="P50" s="2" t="s">
        <v>52</v>
      </c>
    </row>
    <row r="62" spans="1:16">
      <c r="C62" s="2">
        <v>91260</v>
      </c>
      <c r="D62" s="2">
        <f>C62</f>
        <v>91260</v>
      </c>
      <c r="E62" s="2">
        <f>D62</f>
        <v>91260</v>
      </c>
      <c r="F62" s="2" t="e">
        <f>#N/A</f>
        <v>#N/A</v>
      </c>
      <c r="G62" s="2" t="e">
        <f>#N/A</f>
        <v>#N/A</v>
      </c>
      <c r="H62" s="2" t="e">
        <f>#N/A</f>
        <v>#N/A</v>
      </c>
      <c r="I62" s="2" t="e">
        <f>#N/A</f>
        <v>#N/A</v>
      </c>
      <c r="J62" s="13" t="e">
        <f>#N/A</f>
        <v>#N/A</v>
      </c>
      <c r="K62" s="2" t="e">
        <f>#N/A</f>
        <v>#N/A</v>
      </c>
      <c r="L62" s="2" t="e">
        <f>#N/A</f>
        <v>#N/A</v>
      </c>
      <c r="M62" s="2" t="e">
        <f>#N/A</f>
        <v>#N/A</v>
      </c>
      <c r="N62" s="2" t="e">
        <f>#N/A</f>
        <v>#N/A</v>
      </c>
      <c r="O62" s="2" t="e">
        <f>#N/A</f>
        <v>#N/A</v>
      </c>
    </row>
    <row r="63" spans="1:16">
      <c r="D63" s="2" t="e">
        <f>#REF!</f>
        <v>#REF!</v>
      </c>
      <c r="E63" s="2" t="e">
        <f>D63+E18</f>
        <v>#REF!</v>
      </c>
      <c r="F63" s="2" t="e">
        <f>#N/A</f>
        <v>#N/A</v>
      </c>
      <c r="G63" s="2" t="e">
        <f>#N/A</f>
        <v>#N/A</v>
      </c>
      <c r="H63" s="2" t="e">
        <f>#N/A</f>
        <v>#N/A</v>
      </c>
      <c r="I63" s="2" t="e">
        <f>#N/A</f>
        <v>#N/A</v>
      </c>
      <c r="J63" s="13" t="e">
        <f>#N/A</f>
        <v>#N/A</v>
      </c>
      <c r="K63" s="2" t="e">
        <f>#N/A</f>
        <v>#N/A</v>
      </c>
      <c r="L63" s="2" t="e">
        <f>#N/A</f>
        <v>#N/A</v>
      </c>
      <c r="M63" s="2" t="e">
        <f>#N/A</f>
        <v>#N/A</v>
      </c>
      <c r="N63" s="2" t="e">
        <f>#N/A</f>
        <v>#N/A</v>
      </c>
      <c r="O63" s="2" t="e">
        <f>#N/A</f>
        <v>#N/A</v>
      </c>
    </row>
    <row r="71" spans="3:15">
      <c r="C71" s="2">
        <f>SUM(C70,C67,C61,C64)</f>
        <v>0</v>
      </c>
      <c r="D71" s="2" t="e">
        <f>#N/A</f>
        <v>#N/A</v>
      </c>
      <c r="E71" s="2" t="e">
        <f>#N/A</f>
        <v>#N/A</v>
      </c>
      <c r="F71" s="2" t="e">
        <f>#N/A</f>
        <v>#N/A</v>
      </c>
      <c r="G71" s="2" t="e">
        <f>#N/A</f>
        <v>#N/A</v>
      </c>
      <c r="H71" s="2" t="e">
        <f>#N/A</f>
        <v>#N/A</v>
      </c>
      <c r="I71" s="2" t="e">
        <f>#N/A</f>
        <v>#N/A</v>
      </c>
      <c r="J71" s="13" t="e">
        <f>#N/A</f>
        <v>#N/A</v>
      </c>
      <c r="K71" s="2" t="e">
        <f>#N/A</f>
        <v>#N/A</v>
      </c>
      <c r="L71" s="2" t="e">
        <f>#N/A</f>
        <v>#N/A</v>
      </c>
      <c r="M71" s="2" t="e">
        <f>#N/A</f>
        <v>#N/A</v>
      </c>
      <c r="N71" s="2" t="e">
        <f>#N/A</f>
        <v>#N/A</v>
      </c>
      <c r="O71" s="2" t="e">
        <f>#N/A</f>
        <v>#N/A</v>
      </c>
    </row>
  </sheetData>
  <mergeCells count="1">
    <mergeCell ref="A1:B1"/>
  </mergeCells>
  <pageMargins left="0.27559055118110237" right="0.11811023622047245" top="1.4960629921259843" bottom="0.98425196850393704" header="0.31496062992125984" footer="0.51181102362204722"/>
  <pageSetup paperSize="9" orientation="landscape" horizontalDpi="4294967293" r:id="rId1"/>
  <headerFooter alignWithMargins="0">
    <oddHeader>&amp;LSODEGIS&amp;CMONTANT GLOBAL DE L'OPERATION
RESIDENCE UNIVERSITAIRE
CAMPUS UNIVERSITAIRE DE SAINT-PIERRE&amp;RPLS
VD</oddHead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F0"/>
    <pageSetUpPr fitToPage="1"/>
  </sheetPr>
  <dimension ref="A1:S24"/>
  <sheetViews>
    <sheetView zoomScale="115" zoomScaleNormal="115" workbookViewId="0">
      <selection activeCell="H14" sqref="H14"/>
    </sheetView>
  </sheetViews>
  <sheetFormatPr baseColWidth="10" defaultRowHeight="12.75"/>
  <cols>
    <col min="1" max="1" width="31.5703125" style="1" bestFit="1" customWidth="1"/>
    <col min="2" max="3" width="10.140625" style="254" bestFit="1" customWidth="1"/>
    <col min="4" max="4" width="7.7109375" style="1" bestFit="1" customWidth="1"/>
    <col min="5" max="5" width="2.5703125" style="1" customWidth="1"/>
    <col min="6" max="6" width="7.5703125" style="1" bestFit="1" customWidth="1"/>
    <col min="7" max="7" width="10.140625" style="1" bestFit="1" customWidth="1"/>
    <col min="8" max="8" width="7.7109375" style="1" bestFit="1" customWidth="1"/>
    <col min="9" max="9" width="2.5703125" style="1" customWidth="1"/>
    <col min="10" max="12" width="11.42578125" style="1"/>
    <col min="13" max="14" width="9.140625" style="1" bestFit="1" customWidth="1"/>
    <col min="15" max="15" width="7.140625" style="1" bestFit="1" customWidth="1"/>
    <col min="16" max="17" width="9.140625" style="1" bestFit="1" customWidth="1"/>
    <col min="18" max="18" width="6.5703125" style="1" bestFit="1" customWidth="1"/>
    <col min="19" max="256" width="11.42578125" style="1"/>
    <col min="257" max="257" width="31.5703125" style="1" bestFit="1" customWidth="1"/>
    <col min="258" max="259" width="10.140625" style="1" bestFit="1" customWidth="1"/>
    <col min="260" max="260" width="7.7109375" style="1" bestFit="1" customWidth="1"/>
    <col min="261" max="261" width="2.5703125" style="1" customWidth="1"/>
    <col min="262" max="262" width="7.5703125" style="1" bestFit="1" customWidth="1"/>
    <col min="263" max="263" width="10.140625" style="1" bestFit="1" customWidth="1"/>
    <col min="264" max="264" width="7.7109375" style="1" bestFit="1" customWidth="1"/>
    <col min="265" max="265" width="2.5703125" style="1" customWidth="1"/>
    <col min="266" max="268" width="11.42578125" style="1"/>
    <col min="269" max="270" width="9.140625" style="1" bestFit="1" customWidth="1"/>
    <col min="271" max="271" width="7.140625" style="1" bestFit="1" customWidth="1"/>
    <col min="272" max="273" width="9.140625" style="1" bestFit="1" customWidth="1"/>
    <col min="274" max="274" width="6.5703125" style="1" bestFit="1" customWidth="1"/>
    <col min="275" max="512" width="11.42578125" style="1"/>
    <col min="513" max="513" width="31.5703125" style="1" bestFit="1" customWidth="1"/>
    <col min="514" max="515" width="10.140625" style="1" bestFit="1" customWidth="1"/>
    <col min="516" max="516" width="7.7109375" style="1" bestFit="1" customWidth="1"/>
    <col min="517" max="517" width="2.5703125" style="1" customWidth="1"/>
    <col min="518" max="518" width="7.5703125" style="1" bestFit="1" customWidth="1"/>
    <col min="519" max="519" width="10.140625" style="1" bestFit="1" customWidth="1"/>
    <col min="520" max="520" width="7.7109375" style="1" bestFit="1" customWidth="1"/>
    <col min="521" max="521" width="2.5703125" style="1" customWidth="1"/>
    <col min="522" max="524" width="11.42578125" style="1"/>
    <col min="525" max="526" width="9.140625" style="1" bestFit="1" customWidth="1"/>
    <col min="527" max="527" width="7.140625" style="1" bestFit="1" customWidth="1"/>
    <col min="528" max="529" width="9.140625" style="1" bestFit="1" customWidth="1"/>
    <col min="530" max="530" width="6.5703125" style="1" bestFit="1" customWidth="1"/>
    <col min="531" max="768" width="11.42578125" style="1"/>
    <col min="769" max="769" width="31.5703125" style="1" bestFit="1" customWidth="1"/>
    <col min="770" max="771" width="10.140625" style="1" bestFit="1" customWidth="1"/>
    <col min="772" max="772" width="7.7109375" style="1" bestFit="1" customWidth="1"/>
    <col min="773" max="773" width="2.5703125" style="1" customWidth="1"/>
    <col min="774" max="774" width="7.5703125" style="1" bestFit="1" customWidth="1"/>
    <col min="775" max="775" width="10.140625" style="1" bestFit="1" customWidth="1"/>
    <col min="776" max="776" width="7.7109375" style="1" bestFit="1" customWidth="1"/>
    <col min="777" max="777" width="2.5703125" style="1" customWidth="1"/>
    <col min="778" max="780" width="11.42578125" style="1"/>
    <col min="781" max="782" width="9.140625" style="1" bestFit="1" customWidth="1"/>
    <col min="783" max="783" width="7.140625" style="1" bestFit="1" customWidth="1"/>
    <col min="784" max="785" width="9.140625" style="1" bestFit="1" customWidth="1"/>
    <col min="786" max="786" width="6.5703125" style="1" bestFit="1" customWidth="1"/>
    <col min="787" max="1024" width="11.42578125" style="1"/>
    <col min="1025" max="1025" width="31.5703125" style="1" bestFit="1" customWidth="1"/>
    <col min="1026" max="1027" width="10.140625" style="1" bestFit="1" customWidth="1"/>
    <col min="1028" max="1028" width="7.7109375" style="1" bestFit="1" customWidth="1"/>
    <col min="1029" max="1029" width="2.5703125" style="1" customWidth="1"/>
    <col min="1030" max="1030" width="7.5703125" style="1" bestFit="1" customWidth="1"/>
    <col min="1031" max="1031" width="10.140625" style="1" bestFit="1" customWidth="1"/>
    <col min="1032" max="1032" width="7.7109375" style="1" bestFit="1" customWidth="1"/>
    <col min="1033" max="1033" width="2.5703125" style="1" customWidth="1"/>
    <col min="1034" max="1036" width="11.42578125" style="1"/>
    <col min="1037" max="1038" width="9.140625" style="1" bestFit="1" customWidth="1"/>
    <col min="1039" max="1039" width="7.140625" style="1" bestFit="1" customWidth="1"/>
    <col min="1040" max="1041" width="9.140625" style="1" bestFit="1" customWidth="1"/>
    <col min="1042" max="1042" width="6.5703125" style="1" bestFit="1" customWidth="1"/>
    <col min="1043" max="1280" width="11.42578125" style="1"/>
    <col min="1281" max="1281" width="31.5703125" style="1" bestFit="1" customWidth="1"/>
    <col min="1282" max="1283" width="10.140625" style="1" bestFit="1" customWidth="1"/>
    <col min="1284" max="1284" width="7.7109375" style="1" bestFit="1" customWidth="1"/>
    <col min="1285" max="1285" width="2.5703125" style="1" customWidth="1"/>
    <col min="1286" max="1286" width="7.5703125" style="1" bestFit="1" customWidth="1"/>
    <col min="1287" max="1287" width="10.140625" style="1" bestFit="1" customWidth="1"/>
    <col min="1288" max="1288" width="7.7109375" style="1" bestFit="1" customWidth="1"/>
    <col min="1289" max="1289" width="2.5703125" style="1" customWidth="1"/>
    <col min="1290" max="1292" width="11.42578125" style="1"/>
    <col min="1293" max="1294" width="9.140625" style="1" bestFit="1" customWidth="1"/>
    <col min="1295" max="1295" width="7.140625" style="1" bestFit="1" customWidth="1"/>
    <col min="1296" max="1297" width="9.140625" style="1" bestFit="1" customWidth="1"/>
    <col min="1298" max="1298" width="6.5703125" style="1" bestFit="1" customWidth="1"/>
    <col min="1299" max="1536" width="11.42578125" style="1"/>
    <col min="1537" max="1537" width="31.5703125" style="1" bestFit="1" customWidth="1"/>
    <col min="1538" max="1539" width="10.140625" style="1" bestFit="1" customWidth="1"/>
    <col min="1540" max="1540" width="7.7109375" style="1" bestFit="1" customWidth="1"/>
    <col min="1541" max="1541" width="2.5703125" style="1" customWidth="1"/>
    <col min="1542" max="1542" width="7.5703125" style="1" bestFit="1" customWidth="1"/>
    <col min="1543" max="1543" width="10.140625" style="1" bestFit="1" customWidth="1"/>
    <col min="1544" max="1544" width="7.7109375" style="1" bestFit="1" customWidth="1"/>
    <col min="1545" max="1545" width="2.5703125" style="1" customWidth="1"/>
    <col min="1546" max="1548" width="11.42578125" style="1"/>
    <col min="1549" max="1550" width="9.140625" style="1" bestFit="1" customWidth="1"/>
    <col min="1551" max="1551" width="7.140625" style="1" bestFit="1" customWidth="1"/>
    <col min="1552" max="1553" width="9.140625" style="1" bestFit="1" customWidth="1"/>
    <col min="1554" max="1554" width="6.5703125" style="1" bestFit="1" customWidth="1"/>
    <col min="1555" max="1792" width="11.42578125" style="1"/>
    <col min="1793" max="1793" width="31.5703125" style="1" bestFit="1" customWidth="1"/>
    <col min="1794" max="1795" width="10.140625" style="1" bestFit="1" customWidth="1"/>
    <col min="1796" max="1796" width="7.7109375" style="1" bestFit="1" customWidth="1"/>
    <col min="1797" max="1797" width="2.5703125" style="1" customWidth="1"/>
    <col min="1798" max="1798" width="7.5703125" style="1" bestFit="1" customWidth="1"/>
    <col min="1799" max="1799" width="10.140625" style="1" bestFit="1" customWidth="1"/>
    <col min="1800" max="1800" width="7.7109375" style="1" bestFit="1" customWidth="1"/>
    <col min="1801" max="1801" width="2.5703125" style="1" customWidth="1"/>
    <col min="1802" max="1804" width="11.42578125" style="1"/>
    <col min="1805" max="1806" width="9.140625" style="1" bestFit="1" customWidth="1"/>
    <col min="1807" max="1807" width="7.140625" style="1" bestFit="1" customWidth="1"/>
    <col min="1808" max="1809" width="9.140625" style="1" bestFit="1" customWidth="1"/>
    <col min="1810" max="1810" width="6.5703125" style="1" bestFit="1" customWidth="1"/>
    <col min="1811" max="2048" width="11.42578125" style="1"/>
    <col min="2049" max="2049" width="31.5703125" style="1" bestFit="1" customWidth="1"/>
    <col min="2050" max="2051" width="10.140625" style="1" bestFit="1" customWidth="1"/>
    <col min="2052" max="2052" width="7.7109375" style="1" bestFit="1" customWidth="1"/>
    <col min="2053" max="2053" width="2.5703125" style="1" customWidth="1"/>
    <col min="2054" max="2054" width="7.5703125" style="1" bestFit="1" customWidth="1"/>
    <col min="2055" max="2055" width="10.140625" style="1" bestFit="1" customWidth="1"/>
    <col min="2056" max="2056" width="7.7109375" style="1" bestFit="1" customWidth="1"/>
    <col min="2057" max="2057" width="2.5703125" style="1" customWidth="1"/>
    <col min="2058" max="2060" width="11.42578125" style="1"/>
    <col min="2061" max="2062" width="9.140625" style="1" bestFit="1" customWidth="1"/>
    <col min="2063" max="2063" width="7.140625" style="1" bestFit="1" customWidth="1"/>
    <col min="2064" max="2065" width="9.140625" style="1" bestFit="1" customWidth="1"/>
    <col min="2066" max="2066" width="6.5703125" style="1" bestFit="1" customWidth="1"/>
    <col min="2067" max="2304" width="11.42578125" style="1"/>
    <col min="2305" max="2305" width="31.5703125" style="1" bestFit="1" customWidth="1"/>
    <col min="2306" max="2307" width="10.140625" style="1" bestFit="1" customWidth="1"/>
    <col min="2308" max="2308" width="7.7109375" style="1" bestFit="1" customWidth="1"/>
    <col min="2309" max="2309" width="2.5703125" style="1" customWidth="1"/>
    <col min="2310" max="2310" width="7.5703125" style="1" bestFit="1" customWidth="1"/>
    <col min="2311" max="2311" width="10.140625" style="1" bestFit="1" customWidth="1"/>
    <col min="2312" max="2312" width="7.7109375" style="1" bestFit="1" customWidth="1"/>
    <col min="2313" max="2313" width="2.5703125" style="1" customWidth="1"/>
    <col min="2314" max="2316" width="11.42578125" style="1"/>
    <col min="2317" max="2318" width="9.140625" style="1" bestFit="1" customWidth="1"/>
    <col min="2319" max="2319" width="7.140625" style="1" bestFit="1" customWidth="1"/>
    <col min="2320" max="2321" width="9.140625" style="1" bestFit="1" customWidth="1"/>
    <col min="2322" max="2322" width="6.5703125" style="1" bestFit="1" customWidth="1"/>
    <col min="2323" max="2560" width="11.42578125" style="1"/>
    <col min="2561" max="2561" width="31.5703125" style="1" bestFit="1" customWidth="1"/>
    <col min="2562" max="2563" width="10.140625" style="1" bestFit="1" customWidth="1"/>
    <col min="2564" max="2564" width="7.7109375" style="1" bestFit="1" customWidth="1"/>
    <col min="2565" max="2565" width="2.5703125" style="1" customWidth="1"/>
    <col min="2566" max="2566" width="7.5703125" style="1" bestFit="1" customWidth="1"/>
    <col min="2567" max="2567" width="10.140625" style="1" bestFit="1" customWidth="1"/>
    <col min="2568" max="2568" width="7.7109375" style="1" bestFit="1" customWidth="1"/>
    <col min="2569" max="2569" width="2.5703125" style="1" customWidth="1"/>
    <col min="2570" max="2572" width="11.42578125" style="1"/>
    <col min="2573" max="2574" width="9.140625" style="1" bestFit="1" customWidth="1"/>
    <col min="2575" max="2575" width="7.140625" style="1" bestFit="1" customWidth="1"/>
    <col min="2576" max="2577" width="9.140625" style="1" bestFit="1" customWidth="1"/>
    <col min="2578" max="2578" width="6.5703125" style="1" bestFit="1" customWidth="1"/>
    <col min="2579" max="2816" width="11.42578125" style="1"/>
    <col min="2817" max="2817" width="31.5703125" style="1" bestFit="1" customWidth="1"/>
    <col min="2818" max="2819" width="10.140625" style="1" bestFit="1" customWidth="1"/>
    <col min="2820" max="2820" width="7.7109375" style="1" bestFit="1" customWidth="1"/>
    <col min="2821" max="2821" width="2.5703125" style="1" customWidth="1"/>
    <col min="2822" max="2822" width="7.5703125" style="1" bestFit="1" customWidth="1"/>
    <col min="2823" max="2823" width="10.140625" style="1" bestFit="1" customWidth="1"/>
    <col min="2824" max="2824" width="7.7109375" style="1" bestFit="1" customWidth="1"/>
    <col min="2825" max="2825" width="2.5703125" style="1" customWidth="1"/>
    <col min="2826" max="2828" width="11.42578125" style="1"/>
    <col min="2829" max="2830" width="9.140625" style="1" bestFit="1" customWidth="1"/>
    <col min="2831" max="2831" width="7.140625" style="1" bestFit="1" customWidth="1"/>
    <col min="2832" max="2833" width="9.140625" style="1" bestFit="1" customWidth="1"/>
    <col min="2834" max="2834" width="6.5703125" style="1" bestFit="1" customWidth="1"/>
    <col min="2835" max="3072" width="11.42578125" style="1"/>
    <col min="3073" max="3073" width="31.5703125" style="1" bestFit="1" customWidth="1"/>
    <col min="3074" max="3075" width="10.140625" style="1" bestFit="1" customWidth="1"/>
    <col min="3076" max="3076" width="7.7109375" style="1" bestFit="1" customWidth="1"/>
    <col min="3077" max="3077" width="2.5703125" style="1" customWidth="1"/>
    <col min="3078" max="3078" width="7.5703125" style="1" bestFit="1" customWidth="1"/>
    <col min="3079" max="3079" width="10.140625" style="1" bestFit="1" customWidth="1"/>
    <col min="3080" max="3080" width="7.7109375" style="1" bestFit="1" customWidth="1"/>
    <col min="3081" max="3081" width="2.5703125" style="1" customWidth="1"/>
    <col min="3082" max="3084" width="11.42578125" style="1"/>
    <col min="3085" max="3086" width="9.140625" style="1" bestFit="1" customWidth="1"/>
    <col min="3087" max="3087" width="7.140625" style="1" bestFit="1" customWidth="1"/>
    <col min="3088" max="3089" width="9.140625" style="1" bestFit="1" customWidth="1"/>
    <col min="3090" max="3090" width="6.5703125" style="1" bestFit="1" customWidth="1"/>
    <col min="3091" max="3328" width="11.42578125" style="1"/>
    <col min="3329" max="3329" width="31.5703125" style="1" bestFit="1" customWidth="1"/>
    <col min="3330" max="3331" width="10.140625" style="1" bestFit="1" customWidth="1"/>
    <col min="3332" max="3332" width="7.7109375" style="1" bestFit="1" customWidth="1"/>
    <col min="3333" max="3333" width="2.5703125" style="1" customWidth="1"/>
    <col min="3334" max="3334" width="7.5703125" style="1" bestFit="1" customWidth="1"/>
    <col min="3335" max="3335" width="10.140625" style="1" bestFit="1" customWidth="1"/>
    <col min="3336" max="3336" width="7.7109375" style="1" bestFit="1" customWidth="1"/>
    <col min="3337" max="3337" width="2.5703125" style="1" customWidth="1"/>
    <col min="3338" max="3340" width="11.42578125" style="1"/>
    <col min="3341" max="3342" width="9.140625" style="1" bestFit="1" customWidth="1"/>
    <col min="3343" max="3343" width="7.140625" style="1" bestFit="1" customWidth="1"/>
    <col min="3344" max="3345" width="9.140625" style="1" bestFit="1" customWidth="1"/>
    <col min="3346" max="3346" width="6.5703125" style="1" bestFit="1" customWidth="1"/>
    <col min="3347" max="3584" width="11.42578125" style="1"/>
    <col min="3585" max="3585" width="31.5703125" style="1" bestFit="1" customWidth="1"/>
    <col min="3586" max="3587" width="10.140625" style="1" bestFit="1" customWidth="1"/>
    <col min="3588" max="3588" width="7.7109375" style="1" bestFit="1" customWidth="1"/>
    <col min="3589" max="3589" width="2.5703125" style="1" customWidth="1"/>
    <col min="3590" max="3590" width="7.5703125" style="1" bestFit="1" customWidth="1"/>
    <col min="3591" max="3591" width="10.140625" style="1" bestFit="1" customWidth="1"/>
    <col min="3592" max="3592" width="7.7109375" style="1" bestFit="1" customWidth="1"/>
    <col min="3593" max="3593" width="2.5703125" style="1" customWidth="1"/>
    <col min="3594" max="3596" width="11.42578125" style="1"/>
    <col min="3597" max="3598" width="9.140625" style="1" bestFit="1" customWidth="1"/>
    <col min="3599" max="3599" width="7.140625" style="1" bestFit="1" customWidth="1"/>
    <col min="3600" max="3601" width="9.140625" style="1" bestFit="1" customWidth="1"/>
    <col min="3602" max="3602" width="6.5703125" style="1" bestFit="1" customWidth="1"/>
    <col min="3603" max="3840" width="11.42578125" style="1"/>
    <col min="3841" max="3841" width="31.5703125" style="1" bestFit="1" customWidth="1"/>
    <col min="3842" max="3843" width="10.140625" style="1" bestFit="1" customWidth="1"/>
    <col min="3844" max="3844" width="7.7109375" style="1" bestFit="1" customWidth="1"/>
    <col min="3845" max="3845" width="2.5703125" style="1" customWidth="1"/>
    <col min="3846" max="3846" width="7.5703125" style="1" bestFit="1" customWidth="1"/>
    <col min="3847" max="3847" width="10.140625" style="1" bestFit="1" customWidth="1"/>
    <col min="3848" max="3848" width="7.7109375" style="1" bestFit="1" customWidth="1"/>
    <col min="3849" max="3849" width="2.5703125" style="1" customWidth="1"/>
    <col min="3850" max="3852" width="11.42578125" style="1"/>
    <col min="3853" max="3854" width="9.140625" style="1" bestFit="1" customWidth="1"/>
    <col min="3855" max="3855" width="7.140625" style="1" bestFit="1" customWidth="1"/>
    <col min="3856" max="3857" width="9.140625" style="1" bestFit="1" customWidth="1"/>
    <col min="3858" max="3858" width="6.5703125" style="1" bestFit="1" customWidth="1"/>
    <col min="3859" max="4096" width="11.42578125" style="1"/>
    <col min="4097" max="4097" width="31.5703125" style="1" bestFit="1" customWidth="1"/>
    <col min="4098" max="4099" width="10.140625" style="1" bestFit="1" customWidth="1"/>
    <col min="4100" max="4100" width="7.7109375" style="1" bestFit="1" customWidth="1"/>
    <col min="4101" max="4101" width="2.5703125" style="1" customWidth="1"/>
    <col min="4102" max="4102" width="7.5703125" style="1" bestFit="1" customWidth="1"/>
    <col min="4103" max="4103" width="10.140625" style="1" bestFit="1" customWidth="1"/>
    <col min="4104" max="4104" width="7.7109375" style="1" bestFit="1" customWidth="1"/>
    <col min="4105" max="4105" width="2.5703125" style="1" customWidth="1"/>
    <col min="4106" max="4108" width="11.42578125" style="1"/>
    <col min="4109" max="4110" width="9.140625" style="1" bestFit="1" customWidth="1"/>
    <col min="4111" max="4111" width="7.140625" style="1" bestFit="1" customWidth="1"/>
    <col min="4112" max="4113" width="9.140625" style="1" bestFit="1" customWidth="1"/>
    <col min="4114" max="4114" width="6.5703125" style="1" bestFit="1" customWidth="1"/>
    <col min="4115" max="4352" width="11.42578125" style="1"/>
    <col min="4353" max="4353" width="31.5703125" style="1" bestFit="1" customWidth="1"/>
    <col min="4354" max="4355" width="10.140625" style="1" bestFit="1" customWidth="1"/>
    <col min="4356" max="4356" width="7.7109375" style="1" bestFit="1" customWidth="1"/>
    <col min="4357" max="4357" width="2.5703125" style="1" customWidth="1"/>
    <col min="4358" max="4358" width="7.5703125" style="1" bestFit="1" customWidth="1"/>
    <col min="4359" max="4359" width="10.140625" style="1" bestFit="1" customWidth="1"/>
    <col min="4360" max="4360" width="7.7109375" style="1" bestFit="1" customWidth="1"/>
    <col min="4361" max="4361" width="2.5703125" style="1" customWidth="1"/>
    <col min="4362" max="4364" width="11.42578125" style="1"/>
    <col min="4365" max="4366" width="9.140625" style="1" bestFit="1" customWidth="1"/>
    <col min="4367" max="4367" width="7.140625" style="1" bestFit="1" customWidth="1"/>
    <col min="4368" max="4369" width="9.140625" style="1" bestFit="1" customWidth="1"/>
    <col min="4370" max="4370" width="6.5703125" style="1" bestFit="1" customWidth="1"/>
    <col min="4371" max="4608" width="11.42578125" style="1"/>
    <col min="4609" max="4609" width="31.5703125" style="1" bestFit="1" customWidth="1"/>
    <col min="4610" max="4611" width="10.140625" style="1" bestFit="1" customWidth="1"/>
    <col min="4612" max="4612" width="7.7109375" style="1" bestFit="1" customWidth="1"/>
    <col min="4613" max="4613" width="2.5703125" style="1" customWidth="1"/>
    <col min="4614" max="4614" width="7.5703125" style="1" bestFit="1" customWidth="1"/>
    <col min="4615" max="4615" width="10.140625" style="1" bestFit="1" customWidth="1"/>
    <col min="4616" max="4616" width="7.7109375" style="1" bestFit="1" customWidth="1"/>
    <col min="4617" max="4617" width="2.5703125" style="1" customWidth="1"/>
    <col min="4618" max="4620" width="11.42578125" style="1"/>
    <col min="4621" max="4622" width="9.140625" style="1" bestFit="1" customWidth="1"/>
    <col min="4623" max="4623" width="7.140625" style="1" bestFit="1" customWidth="1"/>
    <col min="4624" max="4625" width="9.140625" style="1" bestFit="1" customWidth="1"/>
    <col min="4626" max="4626" width="6.5703125" style="1" bestFit="1" customWidth="1"/>
    <col min="4627" max="4864" width="11.42578125" style="1"/>
    <col min="4865" max="4865" width="31.5703125" style="1" bestFit="1" customWidth="1"/>
    <col min="4866" max="4867" width="10.140625" style="1" bestFit="1" customWidth="1"/>
    <col min="4868" max="4868" width="7.7109375" style="1" bestFit="1" customWidth="1"/>
    <col min="4869" max="4869" width="2.5703125" style="1" customWidth="1"/>
    <col min="4870" max="4870" width="7.5703125" style="1" bestFit="1" customWidth="1"/>
    <col min="4871" max="4871" width="10.140625" style="1" bestFit="1" customWidth="1"/>
    <col min="4872" max="4872" width="7.7109375" style="1" bestFit="1" customWidth="1"/>
    <col min="4873" max="4873" width="2.5703125" style="1" customWidth="1"/>
    <col min="4874" max="4876" width="11.42578125" style="1"/>
    <col min="4877" max="4878" width="9.140625" style="1" bestFit="1" customWidth="1"/>
    <col min="4879" max="4879" width="7.140625" style="1" bestFit="1" customWidth="1"/>
    <col min="4880" max="4881" width="9.140625" style="1" bestFit="1" customWidth="1"/>
    <col min="4882" max="4882" width="6.5703125" style="1" bestFit="1" customWidth="1"/>
    <col min="4883" max="5120" width="11.42578125" style="1"/>
    <col min="5121" max="5121" width="31.5703125" style="1" bestFit="1" customWidth="1"/>
    <col min="5122" max="5123" width="10.140625" style="1" bestFit="1" customWidth="1"/>
    <col min="5124" max="5124" width="7.7109375" style="1" bestFit="1" customWidth="1"/>
    <col min="5125" max="5125" width="2.5703125" style="1" customWidth="1"/>
    <col min="5126" max="5126" width="7.5703125" style="1" bestFit="1" customWidth="1"/>
    <col min="5127" max="5127" width="10.140625" style="1" bestFit="1" customWidth="1"/>
    <col min="5128" max="5128" width="7.7109375" style="1" bestFit="1" customWidth="1"/>
    <col min="5129" max="5129" width="2.5703125" style="1" customWidth="1"/>
    <col min="5130" max="5132" width="11.42578125" style="1"/>
    <col min="5133" max="5134" width="9.140625" style="1" bestFit="1" customWidth="1"/>
    <col min="5135" max="5135" width="7.140625" style="1" bestFit="1" customWidth="1"/>
    <col min="5136" max="5137" width="9.140625" style="1" bestFit="1" customWidth="1"/>
    <col min="5138" max="5138" width="6.5703125" style="1" bestFit="1" customWidth="1"/>
    <col min="5139" max="5376" width="11.42578125" style="1"/>
    <col min="5377" max="5377" width="31.5703125" style="1" bestFit="1" customWidth="1"/>
    <col min="5378" max="5379" width="10.140625" style="1" bestFit="1" customWidth="1"/>
    <col min="5380" max="5380" width="7.7109375" style="1" bestFit="1" customWidth="1"/>
    <col min="5381" max="5381" width="2.5703125" style="1" customWidth="1"/>
    <col min="5382" max="5382" width="7.5703125" style="1" bestFit="1" customWidth="1"/>
    <col min="5383" max="5383" width="10.140625" style="1" bestFit="1" customWidth="1"/>
    <col min="5384" max="5384" width="7.7109375" style="1" bestFit="1" customWidth="1"/>
    <col min="5385" max="5385" width="2.5703125" style="1" customWidth="1"/>
    <col min="5386" max="5388" width="11.42578125" style="1"/>
    <col min="5389" max="5390" width="9.140625" style="1" bestFit="1" customWidth="1"/>
    <col min="5391" max="5391" width="7.140625" style="1" bestFit="1" customWidth="1"/>
    <col min="5392" max="5393" width="9.140625" style="1" bestFit="1" customWidth="1"/>
    <col min="5394" max="5394" width="6.5703125" style="1" bestFit="1" customWidth="1"/>
    <col min="5395" max="5632" width="11.42578125" style="1"/>
    <col min="5633" max="5633" width="31.5703125" style="1" bestFit="1" customWidth="1"/>
    <col min="5634" max="5635" width="10.140625" style="1" bestFit="1" customWidth="1"/>
    <col min="5636" max="5636" width="7.7109375" style="1" bestFit="1" customWidth="1"/>
    <col min="5637" max="5637" width="2.5703125" style="1" customWidth="1"/>
    <col min="5638" max="5638" width="7.5703125" style="1" bestFit="1" customWidth="1"/>
    <col min="5639" max="5639" width="10.140625" style="1" bestFit="1" customWidth="1"/>
    <col min="5640" max="5640" width="7.7109375" style="1" bestFit="1" customWidth="1"/>
    <col min="5641" max="5641" width="2.5703125" style="1" customWidth="1"/>
    <col min="5642" max="5644" width="11.42578125" style="1"/>
    <col min="5645" max="5646" width="9.140625" style="1" bestFit="1" customWidth="1"/>
    <col min="5647" max="5647" width="7.140625" style="1" bestFit="1" customWidth="1"/>
    <col min="5648" max="5649" width="9.140625" style="1" bestFit="1" customWidth="1"/>
    <col min="5650" max="5650" width="6.5703125" style="1" bestFit="1" customWidth="1"/>
    <col min="5651" max="5888" width="11.42578125" style="1"/>
    <col min="5889" max="5889" width="31.5703125" style="1" bestFit="1" customWidth="1"/>
    <col min="5890" max="5891" width="10.140625" style="1" bestFit="1" customWidth="1"/>
    <col min="5892" max="5892" width="7.7109375" style="1" bestFit="1" customWidth="1"/>
    <col min="5893" max="5893" width="2.5703125" style="1" customWidth="1"/>
    <col min="5894" max="5894" width="7.5703125" style="1" bestFit="1" customWidth="1"/>
    <col min="5895" max="5895" width="10.140625" style="1" bestFit="1" customWidth="1"/>
    <col min="5896" max="5896" width="7.7109375" style="1" bestFit="1" customWidth="1"/>
    <col min="5897" max="5897" width="2.5703125" style="1" customWidth="1"/>
    <col min="5898" max="5900" width="11.42578125" style="1"/>
    <col min="5901" max="5902" width="9.140625" style="1" bestFit="1" customWidth="1"/>
    <col min="5903" max="5903" width="7.140625" style="1" bestFit="1" customWidth="1"/>
    <col min="5904" max="5905" width="9.140625" style="1" bestFit="1" customWidth="1"/>
    <col min="5906" max="5906" width="6.5703125" style="1" bestFit="1" customWidth="1"/>
    <col min="5907" max="6144" width="11.42578125" style="1"/>
    <col min="6145" max="6145" width="31.5703125" style="1" bestFit="1" customWidth="1"/>
    <col min="6146" max="6147" width="10.140625" style="1" bestFit="1" customWidth="1"/>
    <col min="6148" max="6148" width="7.7109375" style="1" bestFit="1" customWidth="1"/>
    <col min="6149" max="6149" width="2.5703125" style="1" customWidth="1"/>
    <col min="6150" max="6150" width="7.5703125" style="1" bestFit="1" customWidth="1"/>
    <col min="6151" max="6151" width="10.140625" style="1" bestFit="1" customWidth="1"/>
    <col min="6152" max="6152" width="7.7109375" style="1" bestFit="1" customWidth="1"/>
    <col min="6153" max="6153" width="2.5703125" style="1" customWidth="1"/>
    <col min="6154" max="6156" width="11.42578125" style="1"/>
    <col min="6157" max="6158" width="9.140625" style="1" bestFit="1" customWidth="1"/>
    <col min="6159" max="6159" width="7.140625" style="1" bestFit="1" customWidth="1"/>
    <col min="6160" max="6161" width="9.140625" style="1" bestFit="1" customWidth="1"/>
    <col min="6162" max="6162" width="6.5703125" style="1" bestFit="1" customWidth="1"/>
    <col min="6163" max="6400" width="11.42578125" style="1"/>
    <col min="6401" max="6401" width="31.5703125" style="1" bestFit="1" customWidth="1"/>
    <col min="6402" max="6403" width="10.140625" style="1" bestFit="1" customWidth="1"/>
    <col min="6404" max="6404" width="7.7109375" style="1" bestFit="1" customWidth="1"/>
    <col min="6405" max="6405" width="2.5703125" style="1" customWidth="1"/>
    <col min="6406" max="6406" width="7.5703125" style="1" bestFit="1" customWidth="1"/>
    <col min="6407" max="6407" width="10.140625" style="1" bestFit="1" customWidth="1"/>
    <col min="6408" max="6408" width="7.7109375" style="1" bestFit="1" customWidth="1"/>
    <col min="6409" max="6409" width="2.5703125" style="1" customWidth="1"/>
    <col min="6410" max="6412" width="11.42578125" style="1"/>
    <col min="6413" max="6414" width="9.140625" style="1" bestFit="1" customWidth="1"/>
    <col min="6415" max="6415" width="7.140625" style="1" bestFit="1" customWidth="1"/>
    <col min="6416" max="6417" width="9.140625" style="1" bestFit="1" customWidth="1"/>
    <col min="6418" max="6418" width="6.5703125" style="1" bestFit="1" customWidth="1"/>
    <col min="6419" max="6656" width="11.42578125" style="1"/>
    <col min="6657" max="6657" width="31.5703125" style="1" bestFit="1" customWidth="1"/>
    <col min="6658" max="6659" width="10.140625" style="1" bestFit="1" customWidth="1"/>
    <col min="6660" max="6660" width="7.7109375" style="1" bestFit="1" customWidth="1"/>
    <col min="6661" max="6661" width="2.5703125" style="1" customWidth="1"/>
    <col min="6662" max="6662" width="7.5703125" style="1" bestFit="1" customWidth="1"/>
    <col min="6663" max="6663" width="10.140625" style="1" bestFit="1" customWidth="1"/>
    <col min="6664" max="6664" width="7.7109375" style="1" bestFit="1" customWidth="1"/>
    <col min="6665" max="6665" width="2.5703125" style="1" customWidth="1"/>
    <col min="6666" max="6668" width="11.42578125" style="1"/>
    <col min="6669" max="6670" width="9.140625" style="1" bestFit="1" customWidth="1"/>
    <col min="6671" max="6671" width="7.140625" style="1" bestFit="1" customWidth="1"/>
    <col min="6672" max="6673" width="9.140625" style="1" bestFit="1" customWidth="1"/>
    <col min="6674" max="6674" width="6.5703125" style="1" bestFit="1" customWidth="1"/>
    <col min="6675" max="6912" width="11.42578125" style="1"/>
    <col min="6913" max="6913" width="31.5703125" style="1" bestFit="1" customWidth="1"/>
    <col min="6914" max="6915" width="10.140625" style="1" bestFit="1" customWidth="1"/>
    <col min="6916" max="6916" width="7.7109375" style="1" bestFit="1" customWidth="1"/>
    <col min="6917" max="6917" width="2.5703125" style="1" customWidth="1"/>
    <col min="6918" max="6918" width="7.5703125" style="1" bestFit="1" customWidth="1"/>
    <col min="6919" max="6919" width="10.140625" style="1" bestFit="1" customWidth="1"/>
    <col min="6920" max="6920" width="7.7109375" style="1" bestFit="1" customWidth="1"/>
    <col min="6921" max="6921" width="2.5703125" style="1" customWidth="1"/>
    <col min="6922" max="6924" width="11.42578125" style="1"/>
    <col min="6925" max="6926" width="9.140625" style="1" bestFit="1" customWidth="1"/>
    <col min="6927" max="6927" width="7.140625" style="1" bestFit="1" customWidth="1"/>
    <col min="6928" max="6929" width="9.140625" style="1" bestFit="1" customWidth="1"/>
    <col min="6930" max="6930" width="6.5703125" style="1" bestFit="1" customWidth="1"/>
    <col min="6931" max="7168" width="11.42578125" style="1"/>
    <col min="7169" max="7169" width="31.5703125" style="1" bestFit="1" customWidth="1"/>
    <col min="7170" max="7171" width="10.140625" style="1" bestFit="1" customWidth="1"/>
    <col min="7172" max="7172" width="7.7109375" style="1" bestFit="1" customWidth="1"/>
    <col min="7173" max="7173" width="2.5703125" style="1" customWidth="1"/>
    <col min="7174" max="7174" width="7.5703125" style="1" bestFit="1" customWidth="1"/>
    <col min="7175" max="7175" width="10.140625" style="1" bestFit="1" customWidth="1"/>
    <col min="7176" max="7176" width="7.7109375" style="1" bestFit="1" customWidth="1"/>
    <col min="7177" max="7177" width="2.5703125" style="1" customWidth="1"/>
    <col min="7178" max="7180" width="11.42578125" style="1"/>
    <col min="7181" max="7182" width="9.140625" style="1" bestFit="1" customWidth="1"/>
    <col min="7183" max="7183" width="7.140625" style="1" bestFit="1" customWidth="1"/>
    <col min="7184" max="7185" width="9.140625" style="1" bestFit="1" customWidth="1"/>
    <col min="7186" max="7186" width="6.5703125" style="1" bestFit="1" customWidth="1"/>
    <col min="7187" max="7424" width="11.42578125" style="1"/>
    <col min="7425" max="7425" width="31.5703125" style="1" bestFit="1" customWidth="1"/>
    <col min="7426" max="7427" width="10.140625" style="1" bestFit="1" customWidth="1"/>
    <col min="7428" max="7428" width="7.7109375" style="1" bestFit="1" customWidth="1"/>
    <col min="7429" max="7429" width="2.5703125" style="1" customWidth="1"/>
    <col min="7430" max="7430" width="7.5703125" style="1" bestFit="1" customWidth="1"/>
    <col min="7431" max="7431" width="10.140625" style="1" bestFit="1" customWidth="1"/>
    <col min="7432" max="7432" width="7.7109375" style="1" bestFit="1" customWidth="1"/>
    <col min="7433" max="7433" width="2.5703125" style="1" customWidth="1"/>
    <col min="7434" max="7436" width="11.42578125" style="1"/>
    <col min="7437" max="7438" width="9.140625" style="1" bestFit="1" customWidth="1"/>
    <col min="7439" max="7439" width="7.140625" style="1" bestFit="1" customWidth="1"/>
    <col min="7440" max="7441" width="9.140625" style="1" bestFit="1" customWidth="1"/>
    <col min="7442" max="7442" width="6.5703125" style="1" bestFit="1" customWidth="1"/>
    <col min="7443" max="7680" width="11.42578125" style="1"/>
    <col min="7681" max="7681" width="31.5703125" style="1" bestFit="1" customWidth="1"/>
    <col min="7682" max="7683" width="10.140625" style="1" bestFit="1" customWidth="1"/>
    <col min="7684" max="7684" width="7.7109375" style="1" bestFit="1" customWidth="1"/>
    <col min="7685" max="7685" width="2.5703125" style="1" customWidth="1"/>
    <col min="7686" max="7686" width="7.5703125" style="1" bestFit="1" customWidth="1"/>
    <col min="7687" max="7687" width="10.140625" style="1" bestFit="1" customWidth="1"/>
    <col min="7688" max="7688" width="7.7109375" style="1" bestFit="1" customWidth="1"/>
    <col min="7689" max="7689" width="2.5703125" style="1" customWidth="1"/>
    <col min="7690" max="7692" width="11.42578125" style="1"/>
    <col min="7693" max="7694" width="9.140625" style="1" bestFit="1" customWidth="1"/>
    <col min="7695" max="7695" width="7.140625" style="1" bestFit="1" customWidth="1"/>
    <col min="7696" max="7697" width="9.140625" style="1" bestFit="1" customWidth="1"/>
    <col min="7698" max="7698" width="6.5703125" style="1" bestFit="1" customWidth="1"/>
    <col min="7699" max="7936" width="11.42578125" style="1"/>
    <col min="7937" max="7937" width="31.5703125" style="1" bestFit="1" customWidth="1"/>
    <col min="7938" max="7939" width="10.140625" style="1" bestFit="1" customWidth="1"/>
    <col min="7940" max="7940" width="7.7109375" style="1" bestFit="1" customWidth="1"/>
    <col min="7941" max="7941" width="2.5703125" style="1" customWidth="1"/>
    <col min="7942" max="7942" width="7.5703125" style="1" bestFit="1" customWidth="1"/>
    <col min="7943" max="7943" width="10.140625" style="1" bestFit="1" customWidth="1"/>
    <col min="7944" max="7944" width="7.7109375" style="1" bestFit="1" customWidth="1"/>
    <col min="7945" max="7945" width="2.5703125" style="1" customWidth="1"/>
    <col min="7946" max="7948" width="11.42578125" style="1"/>
    <col min="7949" max="7950" width="9.140625" style="1" bestFit="1" customWidth="1"/>
    <col min="7951" max="7951" width="7.140625" style="1" bestFit="1" customWidth="1"/>
    <col min="7952" max="7953" width="9.140625" style="1" bestFit="1" customWidth="1"/>
    <col min="7954" max="7954" width="6.5703125" style="1" bestFit="1" customWidth="1"/>
    <col min="7955" max="8192" width="11.42578125" style="1"/>
    <col min="8193" max="8193" width="31.5703125" style="1" bestFit="1" customWidth="1"/>
    <col min="8194" max="8195" width="10.140625" style="1" bestFit="1" customWidth="1"/>
    <col min="8196" max="8196" width="7.7109375" style="1" bestFit="1" customWidth="1"/>
    <col min="8197" max="8197" width="2.5703125" style="1" customWidth="1"/>
    <col min="8198" max="8198" width="7.5703125" style="1" bestFit="1" customWidth="1"/>
    <col min="8199" max="8199" width="10.140625" style="1" bestFit="1" customWidth="1"/>
    <col min="8200" max="8200" width="7.7109375" style="1" bestFit="1" customWidth="1"/>
    <col min="8201" max="8201" width="2.5703125" style="1" customWidth="1"/>
    <col min="8202" max="8204" width="11.42578125" style="1"/>
    <col min="8205" max="8206" width="9.140625" style="1" bestFit="1" customWidth="1"/>
    <col min="8207" max="8207" width="7.140625" style="1" bestFit="1" customWidth="1"/>
    <col min="8208" max="8209" width="9.140625" style="1" bestFit="1" customWidth="1"/>
    <col min="8210" max="8210" width="6.5703125" style="1" bestFit="1" customWidth="1"/>
    <col min="8211" max="8448" width="11.42578125" style="1"/>
    <col min="8449" max="8449" width="31.5703125" style="1" bestFit="1" customWidth="1"/>
    <col min="8450" max="8451" width="10.140625" style="1" bestFit="1" customWidth="1"/>
    <col min="8452" max="8452" width="7.7109375" style="1" bestFit="1" customWidth="1"/>
    <col min="8453" max="8453" width="2.5703125" style="1" customWidth="1"/>
    <col min="8454" max="8454" width="7.5703125" style="1" bestFit="1" customWidth="1"/>
    <col min="8455" max="8455" width="10.140625" style="1" bestFit="1" customWidth="1"/>
    <col min="8456" max="8456" width="7.7109375" style="1" bestFit="1" customWidth="1"/>
    <col min="8457" max="8457" width="2.5703125" style="1" customWidth="1"/>
    <col min="8458" max="8460" width="11.42578125" style="1"/>
    <col min="8461" max="8462" width="9.140625" style="1" bestFit="1" customWidth="1"/>
    <col min="8463" max="8463" width="7.140625" style="1" bestFit="1" customWidth="1"/>
    <col min="8464" max="8465" width="9.140625" style="1" bestFit="1" customWidth="1"/>
    <col min="8466" max="8466" width="6.5703125" style="1" bestFit="1" customWidth="1"/>
    <col min="8467" max="8704" width="11.42578125" style="1"/>
    <col min="8705" max="8705" width="31.5703125" style="1" bestFit="1" customWidth="1"/>
    <col min="8706" max="8707" width="10.140625" style="1" bestFit="1" customWidth="1"/>
    <col min="8708" max="8708" width="7.7109375" style="1" bestFit="1" customWidth="1"/>
    <col min="8709" max="8709" width="2.5703125" style="1" customWidth="1"/>
    <col min="8710" max="8710" width="7.5703125" style="1" bestFit="1" customWidth="1"/>
    <col min="8711" max="8711" width="10.140625" style="1" bestFit="1" customWidth="1"/>
    <col min="8712" max="8712" width="7.7109375" style="1" bestFit="1" customWidth="1"/>
    <col min="8713" max="8713" width="2.5703125" style="1" customWidth="1"/>
    <col min="8714" max="8716" width="11.42578125" style="1"/>
    <col min="8717" max="8718" width="9.140625" style="1" bestFit="1" customWidth="1"/>
    <col min="8719" max="8719" width="7.140625" style="1" bestFit="1" customWidth="1"/>
    <col min="8720" max="8721" width="9.140625" style="1" bestFit="1" customWidth="1"/>
    <col min="8722" max="8722" width="6.5703125" style="1" bestFit="1" customWidth="1"/>
    <col min="8723" max="8960" width="11.42578125" style="1"/>
    <col min="8961" max="8961" width="31.5703125" style="1" bestFit="1" customWidth="1"/>
    <col min="8962" max="8963" width="10.140625" style="1" bestFit="1" customWidth="1"/>
    <col min="8964" max="8964" width="7.7109375" style="1" bestFit="1" customWidth="1"/>
    <col min="8965" max="8965" width="2.5703125" style="1" customWidth="1"/>
    <col min="8966" max="8966" width="7.5703125" style="1" bestFit="1" customWidth="1"/>
    <col min="8967" max="8967" width="10.140625" style="1" bestFit="1" customWidth="1"/>
    <col min="8968" max="8968" width="7.7109375" style="1" bestFit="1" customWidth="1"/>
    <col min="8969" max="8969" width="2.5703125" style="1" customWidth="1"/>
    <col min="8970" max="8972" width="11.42578125" style="1"/>
    <col min="8973" max="8974" width="9.140625" style="1" bestFit="1" customWidth="1"/>
    <col min="8975" max="8975" width="7.140625" style="1" bestFit="1" customWidth="1"/>
    <col min="8976" max="8977" width="9.140625" style="1" bestFit="1" customWidth="1"/>
    <col min="8978" max="8978" width="6.5703125" style="1" bestFit="1" customWidth="1"/>
    <col min="8979" max="9216" width="11.42578125" style="1"/>
    <col min="9217" max="9217" width="31.5703125" style="1" bestFit="1" customWidth="1"/>
    <col min="9218" max="9219" width="10.140625" style="1" bestFit="1" customWidth="1"/>
    <col min="9220" max="9220" width="7.7109375" style="1" bestFit="1" customWidth="1"/>
    <col min="9221" max="9221" width="2.5703125" style="1" customWidth="1"/>
    <col min="9222" max="9222" width="7.5703125" style="1" bestFit="1" customWidth="1"/>
    <col min="9223" max="9223" width="10.140625" style="1" bestFit="1" customWidth="1"/>
    <col min="9224" max="9224" width="7.7109375" style="1" bestFit="1" customWidth="1"/>
    <col min="9225" max="9225" width="2.5703125" style="1" customWidth="1"/>
    <col min="9226" max="9228" width="11.42578125" style="1"/>
    <col min="9229" max="9230" width="9.140625" style="1" bestFit="1" customWidth="1"/>
    <col min="9231" max="9231" width="7.140625" style="1" bestFit="1" customWidth="1"/>
    <col min="9232" max="9233" width="9.140625" style="1" bestFit="1" customWidth="1"/>
    <col min="9234" max="9234" width="6.5703125" style="1" bestFit="1" customWidth="1"/>
    <col min="9235" max="9472" width="11.42578125" style="1"/>
    <col min="9473" max="9473" width="31.5703125" style="1" bestFit="1" customWidth="1"/>
    <col min="9474" max="9475" width="10.140625" style="1" bestFit="1" customWidth="1"/>
    <col min="9476" max="9476" width="7.7109375" style="1" bestFit="1" customWidth="1"/>
    <col min="9477" max="9477" width="2.5703125" style="1" customWidth="1"/>
    <col min="9478" max="9478" width="7.5703125" style="1" bestFit="1" customWidth="1"/>
    <col min="9479" max="9479" width="10.140625" style="1" bestFit="1" customWidth="1"/>
    <col min="9480" max="9480" width="7.7109375" style="1" bestFit="1" customWidth="1"/>
    <col min="9481" max="9481" width="2.5703125" style="1" customWidth="1"/>
    <col min="9482" max="9484" width="11.42578125" style="1"/>
    <col min="9485" max="9486" width="9.140625" style="1" bestFit="1" customWidth="1"/>
    <col min="9487" max="9487" width="7.140625" style="1" bestFit="1" customWidth="1"/>
    <col min="9488" max="9489" width="9.140625" style="1" bestFit="1" customWidth="1"/>
    <col min="9490" max="9490" width="6.5703125" style="1" bestFit="1" customWidth="1"/>
    <col min="9491" max="9728" width="11.42578125" style="1"/>
    <col min="9729" max="9729" width="31.5703125" style="1" bestFit="1" customWidth="1"/>
    <col min="9730" max="9731" width="10.140625" style="1" bestFit="1" customWidth="1"/>
    <col min="9732" max="9732" width="7.7109375" style="1" bestFit="1" customWidth="1"/>
    <col min="9733" max="9733" width="2.5703125" style="1" customWidth="1"/>
    <col min="9734" max="9734" width="7.5703125" style="1" bestFit="1" customWidth="1"/>
    <col min="9735" max="9735" width="10.140625" style="1" bestFit="1" customWidth="1"/>
    <col min="9736" max="9736" width="7.7109375" style="1" bestFit="1" customWidth="1"/>
    <col min="9737" max="9737" width="2.5703125" style="1" customWidth="1"/>
    <col min="9738" max="9740" width="11.42578125" style="1"/>
    <col min="9741" max="9742" width="9.140625" style="1" bestFit="1" customWidth="1"/>
    <col min="9743" max="9743" width="7.140625" style="1" bestFit="1" customWidth="1"/>
    <col min="9744" max="9745" width="9.140625" style="1" bestFit="1" customWidth="1"/>
    <col min="9746" max="9746" width="6.5703125" style="1" bestFit="1" customWidth="1"/>
    <col min="9747" max="9984" width="11.42578125" style="1"/>
    <col min="9985" max="9985" width="31.5703125" style="1" bestFit="1" customWidth="1"/>
    <col min="9986" max="9987" width="10.140625" style="1" bestFit="1" customWidth="1"/>
    <col min="9988" max="9988" width="7.7109375" style="1" bestFit="1" customWidth="1"/>
    <col min="9989" max="9989" width="2.5703125" style="1" customWidth="1"/>
    <col min="9990" max="9990" width="7.5703125" style="1" bestFit="1" customWidth="1"/>
    <col min="9991" max="9991" width="10.140625" style="1" bestFit="1" customWidth="1"/>
    <col min="9992" max="9992" width="7.7109375" style="1" bestFit="1" customWidth="1"/>
    <col min="9993" max="9993" width="2.5703125" style="1" customWidth="1"/>
    <col min="9994" max="9996" width="11.42578125" style="1"/>
    <col min="9997" max="9998" width="9.140625" style="1" bestFit="1" customWidth="1"/>
    <col min="9999" max="9999" width="7.140625" style="1" bestFit="1" customWidth="1"/>
    <col min="10000" max="10001" width="9.140625" style="1" bestFit="1" customWidth="1"/>
    <col min="10002" max="10002" width="6.5703125" style="1" bestFit="1" customWidth="1"/>
    <col min="10003" max="10240" width="11.42578125" style="1"/>
    <col min="10241" max="10241" width="31.5703125" style="1" bestFit="1" customWidth="1"/>
    <col min="10242" max="10243" width="10.140625" style="1" bestFit="1" customWidth="1"/>
    <col min="10244" max="10244" width="7.7109375" style="1" bestFit="1" customWidth="1"/>
    <col min="10245" max="10245" width="2.5703125" style="1" customWidth="1"/>
    <col min="10246" max="10246" width="7.5703125" style="1" bestFit="1" customWidth="1"/>
    <col min="10247" max="10247" width="10.140625" style="1" bestFit="1" customWidth="1"/>
    <col min="10248" max="10248" width="7.7109375" style="1" bestFit="1" customWidth="1"/>
    <col min="10249" max="10249" width="2.5703125" style="1" customWidth="1"/>
    <col min="10250" max="10252" width="11.42578125" style="1"/>
    <col min="10253" max="10254" width="9.140625" style="1" bestFit="1" customWidth="1"/>
    <col min="10255" max="10255" width="7.140625" style="1" bestFit="1" customWidth="1"/>
    <col min="10256" max="10257" width="9.140625" style="1" bestFit="1" customWidth="1"/>
    <col min="10258" max="10258" width="6.5703125" style="1" bestFit="1" customWidth="1"/>
    <col min="10259" max="10496" width="11.42578125" style="1"/>
    <col min="10497" max="10497" width="31.5703125" style="1" bestFit="1" customWidth="1"/>
    <col min="10498" max="10499" width="10.140625" style="1" bestFit="1" customWidth="1"/>
    <col min="10500" max="10500" width="7.7109375" style="1" bestFit="1" customWidth="1"/>
    <col min="10501" max="10501" width="2.5703125" style="1" customWidth="1"/>
    <col min="10502" max="10502" width="7.5703125" style="1" bestFit="1" customWidth="1"/>
    <col min="10503" max="10503" width="10.140625" style="1" bestFit="1" customWidth="1"/>
    <col min="10504" max="10504" width="7.7109375" style="1" bestFit="1" customWidth="1"/>
    <col min="10505" max="10505" width="2.5703125" style="1" customWidth="1"/>
    <col min="10506" max="10508" width="11.42578125" style="1"/>
    <col min="10509" max="10510" width="9.140625" style="1" bestFit="1" customWidth="1"/>
    <col min="10511" max="10511" width="7.140625" style="1" bestFit="1" customWidth="1"/>
    <col min="10512" max="10513" width="9.140625" style="1" bestFit="1" customWidth="1"/>
    <col min="10514" max="10514" width="6.5703125" style="1" bestFit="1" customWidth="1"/>
    <col min="10515" max="10752" width="11.42578125" style="1"/>
    <col min="10753" max="10753" width="31.5703125" style="1" bestFit="1" customWidth="1"/>
    <col min="10754" max="10755" width="10.140625" style="1" bestFit="1" customWidth="1"/>
    <col min="10756" max="10756" width="7.7109375" style="1" bestFit="1" customWidth="1"/>
    <col min="10757" max="10757" width="2.5703125" style="1" customWidth="1"/>
    <col min="10758" max="10758" width="7.5703125" style="1" bestFit="1" customWidth="1"/>
    <col min="10759" max="10759" width="10.140625" style="1" bestFit="1" customWidth="1"/>
    <col min="10760" max="10760" width="7.7109375" style="1" bestFit="1" customWidth="1"/>
    <col min="10761" max="10761" width="2.5703125" style="1" customWidth="1"/>
    <col min="10762" max="10764" width="11.42578125" style="1"/>
    <col min="10765" max="10766" width="9.140625" style="1" bestFit="1" customWidth="1"/>
    <col min="10767" max="10767" width="7.140625" style="1" bestFit="1" customWidth="1"/>
    <col min="10768" max="10769" width="9.140625" style="1" bestFit="1" customWidth="1"/>
    <col min="10770" max="10770" width="6.5703125" style="1" bestFit="1" customWidth="1"/>
    <col min="10771" max="11008" width="11.42578125" style="1"/>
    <col min="11009" max="11009" width="31.5703125" style="1" bestFit="1" customWidth="1"/>
    <col min="11010" max="11011" width="10.140625" style="1" bestFit="1" customWidth="1"/>
    <col min="11012" max="11012" width="7.7109375" style="1" bestFit="1" customWidth="1"/>
    <col min="11013" max="11013" width="2.5703125" style="1" customWidth="1"/>
    <col min="11014" max="11014" width="7.5703125" style="1" bestFit="1" customWidth="1"/>
    <col min="11015" max="11015" width="10.140625" style="1" bestFit="1" customWidth="1"/>
    <col min="11016" max="11016" width="7.7109375" style="1" bestFit="1" customWidth="1"/>
    <col min="11017" max="11017" width="2.5703125" style="1" customWidth="1"/>
    <col min="11018" max="11020" width="11.42578125" style="1"/>
    <col min="11021" max="11022" width="9.140625" style="1" bestFit="1" customWidth="1"/>
    <col min="11023" max="11023" width="7.140625" style="1" bestFit="1" customWidth="1"/>
    <col min="11024" max="11025" width="9.140625" style="1" bestFit="1" customWidth="1"/>
    <col min="11026" max="11026" width="6.5703125" style="1" bestFit="1" customWidth="1"/>
    <col min="11027" max="11264" width="11.42578125" style="1"/>
    <col min="11265" max="11265" width="31.5703125" style="1" bestFit="1" customWidth="1"/>
    <col min="11266" max="11267" width="10.140625" style="1" bestFit="1" customWidth="1"/>
    <col min="11268" max="11268" width="7.7109375" style="1" bestFit="1" customWidth="1"/>
    <col min="11269" max="11269" width="2.5703125" style="1" customWidth="1"/>
    <col min="11270" max="11270" width="7.5703125" style="1" bestFit="1" customWidth="1"/>
    <col min="11271" max="11271" width="10.140625" style="1" bestFit="1" customWidth="1"/>
    <col min="11272" max="11272" width="7.7109375" style="1" bestFit="1" customWidth="1"/>
    <col min="11273" max="11273" width="2.5703125" style="1" customWidth="1"/>
    <col min="11274" max="11276" width="11.42578125" style="1"/>
    <col min="11277" max="11278" width="9.140625" style="1" bestFit="1" customWidth="1"/>
    <col min="11279" max="11279" width="7.140625" style="1" bestFit="1" customWidth="1"/>
    <col min="11280" max="11281" width="9.140625" style="1" bestFit="1" customWidth="1"/>
    <col min="11282" max="11282" width="6.5703125" style="1" bestFit="1" customWidth="1"/>
    <col min="11283" max="11520" width="11.42578125" style="1"/>
    <col min="11521" max="11521" width="31.5703125" style="1" bestFit="1" customWidth="1"/>
    <col min="11522" max="11523" width="10.140625" style="1" bestFit="1" customWidth="1"/>
    <col min="11524" max="11524" width="7.7109375" style="1" bestFit="1" customWidth="1"/>
    <col min="11525" max="11525" width="2.5703125" style="1" customWidth="1"/>
    <col min="11526" max="11526" width="7.5703125" style="1" bestFit="1" customWidth="1"/>
    <col min="11527" max="11527" width="10.140625" style="1" bestFit="1" customWidth="1"/>
    <col min="11528" max="11528" width="7.7109375" style="1" bestFit="1" customWidth="1"/>
    <col min="11529" max="11529" width="2.5703125" style="1" customWidth="1"/>
    <col min="11530" max="11532" width="11.42578125" style="1"/>
    <col min="11533" max="11534" width="9.140625" style="1" bestFit="1" customWidth="1"/>
    <col min="11535" max="11535" width="7.140625" style="1" bestFit="1" customWidth="1"/>
    <col min="11536" max="11537" width="9.140625" style="1" bestFit="1" customWidth="1"/>
    <col min="11538" max="11538" width="6.5703125" style="1" bestFit="1" customWidth="1"/>
    <col min="11539" max="11776" width="11.42578125" style="1"/>
    <col min="11777" max="11777" width="31.5703125" style="1" bestFit="1" customWidth="1"/>
    <col min="11778" max="11779" width="10.140625" style="1" bestFit="1" customWidth="1"/>
    <col min="11780" max="11780" width="7.7109375" style="1" bestFit="1" customWidth="1"/>
    <col min="11781" max="11781" width="2.5703125" style="1" customWidth="1"/>
    <col min="11782" max="11782" width="7.5703125" style="1" bestFit="1" customWidth="1"/>
    <col min="11783" max="11783" width="10.140625" style="1" bestFit="1" customWidth="1"/>
    <col min="11784" max="11784" width="7.7109375" style="1" bestFit="1" customWidth="1"/>
    <col min="11785" max="11785" width="2.5703125" style="1" customWidth="1"/>
    <col min="11786" max="11788" width="11.42578125" style="1"/>
    <col min="11789" max="11790" width="9.140625" style="1" bestFit="1" customWidth="1"/>
    <col min="11791" max="11791" width="7.140625" style="1" bestFit="1" customWidth="1"/>
    <col min="11792" max="11793" width="9.140625" style="1" bestFit="1" customWidth="1"/>
    <col min="11794" max="11794" width="6.5703125" style="1" bestFit="1" customWidth="1"/>
    <col min="11795" max="12032" width="11.42578125" style="1"/>
    <col min="12033" max="12033" width="31.5703125" style="1" bestFit="1" customWidth="1"/>
    <col min="12034" max="12035" width="10.140625" style="1" bestFit="1" customWidth="1"/>
    <col min="12036" max="12036" width="7.7109375" style="1" bestFit="1" customWidth="1"/>
    <col min="12037" max="12037" width="2.5703125" style="1" customWidth="1"/>
    <col min="12038" max="12038" width="7.5703125" style="1" bestFit="1" customWidth="1"/>
    <col min="12039" max="12039" width="10.140625" style="1" bestFit="1" customWidth="1"/>
    <col min="12040" max="12040" width="7.7109375" style="1" bestFit="1" customWidth="1"/>
    <col min="12041" max="12041" width="2.5703125" style="1" customWidth="1"/>
    <col min="12042" max="12044" width="11.42578125" style="1"/>
    <col min="12045" max="12046" width="9.140625" style="1" bestFit="1" customWidth="1"/>
    <col min="12047" max="12047" width="7.140625" style="1" bestFit="1" customWidth="1"/>
    <col min="12048" max="12049" width="9.140625" style="1" bestFit="1" customWidth="1"/>
    <col min="12050" max="12050" width="6.5703125" style="1" bestFit="1" customWidth="1"/>
    <col min="12051" max="12288" width="11.42578125" style="1"/>
    <col min="12289" max="12289" width="31.5703125" style="1" bestFit="1" customWidth="1"/>
    <col min="12290" max="12291" width="10.140625" style="1" bestFit="1" customWidth="1"/>
    <col min="12292" max="12292" width="7.7109375" style="1" bestFit="1" customWidth="1"/>
    <col min="12293" max="12293" width="2.5703125" style="1" customWidth="1"/>
    <col min="12294" max="12294" width="7.5703125" style="1" bestFit="1" customWidth="1"/>
    <col min="12295" max="12295" width="10.140625" style="1" bestFit="1" customWidth="1"/>
    <col min="12296" max="12296" width="7.7109375" style="1" bestFit="1" customWidth="1"/>
    <col min="12297" max="12297" width="2.5703125" style="1" customWidth="1"/>
    <col min="12298" max="12300" width="11.42578125" style="1"/>
    <col min="12301" max="12302" width="9.140625" style="1" bestFit="1" customWidth="1"/>
    <col min="12303" max="12303" width="7.140625" style="1" bestFit="1" customWidth="1"/>
    <col min="12304" max="12305" width="9.140625" style="1" bestFit="1" customWidth="1"/>
    <col min="12306" max="12306" width="6.5703125" style="1" bestFit="1" customWidth="1"/>
    <col min="12307" max="12544" width="11.42578125" style="1"/>
    <col min="12545" max="12545" width="31.5703125" style="1" bestFit="1" customWidth="1"/>
    <col min="12546" max="12547" width="10.140625" style="1" bestFit="1" customWidth="1"/>
    <col min="12548" max="12548" width="7.7109375" style="1" bestFit="1" customWidth="1"/>
    <col min="12549" max="12549" width="2.5703125" style="1" customWidth="1"/>
    <col min="12550" max="12550" width="7.5703125" style="1" bestFit="1" customWidth="1"/>
    <col min="12551" max="12551" width="10.140625" style="1" bestFit="1" customWidth="1"/>
    <col min="12552" max="12552" width="7.7109375" style="1" bestFit="1" customWidth="1"/>
    <col min="12553" max="12553" width="2.5703125" style="1" customWidth="1"/>
    <col min="12554" max="12556" width="11.42578125" style="1"/>
    <col min="12557" max="12558" width="9.140625" style="1" bestFit="1" customWidth="1"/>
    <col min="12559" max="12559" width="7.140625" style="1" bestFit="1" customWidth="1"/>
    <col min="12560" max="12561" width="9.140625" style="1" bestFit="1" customWidth="1"/>
    <col min="12562" max="12562" width="6.5703125" style="1" bestFit="1" customWidth="1"/>
    <col min="12563" max="12800" width="11.42578125" style="1"/>
    <col min="12801" max="12801" width="31.5703125" style="1" bestFit="1" customWidth="1"/>
    <col min="12802" max="12803" width="10.140625" style="1" bestFit="1" customWidth="1"/>
    <col min="12804" max="12804" width="7.7109375" style="1" bestFit="1" customWidth="1"/>
    <col min="12805" max="12805" width="2.5703125" style="1" customWidth="1"/>
    <col min="12806" max="12806" width="7.5703125" style="1" bestFit="1" customWidth="1"/>
    <col min="12807" max="12807" width="10.140625" style="1" bestFit="1" customWidth="1"/>
    <col min="12808" max="12808" width="7.7109375" style="1" bestFit="1" customWidth="1"/>
    <col min="12809" max="12809" width="2.5703125" style="1" customWidth="1"/>
    <col min="12810" max="12812" width="11.42578125" style="1"/>
    <col min="12813" max="12814" width="9.140625" style="1" bestFit="1" customWidth="1"/>
    <col min="12815" max="12815" width="7.140625" style="1" bestFit="1" customWidth="1"/>
    <col min="12816" max="12817" width="9.140625" style="1" bestFit="1" customWidth="1"/>
    <col min="12818" max="12818" width="6.5703125" style="1" bestFit="1" customWidth="1"/>
    <col min="12819" max="13056" width="11.42578125" style="1"/>
    <col min="13057" max="13057" width="31.5703125" style="1" bestFit="1" customWidth="1"/>
    <col min="13058" max="13059" width="10.140625" style="1" bestFit="1" customWidth="1"/>
    <col min="13060" max="13060" width="7.7109375" style="1" bestFit="1" customWidth="1"/>
    <col min="13061" max="13061" width="2.5703125" style="1" customWidth="1"/>
    <col min="13062" max="13062" width="7.5703125" style="1" bestFit="1" customWidth="1"/>
    <col min="13063" max="13063" width="10.140625" style="1" bestFit="1" customWidth="1"/>
    <col min="13064" max="13064" width="7.7109375" style="1" bestFit="1" customWidth="1"/>
    <col min="13065" max="13065" width="2.5703125" style="1" customWidth="1"/>
    <col min="13066" max="13068" width="11.42578125" style="1"/>
    <col min="13069" max="13070" width="9.140625" style="1" bestFit="1" customWidth="1"/>
    <col min="13071" max="13071" width="7.140625" style="1" bestFit="1" customWidth="1"/>
    <col min="13072" max="13073" width="9.140625" style="1" bestFit="1" customWidth="1"/>
    <col min="13074" max="13074" width="6.5703125" style="1" bestFit="1" customWidth="1"/>
    <col min="13075" max="13312" width="11.42578125" style="1"/>
    <col min="13313" max="13313" width="31.5703125" style="1" bestFit="1" customWidth="1"/>
    <col min="13314" max="13315" width="10.140625" style="1" bestFit="1" customWidth="1"/>
    <col min="13316" max="13316" width="7.7109375" style="1" bestFit="1" customWidth="1"/>
    <col min="13317" max="13317" width="2.5703125" style="1" customWidth="1"/>
    <col min="13318" max="13318" width="7.5703125" style="1" bestFit="1" customWidth="1"/>
    <col min="13319" max="13319" width="10.140625" style="1" bestFit="1" customWidth="1"/>
    <col min="13320" max="13320" width="7.7109375" style="1" bestFit="1" customWidth="1"/>
    <col min="13321" max="13321" width="2.5703125" style="1" customWidth="1"/>
    <col min="13322" max="13324" width="11.42578125" style="1"/>
    <col min="13325" max="13326" width="9.140625" style="1" bestFit="1" customWidth="1"/>
    <col min="13327" max="13327" width="7.140625" style="1" bestFit="1" customWidth="1"/>
    <col min="13328" max="13329" width="9.140625" style="1" bestFit="1" customWidth="1"/>
    <col min="13330" max="13330" width="6.5703125" style="1" bestFit="1" customWidth="1"/>
    <col min="13331" max="13568" width="11.42578125" style="1"/>
    <col min="13569" max="13569" width="31.5703125" style="1" bestFit="1" customWidth="1"/>
    <col min="13570" max="13571" width="10.140625" style="1" bestFit="1" customWidth="1"/>
    <col min="13572" max="13572" width="7.7109375" style="1" bestFit="1" customWidth="1"/>
    <col min="13573" max="13573" width="2.5703125" style="1" customWidth="1"/>
    <col min="13574" max="13574" width="7.5703125" style="1" bestFit="1" customWidth="1"/>
    <col min="13575" max="13575" width="10.140625" style="1" bestFit="1" customWidth="1"/>
    <col min="13576" max="13576" width="7.7109375" style="1" bestFit="1" customWidth="1"/>
    <col min="13577" max="13577" width="2.5703125" style="1" customWidth="1"/>
    <col min="13578" max="13580" width="11.42578125" style="1"/>
    <col min="13581" max="13582" width="9.140625" style="1" bestFit="1" customWidth="1"/>
    <col min="13583" max="13583" width="7.140625" style="1" bestFit="1" customWidth="1"/>
    <col min="13584" max="13585" width="9.140625" style="1" bestFit="1" customWidth="1"/>
    <col min="13586" max="13586" width="6.5703125" style="1" bestFit="1" customWidth="1"/>
    <col min="13587" max="13824" width="11.42578125" style="1"/>
    <col min="13825" max="13825" width="31.5703125" style="1" bestFit="1" customWidth="1"/>
    <col min="13826" max="13827" width="10.140625" style="1" bestFit="1" customWidth="1"/>
    <col min="13828" max="13828" width="7.7109375" style="1" bestFit="1" customWidth="1"/>
    <col min="13829" max="13829" width="2.5703125" style="1" customWidth="1"/>
    <col min="13830" max="13830" width="7.5703125" style="1" bestFit="1" customWidth="1"/>
    <col min="13831" max="13831" width="10.140625" style="1" bestFit="1" customWidth="1"/>
    <col min="13832" max="13832" width="7.7109375" style="1" bestFit="1" customWidth="1"/>
    <col min="13833" max="13833" width="2.5703125" style="1" customWidth="1"/>
    <col min="13834" max="13836" width="11.42578125" style="1"/>
    <col min="13837" max="13838" width="9.140625" style="1" bestFit="1" customWidth="1"/>
    <col min="13839" max="13839" width="7.140625" style="1" bestFit="1" customWidth="1"/>
    <col min="13840" max="13841" width="9.140625" style="1" bestFit="1" customWidth="1"/>
    <col min="13842" max="13842" width="6.5703125" style="1" bestFit="1" customWidth="1"/>
    <col min="13843" max="14080" width="11.42578125" style="1"/>
    <col min="14081" max="14081" width="31.5703125" style="1" bestFit="1" customWidth="1"/>
    <col min="14082" max="14083" width="10.140625" style="1" bestFit="1" customWidth="1"/>
    <col min="14084" max="14084" width="7.7109375" style="1" bestFit="1" customWidth="1"/>
    <col min="14085" max="14085" width="2.5703125" style="1" customWidth="1"/>
    <col min="14086" max="14086" width="7.5703125" style="1" bestFit="1" customWidth="1"/>
    <col min="14087" max="14087" width="10.140625" style="1" bestFit="1" customWidth="1"/>
    <col min="14088" max="14088" width="7.7109375" style="1" bestFit="1" customWidth="1"/>
    <col min="14089" max="14089" width="2.5703125" style="1" customWidth="1"/>
    <col min="14090" max="14092" width="11.42578125" style="1"/>
    <col min="14093" max="14094" width="9.140625" style="1" bestFit="1" customWidth="1"/>
    <col min="14095" max="14095" width="7.140625" style="1" bestFit="1" customWidth="1"/>
    <col min="14096" max="14097" width="9.140625" style="1" bestFit="1" customWidth="1"/>
    <col min="14098" max="14098" width="6.5703125" style="1" bestFit="1" customWidth="1"/>
    <col min="14099" max="14336" width="11.42578125" style="1"/>
    <col min="14337" max="14337" width="31.5703125" style="1" bestFit="1" customWidth="1"/>
    <col min="14338" max="14339" width="10.140625" style="1" bestFit="1" customWidth="1"/>
    <col min="14340" max="14340" width="7.7109375" style="1" bestFit="1" customWidth="1"/>
    <col min="14341" max="14341" width="2.5703125" style="1" customWidth="1"/>
    <col min="14342" max="14342" width="7.5703125" style="1" bestFit="1" customWidth="1"/>
    <col min="14343" max="14343" width="10.140625" style="1" bestFit="1" customWidth="1"/>
    <col min="14344" max="14344" width="7.7109375" style="1" bestFit="1" customWidth="1"/>
    <col min="14345" max="14345" width="2.5703125" style="1" customWidth="1"/>
    <col min="14346" max="14348" width="11.42578125" style="1"/>
    <col min="14349" max="14350" width="9.140625" style="1" bestFit="1" customWidth="1"/>
    <col min="14351" max="14351" width="7.140625" style="1" bestFit="1" customWidth="1"/>
    <col min="14352" max="14353" width="9.140625" style="1" bestFit="1" customWidth="1"/>
    <col min="14354" max="14354" width="6.5703125" style="1" bestFit="1" customWidth="1"/>
    <col min="14355" max="14592" width="11.42578125" style="1"/>
    <col min="14593" max="14593" width="31.5703125" style="1" bestFit="1" customWidth="1"/>
    <col min="14594" max="14595" width="10.140625" style="1" bestFit="1" customWidth="1"/>
    <col min="14596" max="14596" width="7.7109375" style="1" bestFit="1" customWidth="1"/>
    <col min="14597" max="14597" width="2.5703125" style="1" customWidth="1"/>
    <col min="14598" max="14598" width="7.5703125" style="1" bestFit="1" customWidth="1"/>
    <col min="14599" max="14599" width="10.140625" style="1" bestFit="1" customWidth="1"/>
    <col min="14600" max="14600" width="7.7109375" style="1" bestFit="1" customWidth="1"/>
    <col min="14601" max="14601" width="2.5703125" style="1" customWidth="1"/>
    <col min="14602" max="14604" width="11.42578125" style="1"/>
    <col min="14605" max="14606" width="9.140625" style="1" bestFit="1" customWidth="1"/>
    <col min="14607" max="14607" width="7.140625" style="1" bestFit="1" customWidth="1"/>
    <col min="14608" max="14609" width="9.140625" style="1" bestFit="1" customWidth="1"/>
    <col min="14610" max="14610" width="6.5703125" style="1" bestFit="1" customWidth="1"/>
    <col min="14611" max="14848" width="11.42578125" style="1"/>
    <col min="14849" max="14849" width="31.5703125" style="1" bestFit="1" customWidth="1"/>
    <col min="14850" max="14851" width="10.140625" style="1" bestFit="1" customWidth="1"/>
    <col min="14852" max="14852" width="7.7109375" style="1" bestFit="1" customWidth="1"/>
    <col min="14853" max="14853" width="2.5703125" style="1" customWidth="1"/>
    <col min="14854" max="14854" width="7.5703125" style="1" bestFit="1" customWidth="1"/>
    <col min="14855" max="14855" width="10.140625" style="1" bestFit="1" customWidth="1"/>
    <col min="14856" max="14856" width="7.7109375" style="1" bestFit="1" customWidth="1"/>
    <col min="14857" max="14857" width="2.5703125" style="1" customWidth="1"/>
    <col min="14858" max="14860" width="11.42578125" style="1"/>
    <col min="14861" max="14862" width="9.140625" style="1" bestFit="1" customWidth="1"/>
    <col min="14863" max="14863" width="7.140625" style="1" bestFit="1" customWidth="1"/>
    <col min="14864" max="14865" width="9.140625" style="1" bestFit="1" customWidth="1"/>
    <col min="14866" max="14866" width="6.5703125" style="1" bestFit="1" customWidth="1"/>
    <col min="14867" max="15104" width="11.42578125" style="1"/>
    <col min="15105" max="15105" width="31.5703125" style="1" bestFit="1" customWidth="1"/>
    <col min="15106" max="15107" width="10.140625" style="1" bestFit="1" customWidth="1"/>
    <col min="15108" max="15108" width="7.7109375" style="1" bestFit="1" customWidth="1"/>
    <col min="15109" max="15109" width="2.5703125" style="1" customWidth="1"/>
    <col min="15110" max="15110" width="7.5703125" style="1" bestFit="1" customWidth="1"/>
    <col min="15111" max="15111" width="10.140625" style="1" bestFit="1" customWidth="1"/>
    <col min="15112" max="15112" width="7.7109375" style="1" bestFit="1" customWidth="1"/>
    <col min="15113" max="15113" width="2.5703125" style="1" customWidth="1"/>
    <col min="15114" max="15116" width="11.42578125" style="1"/>
    <col min="15117" max="15118" width="9.140625" style="1" bestFit="1" customWidth="1"/>
    <col min="15119" max="15119" width="7.140625" style="1" bestFit="1" customWidth="1"/>
    <col min="15120" max="15121" width="9.140625" style="1" bestFit="1" customWidth="1"/>
    <col min="15122" max="15122" width="6.5703125" style="1" bestFit="1" customWidth="1"/>
    <col min="15123" max="15360" width="11.42578125" style="1"/>
    <col min="15361" max="15361" width="31.5703125" style="1" bestFit="1" customWidth="1"/>
    <col min="15362" max="15363" width="10.140625" style="1" bestFit="1" customWidth="1"/>
    <col min="15364" max="15364" width="7.7109375" style="1" bestFit="1" customWidth="1"/>
    <col min="15365" max="15365" width="2.5703125" style="1" customWidth="1"/>
    <col min="15366" max="15366" width="7.5703125" style="1" bestFit="1" customWidth="1"/>
    <col min="15367" max="15367" width="10.140625" style="1" bestFit="1" customWidth="1"/>
    <col min="15368" max="15368" width="7.7109375" style="1" bestFit="1" customWidth="1"/>
    <col min="15369" max="15369" width="2.5703125" style="1" customWidth="1"/>
    <col min="15370" max="15372" width="11.42578125" style="1"/>
    <col min="15373" max="15374" width="9.140625" style="1" bestFit="1" customWidth="1"/>
    <col min="15375" max="15375" width="7.140625" style="1" bestFit="1" customWidth="1"/>
    <col min="15376" max="15377" width="9.140625" style="1" bestFit="1" customWidth="1"/>
    <col min="15378" max="15378" width="6.5703125" style="1" bestFit="1" customWidth="1"/>
    <col min="15379" max="15616" width="11.42578125" style="1"/>
    <col min="15617" max="15617" width="31.5703125" style="1" bestFit="1" customWidth="1"/>
    <col min="15618" max="15619" width="10.140625" style="1" bestFit="1" customWidth="1"/>
    <col min="15620" max="15620" width="7.7109375" style="1" bestFit="1" customWidth="1"/>
    <col min="15621" max="15621" width="2.5703125" style="1" customWidth="1"/>
    <col min="15622" max="15622" width="7.5703125" style="1" bestFit="1" customWidth="1"/>
    <col min="15623" max="15623" width="10.140625" style="1" bestFit="1" customWidth="1"/>
    <col min="15624" max="15624" width="7.7109375" style="1" bestFit="1" customWidth="1"/>
    <col min="15625" max="15625" width="2.5703125" style="1" customWidth="1"/>
    <col min="15626" max="15628" width="11.42578125" style="1"/>
    <col min="15629" max="15630" width="9.140625" style="1" bestFit="1" customWidth="1"/>
    <col min="15631" max="15631" width="7.140625" style="1" bestFit="1" customWidth="1"/>
    <col min="15632" max="15633" width="9.140625" style="1" bestFit="1" customWidth="1"/>
    <col min="15634" max="15634" width="6.5703125" style="1" bestFit="1" customWidth="1"/>
    <col min="15635" max="15872" width="11.42578125" style="1"/>
    <col min="15873" max="15873" width="31.5703125" style="1" bestFit="1" customWidth="1"/>
    <col min="15874" max="15875" width="10.140625" style="1" bestFit="1" customWidth="1"/>
    <col min="15876" max="15876" width="7.7109375" style="1" bestFit="1" customWidth="1"/>
    <col min="15877" max="15877" width="2.5703125" style="1" customWidth="1"/>
    <col min="15878" max="15878" width="7.5703125" style="1" bestFit="1" customWidth="1"/>
    <col min="15879" max="15879" width="10.140625" style="1" bestFit="1" customWidth="1"/>
    <col min="15880" max="15880" width="7.7109375" style="1" bestFit="1" customWidth="1"/>
    <col min="15881" max="15881" width="2.5703125" style="1" customWidth="1"/>
    <col min="15882" max="15884" width="11.42578125" style="1"/>
    <col min="15885" max="15886" width="9.140625" style="1" bestFit="1" customWidth="1"/>
    <col min="15887" max="15887" width="7.140625" style="1" bestFit="1" customWidth="1"/>
    <col min="15888" max="15889" width="9.140625" style="1" bestFit="1" customWidth="1"/>
    <col min="15890" max="15890" width="6.5703125" style="1" bestFit="1" customWidth="1"/>
    <col min="15891" max="16128" width="11.42578125" style="1"/>
    <col min="16129" max="16129" width="31.5703125" style="1" bestFit="1" customWidth="1"/>
    <col min="16130" max="16131" width="10.140625" style="1" bestFit="1" customWidth="1"/>
    <col min="16132" max="16132" width="7.7109375" style="1" bestFit="1" customWidth="1"/>
    <col min="16133" max="16133" width="2.5703125" style="1" customWidth="1"/>
    <col min="16134" max="16134" width="7.5703125" style="1" bestFit="1" customWidth="1"/>
    <col min="16135" max="16135" width="10.140625" style="1" bestFit="1" customWidth="1"/>
    <col min="16136" max="16136" width="7.7109375" style="1" bestFit="1" customWidth="1"/>
    <col min="16137" max="16137" width="2.5703125" style="1" customWidth="1"/>
    <col min="16138" max="16140" width="11.42578125" style="1"/>
    <col min="16141" max="16142" width="9.140625" style="1" bestFit="1" customWidth="1"/>
    <col min="16143" max="16143" width="7.140625" style="1" bestFit="1" customWidth="1"/>
    <col min="16144" max="16145" width="9.140625" style="1" bestFit="1" customWidth="1"/>
    <col min="16146" max="16146" width="6.5703125" style="1" bestFit="1" customWidth="1"/>
    <col min="16147" max="16384" width="11.42578125" style="1"/>
  </cols>
  <sheetData>
    <row r="1" spans="1:19" s="9" customFormat="1">
      <c r="A1" s="207" t="s">
        <v>131</v>
      </c>
      <c r="B1" s="660" t="s">
        <v>132</v>
      </c>
      <c r="C1" s="660"/>
      <c r="D1" s="661"/>
      <c r="E1" s="208"/>
      <c r="F1" s="662" t="s">
        <v>133</v>
      </c>
      <c r="G1" s="660"/>
      <c r="H1" s="661"/>
      <c r="I1" s="208"/>
      <c r="J1" s="662" t="s">
        <v>134</v>
      </c>
      <c r="K1" s="663"/>
      <c r="L1" s="659"/>
      <c r="M1" s="662" t="s">
        <v>135</v>
      </c>
      <c r="N1" s="660"/>
      <c r="O1" s="664"/>
      <c r="P1" s="662" t="s">
        <v>46</v>
      </c>
      <c r="Q1" s="660"/>
      <c r="R1" s="660"/>
      <c r="S1" s="664"/>
    </row>
    <row r="2" spans="1:19">
      <c r="A2" s="209" t="s">
        <v>136</v>
      </c>
      <c r="B2" s="210">
        <v>0.15</v>
      </c>
      <c r="C2" s="211">
        <f t="shared" ref="C2:C12" si="0">$B$15*B2</f>
        <v>1610872.8142500001</v>
      </c>
      <c r="D2" s="212">
        <v>43040</v>
      </c>
      <c r="E2" s="5"/>
      <c r="F2" s="213">
        <v>0.5</v>
      </c>
      <c r="G2" s="211">
        <f>$F$16*F2</f>
        <v>182409.5</v>
      </c>
      <c r="H2" s="212">
        <v>43040</v>
      </c>
      <c r="I2" s="5"/>
      <c r="J2" s="214">
        <v>43040</v>
      </c>
      <c r="K2" s="215">
        <f>[49]PRD!I17</f>
        <v>2015282</v>
      </c>
      <c r="L2" s="216"/>
      <c r="M2" s="210"/>
      <c r="N2" s="217"/>
      <c r="O2" s="212"/>
      <c r="P2" s="218"/>
      <c r="Q2" s="217"/>
      <c r="R2" s="218"/>
      <c r="S2" s="218"/>
    </row>
    <row r="3" spans="1:19" s="231" customFormat="1">
      <c r="A3" s="219" t="s">
        <v>137</v>
      </c>
      <c r="B3" s="220">
        <v>0.08</v>
      </c>
      <c r="C3" s="221">
        <f t="shared" si="0"/>
        <v>859132.16760000004</v>
      </c>
      <c r="D3" s="222">
        <v>43132</v>
      </c>
      <c r="E3" s="223"/>
      <c r="F3" s="224"/>
      <c r="G3" s="224"/>
      <c r="H3" s="224"/>
      <c r="I3" s="223"/>
      <c r="J3" s="225">
        <v>43101</v>
      </c>
      <c r="K3" s="215">
        <f>[49]PRD!K17</f>
        <v>0</v>
      </c>
      <c r="L3" s="226"/>
      <c r="M3" s="210">
        <v>0.5</v>
      </c>
      <c r="N3" s="217">
        <f>$M$16*M3</f>
        <v>1227843.8600000001</v>
      </c>
      <c r="O3" s="212">
        <v>43252</v>
      </c>
      <c r="P3" s="227">
        <v>0.5</v>
      </c>
      <c r="Q3" s="228">
        <f>$P$16*50%</f>
        <v>1653406.8051894677</v>
      </c>
      <c r="R3" s="229">
        <v>43191</v>
      </c>
      <c r="S3" s="230">
        <v>43708</v>
      </c>
    </row>
    <row r="4" spans="1:19">
      <c r="A4" s="219" t="s">
        <v>138</v>
      </c>
      <c r="B4" s="232">
        <v>0.12</v>
      </c>
      <c r="C4" s="228">
        <f t="shared" si="0"/>
        <v>1288698.2514</v>
      </c>
      <c r="D4" s="229">
        <v>43191</v>
      </c>
      <c r="E4" s="5"/>
      <c r="F4" s="233">
        <v>0.1</v>
      </c>
      <c r="G4" s="228">
        <f t="shared" ref="G4:G8" si="1">$F$16*F4</f>
        <v>36481.9</v>
      </c>
      <c r="H4" s="229">
        <v>43191</v>
      </c>
      <c r="I4" s="5"/>
      <c r="J4" s="225">
        <v>43132</v>
      </c>
      <c r="K4" s="215">
        <f>[49]PRD!L17</f>
        <v>859132</v>
      </c>
      <c r="L4" s="226"/>
      <c r="M4" s="234"/>
      <c r="N4" s="228"/>
      <c r="O4" s="235"/>
      <c r="P4" s="236"/>
      <c r="Q4" s="228"/>
      <c r="R4" s="235"/>
      <c r="S4" s="237"/>
    </row>
    <row r="5" spans="1:19">
      <c r="A5" s="121" t="s">
        <v>139</v>
      </c>
      <c r="B5" s="234">
        <v>0.1</v>
      </c>
      <c r="C5" s="215">
        <f t="shared" si="0"/>
        <v>1073915.2095000001</v>
      </c>
      <c r="D5" s="235">
        <v>43221</v>
      </c>
      <c r="E5" s="5"/>
      <c r="F5" s="238">
        <v>0.12</v>
      </c>
      <c r="G5" s="215">
        <f t="shared" si="1"/>
        <v>43778.28</v>
      </c>
      <c r="H5" s="235">
        <v>43221</v>
      </c>
      <c r="I5" s="5"/>
      <c r="J5" s="239">
        <f>[49]PRD!N15</f>
        <v>43191</v>
      </c>
      <c r="K5" s="215">
        <f>[49]PRD!N17</f>
        <v>1325181</v>
      </c>
      <c r="L5" s="226"/>
      <c r="M5" s="234"/>
      <c r="N5" s="228"/>
      <c r="O5" s="235"/>
      <c r="P5" s="236"/>
      <c r="Q5" s="228"/>
      <c r="R5" s="235"/>
      <c r="S5" s="237"/>
    </row>
    <row r="6" spans="1:19">
      <c r="A6" s="121" t="s">
        <v>140</v>
      </c>
      <c r="B6" s="234">
        <v>0.1</v>
      </c>
      <c r="C6" s="215">
        <f t="shared" si="0"/>
        <v>1073915.2095000001</v>
      </c>
      <c r="D6" s="235">
        <v>43313</v>
      </c>
      <c r="E6" s="5"/>
      <c r="F6" s="238">
        <v>0.05</v>
      </c>
      <c r="G6" s="215">
        <f t="shared" si="1"/>
        <v>18240.95</v>
      </c>
      <c r="H6" s="235">
        <v>43313</v>
      </c>
      <c r="I6" s="5"/>
      <c r="J6" s="225">
        <f>[49]PRD!O15</f>
        <v>43221</v>
      </c>
      <c r="K6" s="215">
        <f>[49]PRD!O17</f>
        <v>982005</v>
      </c>
      <c r="L6" s="226"/>
      <c r="M6" s="237"/>
      <c r="N6" s="228"/>
      <c r="O6" s="237"/>
      <c r="P6" s="237"/>
      <c r="Q6" s="228"/>
      <c r="R6" s="237"/>
      <c r="S6" s="237"/>
    </row>
    <row r="7" spans="1:19">
      <c r="A7" s="121" t="s">
        <v>141</v>
      </c>
      <c r="B7" s="234">
        <v>0.15</v>
      </c>
      <c r="C7" s="215">
        <f t="shared" si="0"/>
        <v>1610872.8142500001</v>
      </c>
      <c r="D7" s="235">
        <v>43344</v>
      </c>
      <c r="E7" s="5"/>
      <c r="F7" s="238">
        <v>0.06</v>
      </c>
      <c r="G7" s="215">
        <f t="shared" si="1"/>
        <v>21889.14</v>
      </c>
      <c r="H7" s="235">
        <v>43344</v>
      </c>
      <c r="I7" s="5"/>
      <c r="J7" s="225">
        <f>[49]PRD!R15</f>
        <v>43313</v>
      </c>
      <c r="K7" s="215">
        <f>[49]PRD!R17</f>
        <v>0</v>
      </c>
      <c r="L7" s="226"/>
      <c r="M7" s="234">
        <v>0.25</v>
      </c>
      <c r="N7" s="228">
        <f>$M$16*M7</f>
        <v>613921.93000000005</v>
      </c>
      <c r="O7" s="235">
        <v>43556</v>
      </c>
      <c r="P7" s="174">
        <v>0.25</v>
      </c>
      <c r="Q7" s="228">
        <f>$P$16*25%</f>
        <v>826703.40259473387</v>
      </c>
      <c r="R7" s="235">
        <v>43374</v>
      </c>
      <c r="S7" s="230">
        <v>43708</v>
      </c>
    </row>
    <row r="8" spans="1:19">
      <c r="A8" s="121" t="s">
        <v>142</v>
      </c>
      <c r="B8" s="234">
        <v>0.1</v>
      </c>
      <c r="C8" s="215">
        <f t="shared" si="0"/>
        <v>1073915.2095000001</v>
      </c>
      <c r="D8" s="235">
        <v>43374</v>
      </c>
      <c r="E8" s="5"/>
      <c r="F8" s="238">
        <v>0.06</v>
      </c>
      <c r="G8" s="215">
        <f t="shared" si="1"/>
        <v>21889.14</v>
      </c>
      <c r="H8" s="235">
        <v>43374</v>
      </c>
      <c r="I8" s="5"/>
      <c r="J8" s="225">
        <f>[49]PRD!S15</f>
        <v>43344</v>
      </c>
      <c r="K8" s="215">
        <f>[49]PRD!S17</f>
        <v>672459</v>
      </c>
      <c r="L8" s="226">
        <f>[49]PRD!S18</f>
        <v>962863</v>
      </c>
      <c r="M8" s="234"/>
      <c r="N8" s="228"/>
      <c r="O8" s="235"/>
      <c r="P8" s="133"/>
      <c r="Q8" s="228"/>
      <c r="R8" s="235"/>
      <c r="S8" s="237"/>
    </row>
    <row r="9" spans="1:19">
      <c r="A9" s="121" t="s">
        <v>143</v>
      </c>
      <c r="B9" s="234">
        <v>0.05</v>
      </c>
      <c r="C9" s="215">
        <f t="shared" si="0"/>
        <v>536957.60475000006</v>
      </c>
      <c r="D9" s="235">
        <v>43466</v>
      </c>
      <c r="E9" s="5"/>
      <c r="F9" s="240"/>
      <c r="G9" s="240"/>
      <c r="H9" s="240"/>
      <c r="I9" s="5"/>
      <c r="J9" s="225">
        <f>[49]PRD!T15</f>
        <v>43374</v>
      </c>
      <c r="K9" s="215">
        <f>[49]PRD!T17</f>
        <v>0</v>
      </c>
      <c r="L9" s="226">
        <f>[49]PRD!T18</f>
        <v>1093245</v>
      </c>
      <c r="M9" s="234">
        <v>0.25</v>
      </c>
      <c r="N9" s="228">
        <f>$M$16*M9</f>
        <v>613921.93000000005</v>
      </c>
      <c r="O9" s="235">
        <v>43709</v>
      </c>
      <c r="P9" s="174">
        <v>0.25</v>
      </c>
      <c r="Q9" s="228">
        <f>$P$16*25%</f>
        <v>826703.40259473387</v>
      </c>
      <c r="R9" s="235">
        <v>43586</v>
      </c>
      <c r="S9" s="241">
        <v>44074</v>
      </c>
    </row>
    <row r="10" spans="1:19">
      <c r="A10" s="121" t="s">
        <v>144</v>
      </c>
      <c r="B10" s="220">
        <v>0.05</v>
      </c>
      <c r="C10" s="242">
        <f t="shared" si="0"/>
        <v>536957.60475000006</v>
      </c>
      <c r="D10" s="222">
        <v>43525</v>
      </c>
      <c r="E10" s="5"/>
      <c r="F10" s="238">
        <v>0.04</v>
      </c>
      <c r="G10" s="215">
        <f>$F$16*F10</f>
        <v>14592.76</v>
      </c>
      <c r="H10" s="235">
        <v>43525</v>
      </c>
      <c r="I10" s="5"/>
      <c r="J10" s="225">
        <v>43466</v>
      </c>
      <c r="K10" s="243">
        <f>[49]PRD!W17</f>
        <v>0</v>
      </c>
      <c r="L10" s="226">
        <f>[49]PRD!W18</f>
        <v>536957</v>
      </c>
      <c r="M10" s="237"/>
      <c r="N10" s="228"/>
      <c r="O10" s="237"/>
      <c r="P10" s="237"/>
      <c r="Q10" s="228"/>
      <c r="R10" s="237"/>
      <c r="S10" s="237"/>
    </row>
    <row r="11" spans="1:19">
      <c r="A11" s="121" t="s">
        <v>145</v>
      </c>
      <c r="B11" s="234">
        <v>0.05</v>
      </c>
      <c r="C11" s="215">
        <f t="shared" si="0"/>
        <v>536957.60475000006</v>
      </c>
      <c r="D11" s="235">
        <v>43586</v>
      </c>
      <c r="E11" s="5"/>
      <c r="F11" s="238">
        <v>0.06</v>
      </c>
      <c r="G11" s="215">
        <f>$F$16*F11</f>
        <v>21889.14</v>
      </c>
      <c r="H11" s="235">
        <v>43586</v>
      </c>
      <c r="I11" s="5"/>
      <c r="J11" s="225">
        <f>[49]PRD!Y15</f>
        <v>43525</v>
      </c>
      <c r="K11" s="1">
        <f>[49]PRD!Y17</f>
        <v>0</v>
      </c>
      <c r="L11" s="226">
        <f>[49]PRD!Y18</f>
        <v>496476</v>
      </c>
      <c r="M11" s="237"/>
      <c r="N11" s="228"/>
      <c r="O11" s="237"/>
      <c r="P11" s="237"/>
      <c r="Q11" s="228"/>
      <c r="R11" s="237"/>
      <c r="S11" s="237"/>
    </row>
    <row r="12" spans="1:19">
      <c r="A12" s="121" t="s">
        <v>146</v>
      </c>
      <c r="B12" s="234">
        <v>0.05</v>
      </c>
      <c r="C12" s="215">
        <f t="shared" si="0"/>
        <v>536957.60475000006</v>
      </c>
      <c r="D12" s="235">
        <v>43617</v>
      </c>
      <c r="E12" s="5"/>
      <c r="F12" s="238">
        <v>0.01</v>
      </c>
      <c r="G12" s="215">
        <f>$F$16*F12</f>
        <v>3648.19</v>
      </c>
      <c r="H12" s="235">
        <v>43617</v>
      </c>
      <c r="I12" s="5"/>
      <c r="J12" s="225">
        <f>[49]PRD!AA15</f>
        <v>43586</v>
      </c>
      <c r="K12" s="215">
        <f>[49]PRD!AA17</f>
        <v>0</v>
      </c>
      <c r="L12" s="226">
        <f>[49]PRD!AA18</f>
        <v>0</v>
      </c>
      <c r="M12" s="237"/>
      <c r="N12" s="228"/>
      <c r="O12" s="237"/>
      <c r="P12" s="237"/>
      <c r="Q12" s="228"/>
      <c r="R12" s="237"/>
      <c r="S12" s="237"/>
    </row>
    <row r="13" spans="1:19">
      <c r="A13" s="121"/>
      <c r="B13" s="234"/>
      <c r="C13" s="215"/>
      <c r="D13" s="235"/>
      <c r="E13" s="5"/>
      <c r="F13" s="238"/>
      <c r="G13" s="215"/>
      <c r="H13" s="235"/>
      <c r="I13" s="5"/>
      <c r="J13" s="244">
        <v>43617</v>
      </c>
      <c r="K13" s="215"/>
      <c r="L13" s="226">
        <f>[49]PRD!AB18</f>
        <v>217273</v>
      </c>
      <c r="M13" s="237"/>
      <c r="N13" s="228"/>
      <c r="O13" s="237"/>
      <c r="P13" s="237"/>
      <c r="Q13" s="228"/>
      <c r="R13" s="237"/>
      <c r="S13" s="237"/>
    </row>
    <row r="14" spans="1:19">
      <c r="A14" s="121"/>
      <c r="B14" s="245"/>
      <c r="C14" s="246"/>
      <c r="D14" s="247"/>
      <c r="E14" s="5"/>
      <c r="F14" s="238"/>
      <c r="G14" s="215"/>
      <c r="H14" s="235"/>
      <c r="I14" s="5"/>
      <c r="J14" s="225">
        <f>[49]PRD!AD15</f>
        <v>43678</v>
      </c>
      <c r="K14" s="215"/>
      <c r="L14" s="248">
        <f>[49]PRD!AD18</f>
        <v>-2480111</v>
      </c>
      <c r="M14" s="237"/>
      <c r="N14" s="228"/>
      <c r="O14" s="237"/>
      <c r="P14" s="237"/>
      <c r="Q14" s="228"/>
      <c r="R14" s="237"/>
      <c r="S14" s="237"/>
    </row>
    <row r="15" spans="1:19">
      <c r="A15" s="136"/>
      <c r="B15" s="249">
        <f>'[49]Prix de revient'!D2</f>
        <v>10739152.095000001</v>
      </c>
      <c r="C15" s="250">
        <f>SUM(C2:C14)</f>
        <v>10739152.095000001</v>
      </c>
      <c r="D15" s="249"/>
      <c r="E15" s="5"/>
      <c r="F15" s="251"/>
      <c r="G15" s="246"/>
      <c r="H15" s="247"/>
      <c r="I15" s="5"/>
      <c r="J15" s="225">
        <f>[49]PRD!AE15</f>
        <v>43709</v>
      </c>
      <c r="K15" s="215"/>
      <c r="L15" s="226">
        <f>[49]PRD!AE18</f>
        <v>0</v>
      </c>
      <c r="M15" s="252"/>
      <c r="N15" s="253"/>
      <c r="O15" s="252"/>
      <c r="P15" s="252"/>
      <c r="Q15" s="253"/>
      <c r="R15" s="252"/>
      <c r="S15" s="252"/>
    </row>
    <row r="16" spans="1:19">
      <c r="E16" s="5"/>
      <c r="F16" s="249">
        <f>'[49]Prix de revient'!D3</f>
        <v>364819</v>
      </c>
      <c r="G16" s="250">
        <f>SUM(G2:G15)</f>
        <v>364819.00000000006</v>
      </c>
      <c r="H16" s="249"/>
      <c r="I16" s="5"/>
      <c r="J16" s="225">
        <f>[49]PRD!AP15</f>
        <v>44044</v>
      </c>
      <c r="K16" s="215"/>
      <c r="L16" s="248">
        <f>[49]PRD!AP18</f>
        <v>-826703</v>
      </c>
      <c r="M16" s="255">
        <f>+'[49]Plan de financement'!H3</f>
        <v>2455687.7200000002</v>
      </c>
      <c r="N16" s="250">
        <f>SUM(N2:N15)</f>
        <v>2455687.7200000002</v>
      </c>
      <c r="O16" s="249"/>
      <c r="P16" s="249">
        <f>'[49]Plan de financement'!H4</f>
        <v>3306813.6103789355</v>
      </c>
      <c r="Q16" s="250">
        <f>SUM(Q2:Q15)</f>
        <v>3306813.6103789355</v>
      </c>
      <c r="R16" s="249"/>
      <c r="S16" s="252"/>
    </row>
    <row r="17" spans="10:12">
      <c r="J17" s="240"/>
      <c r="K17" s="215"/>
      <c r="L17" s="226"/>
    </row>
    <row r="18" spans="10:12">
      <c r="J18" s="240"/>
      <c r="K18" s="215"/>
      <c r="L18" s="226"/>
    </row>
    <row r="19" spans="10:12">
      <c r="J19" s="256"/>
      <c r="K19" s="215"/>
      <c r="L19" s="257"/>
    </row>
    <row r="20" spans="10:12">
      <c r="J20" s="249"/>
      <c r="K20" s="250">
        <f>SUM(K2:K19)</f>
        <v>5854059</v>
      </c>
      <c r="L20" s="250">
        <f>SUM(L2:L19)</f>
        <v>0</v>
      </c>
    </row>
    <row r="21" spans="10:12">
      <c r="K21" s="258">
        <f>'[49]Plan de financement'!H10</f>
        <v>5854058.7599999998</v>
      </c>
      <c r="L21" s="258"/>
    </row>
    <row r="23" spans="10:12">
      <c r="J23" s="1" t="s">
        <v>147</v>
      </c>
      <c r="K23" s="259"/>
    </row>
    <row r="24" spans="10:12">
      <c r="K24" s="259"/>
    </row>
  </sheetData>
  <mergeCells count="5">
    <mergeCell ref="B1:D1"/>
    <mergeCell ref="F1:H1"/>
    <mergeCell ref="J1:L1"/>
    <mergeCell ref="M1:O1"/>
    <mergeCell ref="P1:S1"/>
  </mergeCells>
  <pageMargins left="0.70866141732283472" right="0.70866141732283472" top="0.74803149606299213" bottom="0.74803149606299213" header="0.31496062992125984" footer="0.31496062992125984"/>
  <pageSetup paperSize="9" scale="71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F0"/>
  </sheetPr>
  <dimension ref="A1:AW25"/>
  <sheetViews>
    <sheetView topLeftCell="B1" zoomScale="85" zoomScaleNormal="85" zoomScaleSheetLayoutView="70" workbookViewId="0">
      <pane xSplit="4" ySplit="3" topLeftCell="F4" activePane="bottomRight" state="frozenSplit"/>
      <selection activeCell="B1" sqref="B1"/>
      <selection pane="topRight" activeCell="G1" sqref="G1"/>
      <selection pane="bottomLeft" activeCell="B18" sqref="B18"/>
      <selection pane="bottomRight" activeCell="AP19" sqref="AP19"/>
    </sheetView>
  </sheetViews>
  <sheetFormatPr baseColWidth="10" defaultRowHeight="12.75" outlineLevelCol="1"/>
  <cols>
    <col min="1" max="1" width="15.140625" style="1" hidden="1" customWidth="1" outlineLevel="1"/>
    <col min="2" max="2" width="32.85546875" style="1" bestFit="1" customWidth="1" collapsed="1"/>
    <col min="3" max="3" width="19.85546875" style="260" customWidth="1"/>
    <col min="4" max="17" width="11.42578125" style="1" customWidth="1"/>
    <col min="18" max="46" width="11.42578125" style="1" customWidth="1" outlineLevel="1"/>
    <col min="47" max="48" width="14.85546875" style="1" customWidth="1"/>
    <col min="49" max="49" width="16.5703125" style="1" customWidth="1"/>
    <col min="50" max="256" width="11.42578125" style="1"/>
    <col min="257" max="257" width="0" style="1" hidden="1" customWidth="1"/>
    <col min="258" max="258" width="32.85546875" style="1" bestFit="1" customWidth="1"/>
    <col min="259" max="259" width="19.85546875" style="1" customWidth="1"/>
    <col min="260" max="302" width="11.42578125" style="1" customWidth="1"/>
    <col min="303" max="304" width="14.85546875" style="1" customWidth="1"/>
    <col min="305" max="305" width="16.5703125" style="1" customWidth="1"/>
    <col min="306" max="512" width="11.42578125" style="1"/>
    <col min="513" max="513" width="0" style="1" hidden="1" customWidth="1"/>
    <col min="514" max="514" width="32.85546875" style="1" bestFit="1" customWidth="1"/>
    <col min="515" max="515" width="19.85546875" style="1" customWidth="1"/>
    <col min="516" max="558" width="11.42578125" style="1" customWidth="1"/>
    <col min="559" max="560" width="14.85546875" style="1" customWidth="1"/>
    <col min="561" max="561" width="16.5703125" style="1" customWidth="1"/>
    <col min="562" max="768" width="11.42578125" style="1"/>
    <col min="769" max="769" width="0" style="1" hidden="1" customWidth="1"/>
    <col min="770" max="770" width="32.85546875" style="1" bestFit="1" customWidth="1"/>
    <col min="771" max="771" width="19.85546875" style="1" customWidth="1"/>
    <col min="772" max="814" width="11.42578125" style="1" customWidth="1"/>
    <col min="815" max="816" width="14.85546875" style="1" customWidth="1"/>
    <col min="817" max="817" width="16.5703125" style="1" customWidth="1"/>
    <col min="818" max="1024" width="11.42578125" style="1"/>
    <col min="1025" max="1025" width="0" style="1" hidden="1" customWidth="1"/>
    <col min="1026" max="1026" width="32.85546875" style="1" bestFit="1" customWidth="1"/>
    <col min="1027" max="1027" width="19.85546875" style="1" customWidth="1"/>
    <col min="1028" max="1070" width="11.42578125" style="1" customWidth="1"/>
    <col min="1071" max="1072" width="14.85546875" style="1" customWidth="1"/>
    <col min="1073" max="1073" width="16.5703125" style="1" customWidth="1"/>
    <col min="1074" max="1280" width="11.42578125" style="1"/>
    <col min="1281" max="1281" width="0" style="1" hidden="1" customWidth="1"/>
    <col min="1282" max="1282" width="32.85546875" style="1" bestFit="1" customWidth="1"/>
    <col min="1283" max="1283" width="19.85546875" style="1" customWidth="1"/>
    <col min="1284" max="1326" width="11.42578125" style="1" customWidth="1"/>
    <col min="1327" max="1328" width="14.85546875" style="1" customWidth="1"/>
    <col min="1329" max="1329" width="16.5703125" style="1" customWidth="1"/>
    <col min="1330" max="1536" width="11.42578125" style="1"/>
    <col min="1537" max="1537" width="0" style="1" hidden="1" customWidth="1"/>
    <col min="1538" max="1538" width="32.85546875" style="1" bestFit="1" customWidth="1"/>
    <col min="1539" max="1539" width="19.85546875" style="1" customWidth="1"/>
    <col min="1540" max="1582" width="11.42578125" style="1" customWidth="1"/>
    <col min="1583" max="1584" width="14.85546875" style="1" customWidth="1"/>
    <col min="1585" max="1585" width="16.5703125" style="1" customWidth="1"/>
    <col min="1586" max="1792" width="11.42578125" style="1"/>
    <col min="1793" max="1793" width="0" style="1" hidden="1" customWidth="1"/>
    <col min="1794" max="1794" width="32.85546875" style="1" bestFit="1" customWidth="1"/>
    <col min="1795" max="1795" width="19.85546875" style="1" customWidth="1"/>
    <col min="1796" max="1838" width="11.42578125" style="1" customWidth="1"/>
    <col min="1839" max="1840" width="14.85546875" style="1" customWidth="1"/>
    <col min="1841" max="1841" width="16.5703125" style="1" customWidth="1"/>
    <col min="1842" max="2048" width="11.42578125" style="1"/>
    <col min="2049" max="2049" width="0" style="1" hidden="1" customWidth="1"/>
    <col min="2050" max="2050" width="32.85546875" style="1" bestFit="1" customWidth="1"/>
    <col min="2051" max="2051" width="19.85546875" style="1" customWidth="1"/>
    <col min="2052" max="2094" width="11.42578125" style="1" customWidth="1"/>
    <col min="2095" max="2096" width="14.85546875" style="1" customWidth="1"/>
    <col min="2097" max="2097" width="16.5703125" style="1" customWidth="1"/>
    <col min="2098" max="2304" width="11.42578125" style="1"/>
    <col min="2305" max="2305" width="0" style="1" hidden="1" customWidth="1"/>
    <col min="2306" max="2306" width="32.85546875" style="1" bestFit="1" customWidth="1"/>
    <col min="2307" max="2307" width="19.85546875" style="1" customWidth="1"/>
    <col min="2308" max="2350" width="11.42578125" style="1" customWidth="1"/>
    <col min="2351" max="2352" width="14.85546875" style="1" customWidth="1"/>
    <col min="2353" max="2353" width="16.5703125" style="1" customWidth="1"/>
    <col min="2354" max="2560" width="11.42578125" style="1"/>
    <col min="2561" max="2561" width="0" style="1" hidden="1" customWidth="1"/>
    <col min="2562" max="2562" width="32.85546875" style="1" bestFit="1" customWidth="1"/>
    <col min="2563" max="2563" width="19.85546875" style="1" customWidth="1"/>
    <col min="2564" max="2606" width="11.42578125" style="1" customWidth="1"/>
    <col min="2607" max="2608" width="14.85546875" style="1" customWidth="1"/>
    <col min="2609" max="2609" width="16.5703125" style="1" customWidth="1"/>
    <col min="2610" max="2816" width="11.42578125" style="1"/>
    <col min="2817" max="2817" width="0" style="1" hidden="1" customWidth="1"/>
    <col min="2818" max="2818" width="32.85546875" style="1" bestFit="1" customWidth="1"/>
    <col min="2819" max="2819" width="19.85546875" style="1" customWidth="1"/>
    <col min="2820" max="2862" width="11.42578125" style="1" customWidth="1"/>
    <col min="2863" max="2864" width="14.85546875" style="1" customWidth="1"/>
    <col min="2865" max="2865" width="16.5703125" style="1" customWidth="1"/>
    <col min="2866" max="3072" width="11.42578125" style="1"/>
    <col min="3073" max="3073" width="0" style="1" hidden="1" customWidth="1"/>
    <col min="3074" max="3074" width="32.85546875" style="1" bestFit="1" customWidth="1"/>
    <col min="3075" max="3075" width="19.85546875" style="1" customWidth="1"/>
    <col min="3076" max="3118" width="11.42578125" style="1" customWidth="1"/>
    <col min="3119" max="3120" width="14.85546875" style="1" customWidth="1"/>
    <col min="3121" max="3121" width="16.5703125" style="1" customWidth="1"/>
    <col min="3122" max="3328" width="11.42578125" style="1"/>
    <col min="3329" max="3329" width="0" style="1" hidden="1" customWidth="1"/>
    <col min="3330" max="3330" width="32.85546875" style="1" bestFit="1" customWidth="1"/>
    <col min="3331" max="3331" width="19.85546875" style="1" customWidth="1"/>
    <col min="3332" max="3374" width="11.42578125" style="1" customWidth="1"/>
    <col min="3375" max="3376" width="14.85546875" style="1" customWidth="1"/>
    <col min="3377" max="3377" width="16.5703125" style="1" customWidth="1"/>
    <col min="3378" max="3584" width="11.42578125" style="1"/>
    <col min="3585" max="3585" width="0" style="1" hidden="1" customWidth="1"/>
    <col min="3586" max="3586" width="32.85546875" style="1" bestFit="1" customWidth="1"/>
    <col min="3587" max="3587" width="19.85546875" style="1" customWidth="1"/>
    <col min="3588" max="3630" width="11.42578125" style="1" customWidth="1"/>
    <col min="3631" max="3632" width="14.85546875" style="1" customWidth="1"/>
    <col min="3633" max="3633" width="16.5703125" style="1" customWidth="1"/>
    <col min="3634" max="3840" width="11.42578125" style="1"/>
    <col min="3841" max="3841" width="0" style="1" hidden="1" customWidth="1"/>
    <col min="3842" max="3842" width="32.85546875" style="1" bestFit="1" customWidth="1"/>
    <col min="3843" max="3843" width="19.85546875" style="1" customWidth="1"/>
    <col min="3844" max="3886" width="11.42578125" style="1" customWidth="1"/>
    <col min="3887" max="3888" width="14.85546875" style="1" customWidth="1"/>
    <col min="3889" max="3889" width="16.5703125" style="1" customWidth="1"/>
    <col min="3890" max="4096" width="11.42578125" style="1"/>
    <col min="4097" max="4097" width="0" style="1" hidden="1" customWidth="1"/>
    <col min="4098" max="4098" width="32.85546875" style="1" bestFit="1" customWidth="1"/>
    <col min="4099" max="4099" width="19.85546875" style="1" customWidth="1"/>
    <col min="4100" max="4142" width="11.42578125" style="1" customWidth="1"/>
    <col min="4143" max="4144" width="14.85546875" style="1" customWidth="1"/>
    <col min="4145" max="4145" width="16.5703125" style="1" customWidth="1"/>
    <col min="4146" max="4352" width="11.42578125" style="1"/>
    <col min="4353" max="4353" width="0" style="1" hidden="1" customWidth="1"/>
    <col min="4354" max="4354" width="32.85546875" style="1" bestFit="1" customWidth="1"/>
    <col min="4355" max="4355" width="19.85546875" style="1" customWidth="1"/>
    <col min="4356" max="4398" width="11.42578125" style="1" customWidth="1"/>
    <col min="4399" max="4400" width="14.85546875" style="1" customWidth="1"/>
    <col min="4401" max="4401" width="16.5703125" style="1" customWidth="1"/>
    <col min="4402" max="4608" width="11.42578125" style="1"/>
    <col min="4609" max="4609" width="0" style="1" hidden="1" customWidth="1"/>
    <col min="4610" max="4610" width="32.85546875" style="1" bestFit="1" customWidth="1"/>
    <col min="4611" max="4611" width="19.85546875" style="1" customWidth="1"/>
    <col min="4612" max="4654" width="11.42578125" style="1" customWidth="1"/>
    <col min="4655" max="4656" width="14.85546875" style="1" customWidth="1"/>
    <col min="4657" max="4657" width="16.5703125" style="1" customWidth="1"/>
    <col min="4658" max="4864" width="11.42578125" style="1"/>
    <col min="4865" max="4865" width="0" style="1" hidden="1" customWidth="1"/>
    <col min="4866" max="4866" width="32.85546875" style="1" bestFit="1" customWidth="1"/>
    <col min="4867" max="4867" width="19.85546875" style="1" customWidth="1"/>
    <col min="4868" max="4910" width="11.42578125" style="1" customWidth="1"/>
    <col min="4911" max="4912" width="14.85546875" style="1" customWidth="1"/>
    <col min="4913" max="4913" width="16.5703125" style="1" customWidth="1"/>
    <col min="4914" max="5120" width="11.42578125" style="1"/>
    <col min="5121" max="5121" width="0" style="1" hidden="1" customWidth="1"/>
    <col min="5122" max="5122" width="32.85546875" style="1" bestFit="1" customWidth="1"/>
    <col min="5123" max="5123" width="19.85546875" style="1" customWidth="1"/>
    <col min="5124" max="5166" width="11.42578125" style="1" customWidth="1"/>
    <col min="5167" max="5168" width="14.85546875" style="1" customWidth="1"/>
    <col min="5169" max="5169" width="16.5703125" style="1" customWidth="1"/>
    <col min="5170" max="5376" width="11.42578125" style="1"/>
    <col min="5377" max="5377" width="0" style="1" hidden="1" customWidth="1"/>
    <col min="5378" max="5378" width="32.85546875" style="1" bestFit="1" customWidth="1"/>
    <col min="5379" max="5379" width="19.85546875" style="1" customWidth="1"/>
    <col min="5380" max="5422" width="11.42578125" style="1" customWidth="1"/>
    <col min="5423" max="5424" width="14.85546875" style="1" customWidth="1"/>
    <col min="5425" max="5425" width="16.5703125" style="1" customWidth="1"/>
    <col min="5426" max="5632" width="11.42578125" style="1"/>
    <col min="5633" max="5633" width="0" style="1" hidden="1" customWidth="1"/>
    <col min="5634" max="5634" width="32.85546875" style="1" bestFit="1" customWidth="1"/>
    <col min="5635" max="5635" width="19.85546875" style="1" customWidth="1"/>
    <col min="5636" max="5678" width="11.42578125" style="1" customWidth="1"/>
    <col min="5679" max="5680" width="14.85546875" style="1" customWidth="1"/>
    <col min="5681" max="5681" width="16.5703125" style="1" customWidth="1"/>
    <col min="5682" max="5888" width="11.42578125" style="1"/>
    <col min="5889" max="5889" width="0" style="1" hidden="1" customWidth="1"/>
    <col min="5890" max="5890" width="32.85546875" style="1" bestFit="1" customWidth="1"/>
    <col min="5891" max="5891" width="19.85546875" style="1" customWidth="1"/>
    <col min="5892" max="5934" width="11.42578125" style="1" customWidth="1"/>
    <col min="5935" max="5936" width="14.85546875" style="1" customWidth="1"/>
    <col min="5937" max="5937" width="16.5703125" style="1" customWidth="1"/>
    <col min="5938" max="6144" width="11.42578125" style="1"/>
    <col min="6145" max="6145" width="0" style="1" hidden="1" customWidth="1"/>
    <col min="6146" max="6146" width="32.85546875" style="1" bestFit="1" customWidth="1"/>
    <col min="6147" max="6147" width="19.85546875" style="1" customWidth="1"/>
    <col min="6148" max="6190" width="11.42578125" style="1" customWidth="1"/>
    <col min="6191" max="6192" width="14.85546875" style="1" customWidth="1"/>
    <col min="6193" max="6193" width="16.5703125" style="1" customWidth="1"/>
    <col min="6194" max="6400" width="11.42578125" style="1"/>
    <col min="6401" max="6401" width="0" style="1" hidden="1" customWidth="1"/>
    <col min="6402" max="6402" width="32.85546875" style="1" bestFit="1" customWidth="1"/>
    <col min="6403" max="6403" width="19.85546875" style="1" customWidth="1"/>
    <col min="6404" max="6446" width="11.42578125" style="1" customWidth="1"/>
    <col min="6447" max="6448" width="14.85546875" style="1" customWidth="1"/>
    <col min="6449" max="6449" width="16.5703125" style="1" customWidth="1"/>
    <col min="6450" max="6656" width="11.42578125" style="1"/>
    <col min="6657" max="6657" width="0" style="1" hidden="1" customWidth="1"/>
    <col min="6658" max="6658" width="32.85546875" style="1" bestFit="1" customWidth="1"/>
    <col min="6659" max="6659" width="19.85546875" style="1" customWidth="1"/>
    <col min="6660" max="6702" width="11.42578125" style="1" customWidth="1"/>
    <col min="6703" max="6704" width="14.85546875" style="1" customWidth="1"/>
    <col min="6705" max="6705" width="16.5703125" style="1" customWidth="1"/>
    <col min="6706" max="6912" width="11.42578125" style="1"/>
    <col min="6913" max="6913" width="0" style="1" hidden="1" customWidth="1"/>
    <col min="6914" max="6914" width="32.85546875" style="1" bestFit="1" customWidth="1"/>
    <col min="6915" max="6915" width="19.85546875" style="1" customWidth="1"/>
    <col min="6916" max="6958" width="11.42578125" style="1" customWidth="1"/>
    <col min="6959" max="6960" width="14.85546875" style="1" customWidth="1"/>
    <col min="6961" max="6961" width="16.5703125" style="1" customWidth="1"/>
    <col min="6962" max="7168" width="11.42578125" style="1"/>
    <col min="7169" max="7169" width="0" style="1" hidden="1" customWidth="1"/>
    <col min="7170" max="7170" width="32.85546875" style="1" bestFit="1" customWidth="1"/>
    <col min="7171" max="7171" width="19.85546875" style="1" customWidth="1"/>
    <col min="7172" max="7214" width="11.42578125" style="1" customWidth="1"/>
    <col min="7215" max="7216" width="14.85546875" style="1" customWidth="1"/>
    <col min="7217" max="7217" width="16.5703125" style="1" customWidth="1"/>
    <col min="7218" max="7424" width="11.42578125" style="1"/>
    <col min="7425" max="7425" width="0" style="1" hidden="1" customWidth="1"/>
    <col min="7426" max="7426" width="32.85546875" style="1" bestFit="1" customWidth="1"/>
    <col min="7427" max="7427" width="19.85546875" style="1" customWidth="1"/>
    <col min="7428" max="7470" width="11.42578125" style="1" customWidth="1"/>
    <col min="7471" max="7472" width="14.85546875" style="1" customWidth="1"/>
    <col min="7473" max="7473" width="16.5703125" style="1" customWidth="1"/>
    <col min="7474" max="7680" width="11.42578125" style="1"/>
    <col min="7681" max="7681" width="0" style="1" hidden="1" customWidth="1"/>
    <col min="7682" max="7682" width="32.85546875" style="1" bestFit="1" customWidth="1"/>
    <col min="7683" max="7683" width="19.85546875" style="1" customWidth="1"/>
    <col min="7684" max="7726" width="11.42578125" style="1" customWidth="1"/>
    <col min="7727" max="7728" width="14.85546875" style="1" customWidth="1"/>
    <col min="7729" max="7729" width="16.5703125" style="1" customWidth="1"/>
    <col min="7730" max="7936" width="11.42578125" style="1"/>
    <col min="7937" max="7937" width="0" style="1" hidden="1" customWidth="1"/>
    <col min="7938" max="7938" width="32.85546875" style="1" bestFit="1" customWidth="1"/>
    <col min="7939" max="7939" width="19.85546875" style="1" customWidth="1"/>
    <col min="7940" max="7982" width="11.42578125" style="1" customWidth="1"/>
    <col min="7983" max="7984" width="14.85546875" style="1" customWidth="1"/>
    <col min="7985" max="7985" width="16.5703125" style="1" customWidth="1"/>
    <col min="7986" max="8192" width="11.42578125" style="1"/>
    <col min="8193" max="8193" width="0" style="1" hidden="1" customWidth="1"/>
    <col min="8194" max="8194" width="32.85546875" style="1" bestFit="1" customWidth="1"/>
    <col min="8195" max="8195" width="19.85546875" style="1" customWidth="1"/>
    <col min="8196" max="8238" width="11.42578125" style="1" customWidth="1"/>
    <col min="8239" max="8240" width="14.85546875" style="1" customWidth="1"/>
    <col min="8241" max="8241" width="16.5703125" style="1" customWidth="1"/>
    <col min="8242" max="8448" width="11.42578125" style="1"/>
    <col min="8449" max="8449" width="0" style="1" hidden="1" customWidth="1"/>
    <col min="8450" max="8450" width="32.85546875" style="1" bestFit="1" customWidth="1"/>
    <col min="8451" max="8451" width="19.85546875" style="1" customWidth="1"/>
    <col min="8452" max="8494" width="11.42578125" style="1" customWidth="1"/>
    <col min="8495" max="8496" width="14.85546875" style="1" customWidth="1"/>
    <col min="8497" max="8497" width="16.5703125" style="1" customWidth="1"/>
    <col min="8498" max="8704" width="11.42578125" style="1"/>
    <col min="8705" max="8705" width="0" style="1" hidden="1" customWidth="1"/>
    <col min="8706" max="8706" width="32.85546875" style="1" bestFit="1" customWidth="1"/>
    <col min="8707" max="8707" width="19.85546875" style="1" customWidth="1"/>
    <col min="8708" max="8750" width="11.42578125" style="1" customWidth="1"/>
    <col min="8751" max="8752" width="14.85546875" style="1" customWidth="1"/>
    <col min="8753" max="8753" width="16.5703125" style="1" customWidth="1"/>
    <col min="8754" max="8960" width="11.42578125" style="1"/>
    <col min="8961" max="8961" width="0" style="1" hidden="1" customWidth="1"/>
    <col min="8962" max="8962" width="32.85546875" style="1" bestFit="1" customWidth="1"/>
    <col min="8963" max="8963" width="19.85546875" style="1" customWidth="1"/>
    <col min="8964" max="9006" width="11.42578125" style="1" customWidth="1"/>
    <col min="9007" max="9008" width="14.85546875" style="1" customWidth="1"/>
    <col min="9009" max="9009" width="16.5703125" style="1" customWidth="1"/>
    <col min="9010" max="9216" width="11.42578125" style="1"/>
    <col min="9217" max="9217" width="0" style="1" hidden="1" customWidth="1"/>
    <col min="9218" max="9218" width="32.85546875" style="1" bestFit="1" customWidth="1"/>
    <col min="9219" max="9219" width="19.85546875" style="1" customWidth="1"/>
    <col min="9220" max="9262" width="11.42578125" style="1" customWidth="1"/>
    <col min="9263" max="9264" width="14.85546875" style="1" customWidth="1"/>
    <col min="9265" max="9265" width="16.5703125" style="1" customWidth="1"/>
    <col min="9266" max="9472" width="11.42578125" style="1"/>
    <col min="9473" max="9473" width="0" style="1" hidden="1" customWidth="1"/>
    <col min="9474" max="9474" width="32.85546875" style="1" bestFit="1" customWidth="1"/>
    <col min="9475" max="9475" width="19.85546875" style="1" customWidth="1"/>
    <col min="9476" max="9518" width="11.42578125" style="1" customWidth="1"/>
    <col min="9519" max="9520" width="14.85546875" style="1" customWidth="1"/>
    <col min="9521" max="9521" width="16.5703125" style="1" customWidth="1"/>
    <col min="9522" max="9728" width="11.42578125" style="1"/>
    <col min="9729" max="9729" width="0" style="1" hidden="1" customWidth="1"/>
    <col min="9730" max="9730" width="32.85546875" style="1" bestFit="1" customWidth="1"/>
    <col min="9731" max="9731" width="19.85546875" style="1" customWidth="1"/>
    <col min="9732" max="9774" width="11.42578125" style="1" customWidth="1"/>
    <col min="9775" max="9776" width="14.85546875" style="1" customWidth="1"/>
    <col min="9777" max="9777" width="16.5703125" style="1" customWidth="1"/>
    <col min="9778" max="9984" width="11.42578125" style="1"/>
    <col min="9985" max="9985" width="0" style="1" hidden="1" customWidth="1"/>
    <col min="9986" max="9986" width="32.85546875" style="1" bestFit="1" customWidth="1"/>
    <col min="9987" max="9987" width="19.85546875" style="1" customWidth="1"/>
    <col min="9988" max="10030" width="11.42578125" style="1" customWidth="1"/>
    <col min="10031" max="10032" width="14.85546875" style="1" customWidth="1"/>
    <col min="10033" max="10033" width="16.5703125" style="1" customWidth="1"/>
    <col min="10034" max="10240" width="11.42578125" style="1"/>
    <col min="10241" max="10241" width="0" style="1" hidden="1" customWidth="1"/>
    <col min="10242" max="10242" width="32.85546875" style="1" bestFit="1" customWidth="1"/>
    <col min="10243" max="10243" width="19.85546875" style="1" customWidth="1"/>
    <col min="10244" max="10286" width="11.42578125" style="1" customWidth="1"/>
    <col min="10287" max="10288" width="14.85546875" style="1" customWidth="1"/>
    <col min="10289" max="10289" width="16.5703125" style="1" customWidth="1"/>
    <col min="10290" max="10496" width="11.42578125" style="1"/>
    <col min="10497" max="10497" width="0" style="1" hidden="1" customWidth="1"/>
    <col min="10498" max="10498" width="32.85546875" style="1" bestFit="1" customWidth="1"/>
    <col min="10499" max="10499" width="19.85546875" style="1" customWidth="1"/>
    <col min="10500" max="10542" width="11.42578125" style="1" customWidth="1"/>
    <col min="10543" max="10544" width="14.85546875" style="1" customWidth="1"/>
    <col min="10545" max="10545" width="16.5703125" style="1" customWidth="1"/>
    <col min="10546" max="10752" width="11.42578125" style="1"/>
    <col min="10753" max="10753" width="0" style="1" hidden="1" customWidth="1"/>
    <col min="10754" max="10754" width="32.85546875" style="1" bestFit="1" customWidth="1"/>
    <col min="10755" max="10755" width="19.85546875" style="1" customWidth="1"/>
    <col min="10756" max="10798" width="11.42578125" style="1" customWidth="1"/>
    <col min="10799" max="10800" width="14.85546875" style="1" customWidth="1"/>
    <col min="10801" max="10801" width="16.5703125" style="1" customWidth="1"/>
    <col min="10802" max="11008" width="11.42578125" style="1"/>
    <col min="11009" max="11009" width="0" style="1" hidden="1" customWidth="1"/>
    <col min="11010" max="11010" width="32.85546875" style="1" bestFit="1" customWidth="1"/>
    <col min="11011" max="11011" width="19.85546875" style="1" customWidth="1"/>
    <col min="11012" max="11054" width="11.42578125" style="1" customWidth="1"/>
    <col min="11055" max="11056" width="14.85546875" style="1" customWidth="1"/>
    <col min="11057" max="11057" width="16.5703125" style="1" customWidth="1"/>
    <col min="11058" max="11264" width="11.42578125" style="1"/>
    <col min="11265" max="11265" width="0" style="1" hidden="1" customWidth="1"/>
    <col min="11266" max="11266" width="32.85546875" style="1" bestFit="1" customWidth="1"/>
    <col min="11267" max="11267" width="19.85546875" style="1" customWidth="1"/>
    <col min="11268" max="11310" width="11.42578125" style="1" customWidth="1"/>
    <col min="11311" max="11312" width="14.85546875" style="1" customWidth="1"/>
    <col min="11313" max="11313" width="16.5703125" style="1" customWidth="1"/>
    <col min="11314" max="11520" width="11.42578125" style="1"/>
    <col min="11521" max="11521" width="0" style="1" hidden="1" customWidth="1"/>
    <col min="11522" max="11522" width="32.85546875" style="1" bestFit="1" customWidth="1"/>
    <col min="11523" max="11523" width="19.85546875" style="1" customWidth="1"/>
    <col min="11524" max="11566" width="11.42578125" style="1" customWidth="1"/>
    <col min="11567" max="11568" width="14.85546875" style="1" customWidth="1"/>
    <col min="11569" max="11569" width="16.5703125" style="1" customWidth="1"/>
    <col min="11570" max="11776" width="11.42578125" style="1"/>
    <col min="11777" max="11777" width="0" style="1" hidden="1" customWidth="1"/>
    <col min="11778" max="11778" width="32.85546875" style="1" bestFit="1" customWidth="1"/>
    <col min="11779" max="11779" width="19.85546875" style="1" customWidth="1"/>
    <col min="11780" max="11822" width="11.42578125" style="1" customWidth="1"/>
    <col min="11823" max="11824" width="14.85546875" style="1" customWidth="1"/>
    <col min="11825" max="11825" width="16.5703125" style="1" customWidth="1"/>
    <col min="11826" max="12032" width="11.42578125" style="1"/>
    <col min="12033" max="12033" width="0" style="1" hidden="1" customWidth="1"/>
    <col min="12034" max="12034" width="32.85546875" style="1" bestFit="1" customWidth="1"/>
    <col min="12035" max="12035" width="19.85546875" style="1" customWidth="1"/>
    <col min="12036" max="12078" width="11.42578125" style="1" customWidth="1"/>
    <col min="12079" max="12080" width="14.85546875" style="1" customWidth="1"/>
    <col min="12081" max="12081" width="16.5703125" style="1" customWidth="1"/>
    <col min="12082" max="12288" width="11.42578125" style="1"/>
    <col min="12289" max="12289" width="0" style="1" hidden="1" customWidth="1"/>
    <col min="12290" max="12290" width="32.85546875" style="1" bestFit="1" customWidth="1"/>
    <col min="12291" max="12291" width="19.85546875" style="1" customWidth="1"/>
    <col min="12292" max="12334" width="11.42578125" style="1" customWidth="1"/>
    <col min="12335" max="12336" width="14.85546875" style="1" customWidth="1"/>
    <col min="12337" max="12337" width="16.5703125" style="1" customWidth="1"/>
    <col min="12338" max="12544" width="11.42578125" style="1"/>
    <col min="12545" max="12545" width="0" style="1" hidden="1" customWidth="1"/>
    <col min="12546" max="12546" width="32.85546875" style="1" bestFit="1" customWidth="1"/>
    <col min="12547" max="12547" width="19.85546875" style="1" customWidth="1"/>
    <col min="12548" max="12590" width="11.42578125" style="1" customWidth="1"/>
    <col min="12591" max="12592" width="14.85546875" style="1" customWidth="1"/>
    <col min="12593" max="12593" width="16.5703125" style="1" customWidth="1"/>
    <col min="12594" max="12800" width="11.42578125" style="1"/>
    <col min="12801" max="12801" width="0" style="1" hidden="1" customWidth="1"/>
    <col min="12802" max="12802" width="32.85546875" style="1" bestFit="1" customWidth="1"/>
    <col min="12803" max="12803" width="19.85546875" style="1" customWidth="1"/>
    <col min="12804" max="12846" width="11.42578125" style="1" customWidth="1"/>
    <col min="12847" max="12848" width="14.85546875" style="1" customWidth="1"/>
    <col min="12849" max="12849" width="16.5703125" style="1" customWidth="1"/>
    <col min="12850" max="13056" width="11.42578125" style="1"/>
    <col min="13057" max="13057" width="0" style="1" hidden="1" customWidth="1"/>
    <col min="13058" max="13058" width="32.85546875" style="1" bestFit="1" customWidth="1"/>
    <col min="13059" max="13059" width="19.85546875" style="1" customWidth="1"/>
    <col min="13060" max="13102" width="11.42578125" style="1" customWidth="1"/>
    <col min="13103" max="13104" width="14.85546875" style="1" customWidth="1"/>
    <col min="13105" max="13105" width="16.5703125" style="1" customWidth="1"/>
    <col min="13106" max="13312" width="11.42578125" style="1"/>
    <col min="13313" max="13313" width="0" style="1" hidden="1" customWidth="1"/>
    <col min="13314" max="13314" width="32.85546875" style="1" bestFit="1" customWidth="1"/>
    <col min="13315" max="13315" width="19.85546875" style="1" customWidth="1"/>
    <col min="13316" max="13358" width="11.42578125" style="1" customWidth="1"/>
    <col min="13359" max="13360" width="14.85546875" style="1" customWidth="1"/>
    <col min="13361" max="13361" width="16.5703125" style="1" customWidth="1"/>
    <col min="13362" max="13568" width="11.42578125" style="1"/>
    <col min="13569" max="13569" width="0" style="1" hidden="1" customWidth="1"/>
    <col min="13570" max="13570" width="32.85546875" style="1" bestFit="1" customWidth="1"/>
    <col min="13571" max="13571" width="19.85546875" style="1" customWidth="1"/>
    <col min="13572" max="13614" width="11.42578125" style="1" customWidth="1"/>
    <col min="13615" max="13616" width="14.85546875" style="1" customWidth="1"/>
    <col min="13617" max="13617" width="16.5703125" style="1" customWidth="1"/>
    <col min="13618" max="13824" width="11.42578125" style="1"/>
    <col min="13825" max="13825" width="0" style="1" hidden="1" customWidth="1"/>
    <col min="13826" max="13826" width="32.85546875" style="1" bestFit="1" customWidth="1"/>
    <col min="13827" max="13827" width="19.85546875" style="1" customWidth="1"/>
    <col min="13828" max="13870" width="11.42578125" style="1" customWidth="1"/>
    <col min="13871" max="13872" width="14.85546875" style="1" customWidth="1"/>
    <col min="13873" max="13873" width="16.5703125" style="1" customWidth="1"/>
    <col min="13874" max="14080" width="11.42578125" style="1"/>
    <col min="14081" max="14081" width="0" style="1" hidden="1" customWidth="1"/>
    <col min="14082" max="14082" width="32.85546875" style="1" bestFit="1" customWidth="1"/>
    <col min="14083" max="14083" width="19.85546875" style="1" customWidth="1"/>
    <col min="14084" max="14126" width="11.42578125" style="1" customWidth="1"/>
    <col min="14127" max="14128" width="14.85546875" style="1" customWidth="1"/>
    <col min="14129" max="14129" width="16.5703125" style="1" customWidth="1"/>
    <col min="14130" max="14336" width="11.42578125" style="1"/>
    <col min="14337" max="14337" width="0" style="1" hidden="1" customWidth="1"/>
    <col min="14338" max="14338" width="32.85546875" style="1" bestFit="1" customWidth="1"/>
    <col min="14339" max="14339" width="19.85546875" style="1" customWidth="1"/>
    <col min="14340" max="14382" width="11.42578125" style="1" customWidth="1"/>
    <col min="14383" max="14384" width="14.85546875" style="1" customWidth="1"/>
    <col min="14385" max="14385" width="16.5703125" style="1" customWidth="1"/>
    <col min="14386" max="14592" width="11.42578125" style="1"/>
    <col min="14593" max="14593" width="0" style="1" hidden="1" customWidth="1"/>
    <col min="14594" max="14594" width="32.85546875" style="1" bestFit="1" customWidth="1"/>
    <col min="14595" max="14595" width="19.85546875" style="1" customWidth="1"/>
    <col min="14596" max="14638" width="11.42578125" style="1" customWidth="1"/>
    <col min="14639" max="14640" width="14.85546875" style="1" customWidth="1"/>
    <col min="14641" max="14641" width="16.5703125" style="1" customWidth="1"/>
    <col min="14642" max="14848" width="11.42578125" style="1"/>
    <col min="14849" max="14849" width="0" style="1" hidden="1" customWidth="1"/>
    <col min="14850" max="14850" width="32.85546875" style="1" bestFit="1" customWidth="1"/>
    <col min="14851" max="14851" width="19.85546875" style="1" customWidth="1"/>
    <col min="14852" max="14894" width="11.42578125" style="1" customWidth="1"/>
    <col min="14895" max="14896" width="14.85546875" style="1" customWidth="1"/>
    <col min="14897" max="14897" width="16.5703125" style="1" customWidth="1"/>
    <col min="14898" max="15104" width="11.42578125" style="1"/>
    <col min="15105" max="15105" width="0" style="1" hidden="1" customWidth="1"/>
    <col min="15106" max="15106" width="32.85546875" style="1" bestFit="1" customWidth="1"/>
    <col min="15107" max="15107" width="19.85546875" style="1" customWidth="1"/>
    <col min="15108" max="15150" width="11.42578125" style="1" customWidth="1"/>
    <col min="15151" max="15152" width="14.85546875" style="1" customWidth="1"/>
    <col min="15153" max="15153" width="16.5703125" style="1" customWidth="1"/>
    <col min="15154" max="15360" width="11.42578125" style="1"/>
    <col min="15361" max="15361" width="0" style="1" hidden="1" customWidth="1"/>
    <col min="15362" max="15362" width="32.85546875" style="1" bestFit="1" customWidth="1"/>
    <col min="15363" max="15363" width="19.85546875" style="1" customWidth="1"/>
    <col min="15364" max="15406" width="11.42578125" style="1" customWidth="1"/>
    <col min="15407" max="15408" width="14.85546875" style="1" customWidth="1"/>
    <col min="15409" max="15409" width="16.5703125" style="1" customWidth="1"/>
    <col min="15410" max="15616" width="11.42578125" style="1"/>
    <col min="15617" max="15617" width="0" style="1" hidden="1" customWidth="1"/>
    <col min="15618" max="15618" width="32.85546875" style="1" bestFit="1" customWidth="1"/>
    <col min="15619" max="15619" width="19.85546875" style="1" customWidth="1"/>
    <col min="15620" max="15662" width="11.42578125" style="1" customWidth="1"/>
    <col min="15663" max="15664" width="14.85546875" style="1" customWidth="1"/>
    <col min="15665" max="15665" width="16.5703125" style="1" customWidth="1"/>
    <col min="15666" max="15872" width="11.42578125" style="1"/>
    <col min="15873" max="15873" width="0" style="1" hidden="1" customWidth="1"/>
    <col min="15874" max="15874" width="32.85546875" style="1" bestFit="1" customWidth="1"/>
    <col min="15875" max="15875" width="19.85546875" style="1" customWidth="1"/>
    <col min="15876" max="15918" width="11.42578125" style="1" customWidth="1"/>
    <col min="15919" max="15920" width="14.85546875" style="1" customWidth="1"/>
    <col min="15921" max="15921" width="16.5703125" style="1" customWidth="1"/>
    <col min="15922" max="16128" width="11.42578125" style="1"/>
    <col min="16129" max="16129" width="0" style="1" hidden="1" customWidth="1"/>
    <col min="16130" max="16130" width="32.85546875" style="1" bestFit="1" customWidth="1"/>
    <col min="16131" max="16131" width="19.85546875" style="1" customWidth="1"/>
    <col min="16132" max="16174" width="11.42578125" style="1" customWidth="1"/>
    <col min="16175" max="16176" width="14.85546875" style="1" customWidth="1"/>
    <col min="16177" max="16177" width="16.5703125" style="1" customWidth="1"/>
    <col min="16178" max="16384" width="11.42578125" style="1"/>
  </cols>
  <sheetData>
    <row r="1" spans="1:49">
      <c r="A1" s="665" t="s">
        <v>148</v>
      </c>
      <c r="B1" s="665"/>
    </row>
    <row r="2" spans="1:49" s="261" customFormat="1">
      <c r="B2" s="262" t="s">
        <v>149</v>
      </c>
      <c r="C2" s="263"/>
      <c r="I2" s="264" t="s">
        <v>136</v>
      </c>
      <c r="L2" s="261" t="s">
        <v>150</v>
      </c>
      <c r="N2" s="261" t="s">
        <v>151</v>
      </c>
      <c r="O2" s="262" t="s">
        <v>152</v>
      </c>
      <c r="R2" s="261" t="s">
        <v>153</v>
      </c>
      <c r="S2" s="261" t="s">
        <v>154</v>
      </c>
      <c r="T2" s="261" t="s">
        <v>155</v>
      </c>
      <c r="W2" s="261" t="s">
        <v>156</v>
      </c>
      <c r="Y2" s="262" t="s">
        <v>157</v>
      </c>
      <c r="AA2" s="261" t="s">
        <v>158</v>
      </c>
      <c r="AB2" s="262" t="s">
        <v>146</v>
      </c>
      <c r="AM2" s="1" t="s">
        <v>159</v>
      </c>
      <c r="AN2" s="1"/>
    </row>
    <row r="3" spans="1:49" ht="22.5">
      <c r="A3" s="265" t="s">
        <v>160</v>
      </c>
      <c r="B3" s="266" t="s">
        <v>161</v>
      </c>
      <c r="C3" s="267" t="s">
        <v>162</v>
      </c>
      <c r="D3" s="268" t="s">
        <v>163</v>
      </c>
      <c r="E3" s="269"/>
      <c r="F3" s="270">
        <v>42948</v>
      </c>
      <c r="G3" s="270">
        <v>42979</v>
      </c>
      <c r="H3" s="270">
        <v>43009</v>
      </c>
      <c r="I3" s="270">
        <v>43040</v>
      </c>
      <c r="J3" s="270">
        <v>43070</v>
      </c>
      <c r="K3" s="270">
        <v>43101</v>
      </c>
      <c r="L3" s="270">
        <v>43132</v>
      </c>
      <c r="M3" s="270">
        <v>43160</v>
      </c>
      <c r="N3" s="270">
        <v>43191</v>
      </c>
      <c r="O3" s="270">
        <v>43221</v>
      </c>
      <c r="P3" s="270">
        <v>43252</v>
      </c>
      <c r="Q3" s="270">
        <v>43282</v>
      </c>
      <c r="R3" s="270">
        <v>43313</v>
      </c>
      <c r="S3" s="270">
        <v>43344</v>
      </c>
      <c r="T3" s="270">
        <v>43374</v>
      </c>
      <c r="U3" s="270">
        <v>43405</v>
      </c>
      <c r="V3" s="270">
        <v>43435</v>
      </c>
      <c r="W3" s="270">
        <v>43466</v>
      </c>
      <c r="X3" s="270">
        <v>43497</v>
      </c>
      <c r="Y3" s="270">
        <v>43525</v>
      </c>
      <c r="Z3" s="270">
        <v>43556</v>
      </c>
      <c r="AA3" s="270">
        <v>43586</v>
      </c>
      <c r="AB3" s="270">
        <v>43617</v>
      </c>
      <c r="AC3" s="270">
        <v>43647</v>
      </c>
      <c r="AD3" s="270">
        <v>43678</v>
      </c>
      <c r="AE3" s="270">
        <v>43709</v>
      </c>
      <c r="AF3" s="270">
        <v>43739</v>
      </c>
      <c r="AG3" s="270">
        <v>43770</v>
      </c>
      <c r="AH3" s="270">
        <v>43800</v>
      </c>
      <c r="AI3" s="270">
        <v>43831</v>
      </c>
      <c r="AJ3" s="270">
        <v>43862</v>
      </c>
      <c r="AK3" s="270">
        <v>43891</v>
      </c>
      <c r="AL3" s="270">
        <v>43922</v>
      </c>
      <c r="AM3" s="270">
        <v>43952</v>
      </c>
      <c r="AN3" s="270">
        <v>43983</v>
      </c>
      <c r="AO3" s="270">
        <v>44013</v>
      </c>
      <c r="AP3" s="270">
        <v>44044</v>
      </c>
      <c r="AQ3" s="270">
        <v>44075</v>
      </c>
      <c r="AR3" s="270">
        <v>44105</v>
      </c>
      <c r="AS3" s="270">
        <v>44136</v>
      </c>
      <c r="AT3" s="270">
        <v>44166</v>
      </c>
      <c r="AU3" s="271" t="s">
        <v>164</v>
      </c>
      <c r="AV3" s="271" t="s">
        <v>165</v>
      </c>
      <c r="AW3" s="271" t="s">
        <v>166</v>
      </c>
    </row>
    <row r="4" spans="1:49" s="277" customFormat="1">
      <c r="A4" s="272" t="s">
        <v>167</v>
      </c>
      <c r="B4" s="273" t="s">
        <v>8</v>
      </c>
      <c r="C4" s="274"/>
      <c r="D4" s="275">
        <f>SUM(F4:Q4)</f>
        <v>0</v>
      </c>
      <c r="E4" s="275"/>
      <c r="F4" s="276"/>
      <c r="G4" s="276"/>
      <c r="H4" s="276"/>
      <c r="I4" s="276"/>
      <c r="J4" s="276"/>
      <c r="K4" s="276"/>
      <c r="L4" s="276"/>
      <c r="M4" s="276"/>
      <c r="N4" s="276"/>
      <c r="O4" s="276"/>
      <c r="P4" s="276"/>
      <c r="Q4" s="276"/>
      <c r="R4" s="276"/>
      <c r="S4" s="276"/>
      <c r="T4" s="276"/>
      <c r="U4" s="276"/>
      <c r="V4" s="276"/>
      <c r="W4" s="276"/>
      <c r="X4" s="276"/>
      <c r="Y4" s="276"/>
      <c r="Z4" s="276"/>
      <c r="AA4" s="276"/>
      <c r="AB4" s="276"/>
      <c r="AC4" s="276"/>
      <c r="AD4" s="276"/>
      <c r="AE4" s="276"/>
      <c r="AF4" s="276"/>
      <c r="AG4" s="276"/>
      <c r="AH4" s="276"/>
      <c r="AI4" s="276"/>
      <c r="AJ4" s="276"/>
      <c r="AK4" s="276"/>
      <c r="AL4" s="276"/>
      <c r="AM4" s="276"/>
      <c r="AN4" s="276"/>
      <c r="AO4" s="276"/>
      <c r="AP4" s="276"/>
      <c r="AQ4" s="276"/>
      <c r="AR4" s="276"/>
      <c r="AS4" s="276"/>
      <c r="AT4" s="276"/>
      <c r="AU4" s="276">
        <f t="shared" ref="AU4:AU10" si="0">SUM(R4:AT4)</f>
        <v>0</v>
      </c>
      <c r="AV4" s="276">
        <f t="shared" ref="AV4:AV10" si="1">C4-(AU4+D4)</f>
        <v>0</v>
      </c>
      <c r="AW4" s="276">
        <f t="shared" ref="AW4:AW10" si="2">C4-D4-AU4-AV4</f>
        <v>0</v>
      </c>
    </row>
    <row r="5" spans="1:49" s="277" customFormat="1">
      <c r="A5" s="272" t="s">
        <v>168</v>
      </c>
      <c r="B5" s="273" t="s">
        <v>0</v>
      </c>
      <c r="C5" s="278"/>
      <c r="D5" s="275">
        <f>SUM(F5:Q5)</f>
        <v>0</v>
      </c>
      <c r="E5" s="279"/>
      <c r="F5" s="280"/>
      <c r="G5" s="280"/>
      <c r="H5" s="280"/>
      <c r="I5" s="280"/>
      <c r="J5" s="280"/>
      <c r="K5" s="280"/>
      <c r="L5" s="280"/>
      <c r="M5" s="280"/>
      <c r="N5" s="280"/>
      <c r="O5" s="280"/>
      <c r="P5" s="280"/>
      <c r="Q5" s="280"/>
      <c r="R5" s="280"/>
      <c r="S5" s="280"/>
      <c r="T5" s="280"/>
      <c r="U5" s="280"/>
      <c r="V5" s="280"/>
      <c r="W5" s="280"/>
      <c r="X5" s="280"/>
      <c r="Y5" s="280"/>
      <c r="Z5" s="276"/>
      <c r="AA5" s="276"/>
      <c r="AB5" s="280"/>
      <c r="AC5" s="280"/>
      <c r="AD5" s="280"/>
      <c r="AE5" s="280"/>
      <c r="AF5" s="280"/>
      <c r="AG5" s="280"/>
      <c r="AH5" s="280"/>
      <c r="AI5" s="280"/>
      <c r="AJ5" s="280"/>
      <c r="AK5" s="280"/>
      <c r="AL5" s="280"/>
      <c r="AM5" s="280"/>
      <c r="AN5" s="280"/>
      <c r="AO5" s="280"/>
      <c r="AP5" s="280"/>
      <c r="AQ5" s="280"/>
      <c r="AR5" s="280"/>
      <c r="AS5" s="280"/>
      <c r="AT5" s="280"/>
      <c r="AU5" s="276">
        <f t="shared" si="0"/>
        <v>0</v>
      </c>
      <c r="AV5" s="276">
        <f t="shared" si="1"/>
        <v>0</v>
      </c>
      <c r="AW5" s="276">
        <f t="shared" si="2"/>
        <v>0</v>
      </c>
    </row>
    <row r="6" spans="1:49" s="277" customFormat="1">
      <c r="A6" s="272" t="s">
        <v>169</v>
      </c>
      <c r="B6" s="273" t="s">
        <v>45</v>
      </c>
      <c r="C6" s="274">
        <f>+'[49]Prix de revient'!D2</f>
        <v>10739152.095000001</v>
      </c>
      <c r="D6" s="275">
        <f>SUM(G6:Q6)</f>
        <v>4832618.4427500004</v>
      </c>
      <c r="E6" s="275">
        <f>C6-SUM(F6:AT6)</f>
        <v>0</v>
      </c>
      <c r="F6" s="281"/>
      <c r="G6" s="273"/>
      <c r="H6" s="280"/>
      <c r="I6" s="276">
        <f>'[49]Plan de trésorerie'!C2</f>
        <v>1610872.8142500001</v>
      </c>
      <c r="J6" s="280"/>
      <c r="K6" s="280"/>
      <c r="L6" s="280">
        <f>'[49]Plan de trésorerie'!C3</f>
        <v>859132.16760000004</v>
      </c>
      <c r="M6" s="280"/>
      <c r="N6" s="280">
        <f>'[49]Plan de trésorerie'!C4</f>
        <v>1288698.2514</v>
      </c>
      <c r="O6" s="280">
        <f>'[49]Plan de trésorerie'!C5</f>
        <v>1073915.2095000001</v>
      </c>
      <c r="P6" s="280"/>
      <c r="Q6" s="280"/>
      <c r="R6" s="280">
        <f>'[49]Plan de trésorerie'!C6</f>
        <v>1073915.2095000001</v>
      </c>
      <c r="S6" s="280">
        <f>'[49]Plan de trésorerie'!C7</f>
        <v>1610872.8142500001</v>
      </c>
      <c r="T6" s="280">
        <f>'[49]Plan de trésorerie'!C8</f>
        <v>1073915.2095000001</v>
      </c>
      <c r="U6" s="280"/>
      <c r="V6" s="280"/>
      <c r="W6" s="280">
        <f>'[49]Plan de trésorerie'!C10</f>
        <v>536957.60475000006</v>
      </c>
      <c r="X6" s="280"/>
      <c r="Y6" s="280">
        <f>'[49]Plan de trésorerie'!C9</f>
        <v>536957.60475000006</v>
      </c>
      <c r="Z6" s="276"/>
      <c r="AA6" s="276">
        <f>'[49]Plan de trésorerie'!C11</f>
        <v>536957.60475000006</v>
      </c>
      <c r="AB6" s="280">
        <f>'[49]Plan de trésorerie'!C12</f>
        <v>536957.60475000006</v>
      </c>
      <c r="AC6" s="280"/>
      <c r="AD6" s="280"/>
      <c r="AE6" s="280"/>
      <c r="AF6" s="280"/>
      <c r="AG6" s="280"/>
      <c r="AH6" s="280"/>
      <c r="AI6" s="280"/>
      <c r="AJ6" s="280"/>
      <c r="AK6" s="280"/>
      <c r="AL6" s="280"/>
      <c r="AM6" s="280"/>
      <c r="AN6" s="280"/>
      <c r="AO6" s="280"/>
      <c r="AP6" s="280"/>
      <c r="AQ6" s="280"/>
      <c r="AR6" s="280"/>
      <c r="AS6" s="280"/>
      <c r="AT6" s="280"/>
      <c r="AU6" s="276">
        <f t="shared" si="0"/>
        <v>5906533.6522500003</v>
      </c>
      <c r="AV6" s="276">
        <f>C6-(AU6+D6)</f>
        <v>0</v>
      </c>
      <c r="AW6" s="276">
        <f t="shared" si="2"/>
        <v>0</v>
      </c>
    </row>
    <row r="7" spans="1:49" s="277" customFormat="1">
      <c r="A7" s="272" t="s">
        <v>170</v>
      </c>
      <c r="B7" s="273" t="s">
        <v>171</v>
      </c>
      <c r="C7" s="278">
        <f>+'[49]Prix de revient'!D3</f>
        <v>364819</v>
      </c>
      <c r="D7" s="275">
        <f>SUM(G7:Q7)</f>
        <v>262669.68</v>
      </c>
      <c r="E7" s="282"/>
      <c r="G7" s="273"/>
      <c r="H7" s="280"/>
      <c r="I7" s="276">
        <f>'[49]Plan de trésorerie'!G2</f>
        <v>182409.5</v>
      </c>
      <c r="J7" s="280"/>
      <c r="K7" s="280"/>
      <c r="L7" s="280"/>
      <c r="M7" s="280"/>
      <c r="N7" s="280">
        <f>'[49]Plan de trésorerie'!G4</f>
        <v>36481.9</v>
      </c>
      <c r="O7" s="280">
        <f>'[49]Plan de trésorerie'!G5</f>
        <v>43778.28</v>
      </c>
      <c r="P7" s="280"/>
      <c r="Q7" s="280"/>
      <c r="R7" s="280">
        <f>'[49]Plan de trésorerie'!G6</f>
        <v>18240.95</v>
      </c>
      <c r="S7" s="280">
        <f>'[49]Plan de trésorerie'!G7</f>
        <v>21889.14</v>
      </c>
      <c r="T7" s="280">
        <f>'[49]Plan de trésorerie'!G8</f>
        <v>21889.14</v>
      </c>
      <c r="U7" s="280"/>
      <c r="V7" s="280"/>
      <c r="W7" s="280"/>
      <c r="X7" s="280"/>
      <c r="Y7" s="280">
        <f>'[49]Plan de trésorerie'!G10</f>
        <v>14592.76</v>
      </c>
      <c r="Z7" s="276"/>
      <c r="AA7" s="276">
        <f>'[49]Plan de trésorerie'!G11</f>
        <v>21889.14</v>
      </c>
      <c r="AB7" s="283">
        <f>'[49]Plan de trésorerie'!G12</f>
        <v>3648.19</v>
      </c>
      <c r="AC7" s="280"/>
      <c r="AD7" s="280"/>
      <c r="AE7" s="280"/>
      <c r="AF7" s="280"/>
      <c r="AG7" s="280"/>
      <c r="AH7" s="280"/>
      <c r="AI7" s="280"/>
      <c r="AJ7" s="280"/>
      <c r="AK7" s="280"/>
      <c r="AL7" s="280"/>
      <c r="AM7" s="280"/>
      <c r="AN7" s="280"/>
      <c r="AO7" s="280"/>
      <c r="AP7" s="280"/>
      <c r="AQ7" s="280"/>
      <c r="AR7" s="280"/>
      <c r="AS7" s="280"/>
      <c r="AT7" s="280"/>
      <c r="AU7" s="276">
        <f t="shared" si="0"/>
        <v>102149.31999999999</v>
      </c>
      <c r="AV7" s="276">
        <f t="shared" si="1"/>
        <v>0</v>
      </c>
      <c r="AW7" s="276">
        <f t="shared" si="2"/>
        <v>1.4551915228366852E-11</v>
      </c>
    </row>
    <row r="8" spans="1:49" s="277" customFormat="1" hidden="1">
      <c r="A8" s="284">
        <v>590</v>
      </c>
      <c r="B8" s="273" t="s">
        <v>49</v>
      </c>
      <c r="C8" s="285"/>
      <c r="D8" s="275">
        <f>SUM(F8:Q8)</f>
        <v>0</v>
      </c>
      <c r="E8" s="275"/>
      <c r="F8" s="276"/>
      <c r="G8" s="276"/>
      <c r="H8" s="280"/>
      <c r="I8" s="280"/>
      <c r="J8" s="280"/>
      <c r="K8" s="280"/>
      <c r="L8" s="280"/>
      <c r="M8" s="280"/>
      <c r="N8" s="280"/>
      <c r="O8" s="280"/>
      <c r="P8" s="280"/>
      <c r="Q8" s="280"/>
      <c r="R8" s="280"/>
      <c r="S8" s="280"/>
      <c r="T8" s="280"/>
      <c r="U8" s="280"/>
      <c r="V8" s="280"/>
      <c r="W8" s="280"/>
      <c r="X8" s="280"/>
      <c r="Y8" s="280"/>
      <c r="Z8" s="276"/>
      <c r="AA8" s="276"/>
      <c r="AB8" s="280"/>
      <c r="AC8" s="280"/>
      <c r="AD8" s="280"/>
      <c r="AE8" s="280"/>
      <c r="AF8" s="280"/>
      <c r="AG8" s="280"/>
      <c r="AH8" s="280"/>
      <c r="AI8" s="280"/>
      <c r="AJ8" s="280"/>
      <c r="AK8" s="280"/>
      <c r="AL8" s="280"/>
      <c r="AM8" s="280"/>
      <c r="AN8" s="280"/>
      <c r="AO8" s="280"/>
      <c r="AP8" s="280"/>
      <c r="AQ8" s="280"/>
      <c r="AR8" s="280"/>
      <c r="AS8" s="280"/>
      <c r="AT8" s="280"/>
      <c r="AU8" s="276">
        <f t="shared" si="0"/>
        <v>0</v>
      </c>
      <c r="AV8" s="276">
        <f t="shared" si="1"/>
        <v>0</v>
      </c>
      <c r="AW8" s="276">
        <f t="shared" si="2"/>
        <v>0</v>
      </c>
    </row>
    <row r="9" spans="1:49" s="277" customFormat="1">
      <c r="A9" s="284"/>
      <c r="B9" s="273" t="s">
        <v>172</v>
      </c>
      <c r="C9" s="286">
        <f>'[49]Prix de revient'!D4</f>
        <v>290589</v>
      </c>
      <c r="D9" s="275">
        <f>SUM(F9:Q9)</f>
        <v>0</v>
      </c>
      <c r="E9" s="279"/>
      <c r="F9" s="280"/>
      <c r="G9" s="280"/>
      <c r="H9" s="280"/>
      <c r="I9" s="286"/>
      <c r="J9" s="280"/>
      <c r="K9" s="280"/>
      <c r="L9" s="280"/>
      <c r="M9" s="280"/>
      <c r="N9" s="280"/>
      <c r="O9" s="280"/>
      <c r="P9" s="280"/>
      <c r="Q9" s="280"/>
      <c r="R9" s="280"/>
      <c r="S9" s="280"/>
      <c r="T9" s="280"/>
      <c r="U9" s="280"/>
      <c r="V9" s="280"/>
      <c r="W9" s="280"/>
      <c r="X9" s="280"/>
      <c r="Y9" s="280"/>
      <c r="Z9" s="276"/>
      <c r="AA9" s="276"/>
      <c r="AB9" s="280"/>
      <c r="AC9" s="280"/>
      <c r="AD9" s="280"/>
      <c r="AE9" s="280"/>
      <c r="AF9" s="280"/>
      <c r="AG9" s="280">
        <f>C9</f>
        <v>290589</v>
      </c>
      <c r="AH9" s="280"/>
      <c r="AI9" s="280"/>
      <c r="AJ9" s="280"/>
      <c r="AK9" s="280"/>
      <c r="AL9" s="280"/>
      <c r="AM9" s="280"/>
      <c r="AN9" s="280"/>
      <c r="AO9" s="280"/>
      <c r="AP9" s="280"/>
      <c r="AQ9" s="280"/>
      <c r="AR9" s="280"/>
      <c r="AS9" s="280"/>
      <c r="AT9" s="280"/>
      <c r="AU9" s="276">
        <f t="shared" si="0"/>
        <v>290589</v>
      </c>
      <c r="AV9" s="276">
        <f t="shared" si="1"/>
        <v>0</v>
      </c>
      <c r="AW9" s="276">
        <f t="shared" si="2"/>
        <v>0</v>
      </c>
    </row>
    <row r="10" spans="1:49" s="277" customFormat="1">
      <c r="A10" s="284"/>
      <c r="B10" s="273" t="s">
        <v>173</v>
      </c>
      <c r="C10" s="285">
        <f>+'[49]Prix de revient'!D5</f>
        <v>222000</v>
      </c>
      <c r="D10" s="275">
        <f>SUM(G10:Q10)</f>
        <v>222000</v>
      </c>
      <c r="E10" s="282"/>
      <c r="G10" s="280"/>
      <c r="H10" s="280"/>
      <c r="I10" s="280">
        <f>C10*100%</f>
        <v>222000</v>
      </c>
      <c r="J10" s="280"/>
      <c r="K10" s="283"/>
      <c r="L10" s="280"/>
      <c r="M10" s="280"/>
      <c r="N10" s="280"/>
      <c r="O10" s="280"/>
      <c r="P10" s="280"/>
      <c r="Q10" s="280"/>
      <c r="R10" s="280"/>
      <c r="S10" s="280"/>
      <c r="T10" s="280"/>
      <c r="U10" s="280"/>
      <c r="V10" s="280"/>
      <c r="W10" s="280"/>
      <c r="X10" s="280"/>
      <c r="Y10" s="280"/>
      <c r="Z10" s="280"/>
      <c r="AA10" s="280"/>
      <c r="AB10" s="280"/>
      <c r="AC10" s="280"/>
      <c r="AD10" s="280"/>
      <c r="AE10" s="280"/>
      <c r="AF10" s="280"/>
      <c r="AG10" s="280"/>
      <c r="AH10" s="280"/>
      <c r="AI10" s="280"/>
      <c r="AJ10" s="280"/>
      <c r="AK10" s="280"/>
      <c r="AL10" s="280"/>
      <c r="AM10" s="280"/>
      <c r="AN10" s="280"/>
      <c r="AO10" s="280"/>
      <c r="AP10" s="280"/>
      <c r="AQ10" s="280"/>
      <c r="AR10" s="280"/>
      <c r="AS10" s="280"/>
      <c r="AT10" s="280"/>
      <c r="AU10" s="276">
        <f t="shared" si="0"/>
        <v>0</v>
      </c>
      <c r="AV10" s="276">
        <f t="shared" si="1"/>
        <v>0</v>
      </c>
      <c r="AW10" s="276">
        <f t="shared" si="2"/>
        <v>0</v>
      </c>
    </row>
    <row r="11" spans="1:49" s="290" customFormat="1">
      <c r="A11" s="287" t="s">
        <v>174</v>
      </c>
      <c r="B11" s="288" t="s">
        <v>175</v>
      </c>
      <c r="C11" s="289">
        <f>SUM(C4:C10)</f>
        <v>11616560.095000001</v>
      </c>
      <c r="D11" s="289">
        <f>SUM(D4:D10)</f>
        <v>5317288.1227500001</v>
      </c>
      <c r="E11" s="289"/>
      <c r="F11" s="289">
        <f t="shared" ref="F11:AW11" si="3">SUM(F4:F10)</f>
        <v>0</v>
      </c>
      <c r="G11" s="289">
        <f t="shared" si="3"/>
        <v>0</v>
      </c>
      <c r="H11" s="289">
        <f t="shared" si="3"/>
        <v>0</v>
      </c>
      <c r="I11" s="289">
        <f>SUM(I4:I10)</f>
        <v>2015282.3142500001</v>
      </c>
      <c r="J11" s="289">
        <f t="shared" si="3"/>
        <v>0</v>
      </c>
      <c r="K11" s="289">
        <f t="shared" si="3"/>
        <v>0</v>
      </c>
      <c r="L11" s="289">
        <f t="shared" si="3"/>
        <v>859132.16760000004</v>
      </c>
      <c r="M11" s="289">
        <f t="shared" si="3"/>
        <v>0</v>
      </c>
      <c r="N11" s="289">
        <f t="shared" si="3"/>
        <v>1325180.1513999999</v>
      </c>
      <c r="O11" s="289">
        <f t="shared" si="3"/>
        <v>1117693.4895000001</v>
      </c>
      <c r="P11" s="289">
        <f t="shared" si="3"/>
        <v>0</v>
      </c>
      <c r="Q11" s="289">
        <f t="shared" si="3"/>
        <v>0</v>
      </c>
      <c r="R11" s="289">
        <f t="shared" si="3"/>
        <v>1092156.1595000001</v>
      </c>
      <c r="S11" s="289">
        <f t="shared" si="3"/>
        <v>1632761.95425</v>
      </c>
      <c r="T11" s="289">
        <f t="shared" si="3"/>
        <v>1095804.3495</v>
      </c>
      <c r="U11" s="289">
        <f t="shared" si="3"/>
        <v>0</v>
      </c>
      <c r="V11" s="289">
        <f t="shared" si="3"/>
        <v>0</v>
      </c>
      <c r="W11" s="289">
        <f t="shared" si="3"/>
        <v>536957.60475000006</v>
      </c>
      <c r="X11" s="289">
        <f t="shared" si="3"/>
        <v>0</v>
      </c>
      <c r="Y11" s="289">
        <f t="shared" si="3"/>
        <v>551550.36475000007</v>
      </c>
      <c r="Z11" s="289">
        <f t="shared" si="3"/>
        <v>0</v>
      </c>
      <c r="AA11" s="289">
        <f t="shared" si="3"/>
        <v>558846.74475000007</v>
      </c>
      <c r="AB11" s="289">
        <f t="shared" si="3"/>
        <v>540605.79475</v>
      </c>
      <c r="AC11" s="289">
        <f t="shared" si="3"/>
        <v>0</v>
      </c>
      <c r="AD11" s="289">
        <f t="shared" si="3"/>
        <v>0</v>
      </c>
      <c r="AE11" s="289">
        <f t="shared" si="3"/>
        <v>0</v>
      </c>
      <c r="AF11" s="289">
        <f t="shared" si="3"/>
        <v>0</v>
      </c>
      <c r="AG11" s="289">
        <f t="shared" si="3"/>
        <v>290589</v>
      </c>
      <c r="AH11" s="289">
        <f t="shared" si="3"/>
        <v>0</v>
      </c>
      <c r="AI11" s="289">
        <f t="shared" si="3"/>
        <v>0</v>
      </c>
      <c r="AJ11" s="289">
        <f t="shared" si="3"/>
        <v>0</v>
      </c>
      <c r="AK11" s="289">
        <f t="shared" si="3"/>
        <v>0</v>
      </c>
      <c r="AL11" s="289">
        <f t="shared" si="3"/>
        <v>0</v>
      </c>
      <c r="AM11" s="289">
        <f t="shared" si="3"/>
        <v>0</v>
      </c>
      <c r="AN11" s="289">
        <f t="shared" si="3"/>
        <v>0</v>
      </c>
      <c r="AO11" s="289">
        <f t="shared" si="3"/>
        <v>0</v>
      </c>
      <c r="AP11" s="289">
        <f t="shared" si="3"/>
        <v>0</v>
      </c>
      <c r="AQ11" s="289">
        <f t="shared" si="3"/>
        <v>0</v>
      </c>
      <c r="AR11" s="289">
        <f t="shared" si="3"/>
        <v>0</v>
      </c>
      <c r="AS11" s="289">
        <f t="shared" si="3"/>
        <v>0</v>
      </c>
      <c r="AT11" s="289">
        <f t="shared" si="3"/>
        <v>0</v>
      </c>
      <c r="AU11" s="289">
        <f t="shared" si="3"/>
        <v>6299271.9722500006</v>
      </c>
      <c r="AV11" s="289">
        <f t="shared" si="3"/>
        <v>0</v>
      </c>
      <c r="AW11" s="289">
        <f t="shared" si="3"/>
        <v>1.4551915228366852E-11</v>
      </c>
    </row>
    <row r="12" spans="1:49" s="290" customFormat="1">
      <c r="A12" s="291"/>
      <c r="B12" s="292" t="s">
        <v>176</v>
      </c>
      <c r="C12" s="293"/>
      <c r="D12" s="294">
        <f>D11</f>
        <v>5317288.1227500001</v>
      </c>
      <c r="E12" s="294"/>
      <c r="F12" s="295">
        <f>F11</f>
        <v>0</v>
      </c>
      <c r="G12" s="295">
        <f>G11+F12</f>
        <v>0</v>
      </c>
      <c r="H12" s="295">
        <f t="shared" ref="H12:AT12" si="4">H11+G12</f>
        <v>0</v>
      </c>
      <c r="I12" s="295">
        <f t="shared" si="4"/>
        <v>2015282.3142500001</v>
      </c>
      <c r="J12" s="295">
        <f t="shared" si="4"/>
        <v>2015282.3142500001</v>
      </c>
      <c r="K12" s="295">
        <f t="shared" si="4"/>
        <v>2015282.3142500001</v>
      </c>
      <c r="L12" s="295">
        <f t="shared" si="4"/>
        <v>2874414.4818500001</v>
      </c>
      <c r="M12" s="295">
        <f t="shared" si="4"/>
        <v>2874414.4818500001</v>
      </c>
      <c r="N12" s="295">
        <f t="shared" si="4"/>
        <v>4199594.63325</v>
      </c>
      <c r="O12" s="295">
        <f t="shared" si="4"/>
        <v>5317288.1227500001</v>
      </c>
      <c r="P12" s="295">
        <f t="shared" si="4"/>
        <v>5317288.1227500001</v>
      </c>
      <c r="Q12" s="295">
        <f t="shared" si="4"/>
        <v>5317288.1227500001</v>
      </c>
      <c r="R12" s="295">
        <f t="shared" si="4"/>
        <v>6409444.2822500002</v>
      </c>
      <c r="S12" s="295">
        <f>S11+R12</f>
        <v>8042206.2365000006</v>
      </c>
      <c r="T12" s="295">
        <f t="shared" si="4"/>
        <v>9138010.5860000011</v>
      </c>
      <c r="U12" s="295">
        <f t="shared" si="4"/>
        <v>9138010.5860000011</v>
      </c>
      <c r="V12" s="295">
        <f t="shared" si="4"/>
        <v>9138010.5860000011</v>
      </c>
      <c r="W12" s="295">
        <f t="shared" si="4"/>
        <v>9674968.190750001</v>
      </c>
      <c r="X12" s="295">
        <f t="shared" si="4"/>
        <v>9674968.190750001</v>
      </c>
      <c r="Y12" s="295">
        <f t="shared" si="4"/>
        <v>10226518.555500001</v>
      </c>
      <c r="Z12" s="295">
        <f t="shared" si="4"/>
        <v>10226518.555500001</v>
      </c>
      <c r="AA12" s="295">
        <f t="shared" si="4"/>
        <v>10785365.300250001</v>
      </c>
      <c r="AB12" s="295">
        <f t="shared" si="4"/>
        <v>11325971.095000001</v>
      </c>
      <c r="AC12" s="295">
        <f t="shared" si="4"/>
        <v>11325971.095000001</v>
      </c>
      <c r="AD12" s="295">
        <f t="shared" si="4"/>
        <v>11325971.095000001</v>
      </c>
      <c r="AE12" s="295">
        <f t="shared" si="4"/>
        <v>11325971.095000001</v>
      </c>
      <c r="AF12" s="295">
        <f t="shared" si="4"/>
        <v>11325971.095000001</v>
      </c>
      <c r="AG12" s="295">
        <f t="shared" si="4"/>
        <v>11616560.095000001</v>
      </c>
      <c r="AH12" s="295">
        <f t="shared" si="4"/>
        <v>11616560.095000001</v>
      </c>
      <c r="AI12" s="295">
        <f t="shared" si="4"/>
        <v>11616560.095000001</v>
      </c>
      <c r="AJ12" s="295">
        <f t="shared" si="4"/>
        <v>11616560.095000001</v>
      </c>
      <c r="AK12" s="295">
        <f t="shared" si="4"/>
        <v>11616560.095000001</v>
      </c>
      <c r="AL12" s="295">
        <f t="shared" si="4"/>
        <v>11616560.095000001</v>
      </c>
      <c r="AM12" s="295">
        <f t="shared" si="4"/>
        <v>11616560.095000001</v>
      </c>
      <c r="AN12" s="295">
        <f t="shared" si="4"/>
        <v>11616560.095000001</v>
      </c>
      <c r="AO12" s="295">
        <f t="shared" si="4"/>
        <v>11616560.095000001</v>
      </c>
      <c r="AP12" s="295">
        <f t="shared" si="4"/>
        <v>11616560.095000001</v>
      </c>
      <c r="AQ12" s="295">
        <f t="shared" si="4"/>
        <v>11616560.095000001</v>
      </c>
      <c r="AR12" s="295">
        <f t="shared" si="4"/>
        <v>11616560.095000001</v>
      </c>
      <c r="AS12" s="295">
        <f t="shared" si="4"/>
        <v>11616560.095000001</v>
      </c>
      <c r="AT12" s="295">
        <f t="shared" si="4"/>
        <v>11616560.095000001</v>
      </c>
      <c r="AU12" s="296"/>
      <c r="AV12" s="297"/>
      <c r="AW12" s="297"/>
    </row>
    <row r="13" spans="1:49" s="304" customFormat="1">
      <c r="A13" s="298"/>
      <c r="B13" s="299" t="s">
        <v>177</v>
      </c>
      <c r="C13" s="300"/>
      <c r="D13" s="301">
        <f>D12/$C$11</f>
        <v>0.45773344942610567</v>
      </c>
      <c r="E13" s="301"/>
      <c r="F13" s="301">
        <f>F12/$C$11</f>
        <v>0</v>
      </c>
      <c r="G13" s="301">
        <f t="shared" ref="G13:AT13" si="5">G12/$C$11</f>
        <v>0</v>
      </c>
      <c r="H13" s="301">
        <f t="shared" si="5"/>
        <v>0</v>
      </c>
      <c r="I13" s="301">
        <f t="shared" si="5"/>
        <v>0.1734835698149074</v>
      </c>
      <c r="J13" s="301">
        <f t="shared" si="5"/>
        <v>0.1734835698149074</v>
      </c>
      <c r="K13" s="301">
        <f t="shared" si="5"/>
        <v>0.1734835698149074</v>
      </c>
      <c r="L13" s="301">
        <f t="shared" si="5"/>
        <v>0.24744110634672353</v>
      </c>
      <c r="M13" s="301">
        <f t="shared" si="5"/>
        <v>0.24744110634672353</v>
      </c>
      <c r="N13" s="301">
        <f t="shared" si="5"/>
        <v>0.361517919152124</v>
      </c>
      <c r="O13" s="301">
        <f t="shared" si="5"/>
        <v>0.45773344942610567</v>
      </c>
      <c r="P13" s="301">
        <f t="shared" si="5"/>
        <v>0.45773344942610567</v>
      </c>
      <c r="Q13" s="301">
        <f t="shared" si="5"/>
        <v>0.45773344942610567</v>
      </c>
      <c r="R13" s="301">
        <f t="shared" si="5"/>
        <v>0.55175062409471398</v>
      </c>
      <c r="S13" s="301">
        <f t="shared" si="5"/>
        <v>0.69230530989647499</v>
      </c>
      <c r="T13" s="301">
        <f t="shared" si="5"/>
        <v>0.78663653536585099</v>
      </c>
      <c r="U13" s="301">
        <f t="shared" si="5"/>
        <v>0.78663653536585099</v>
      </c>
      <c r="V13" s="301">
        <f t="shared" si="5"/>
        <v>0.78663653536585099</v>
      </c>
      <c r="W13" s="301">
        <f t="shared" si="5"/>
        <v>0.83285999569823599</v>
      </c>
      <c r="X13" s="301">
        <f t="shared" si="5"/>
        <v>0.83285999569823599</v>
      </c>
      <c r="Y13" s="301">
        <f t="shared" si="5"/>
        <v>0.88033965923369162</v>
      </c>
      <c r="Z13" s="301">
        <f t="shared" si="5"/>
        <v>0.88033965923369162</v>
      </c>
      <c r="AA13" s="301">
        <f t="shared" si="5"/>
        <v>0.92844742437068251</v>
      </c>
      <c r="AB13" s="301">
        <f t="shared" si="5"/>
        <v>0.97498493550383514</v>
      </c>
      <c r="AC13" s="301">
        <f t="shared" si="5"/>
        <v>0.97498493550383514</v>
      </c>
      <c r="AD13" s="301">
        <f t="shared" si="5"/>
        <v>0.97498493550383514</v>
      </c>
      <c r="AE13" s="301">
        <f t="shared" si="5"/>
        <v>0.97498493550383514</v>
      </c>
      <c r="AF13" s="301">
        <f t="shared" si="5"/>
        <v>0.97498493550383514</v>
      </c>
      <c r="AG13" s="301">
        <f t="shared" si="5"/>
        <v>1</v>
      </c>
      <c r="AH13" s="301">
        <f t="shared" si="5"/>
        <v>1</v>
      </c>
      <c r="AI13" s="301">
        <f t="shared" si="5"/>
        <v>1</v>
      </c>
      <c r="AJ13" s="301">
        <f t="shared" si="5"/>
        <v>1</v>
      </c>
      <c r="AK13" s="301">
        <f t="shared" si="5"/>
        <v>1</v>
      </c>
      <c r="AL13" s="301">
        <f t="shared" si="5"/>
        <v>1</v>
      </c>
      <c r="AM13" s="301">
        <f t="shared" si="5"/>
        <v>1</v>
      </c>
      <c r="AN13" s="301">
        <f t="shared" si="5"/>
        <v>1</v>
      </c>
      <c r="AO13" s="301">
        <f t="shared" si="5"/>
        <v>1</v>
      </c>
      <c r="AP13" s="301">
        <f t="shared" si="5"/>
        <v>1</v>
      </c>
      <c r="AQ13" s="301">
        <f t="shared" si="5"/>
        <v>1</v>
      </c>
      <c r="AR13" s="301">
        <f t="shared" si="5"/>
        <v>1</v>
      </c>
      <c r="AS13" s="301">
        <f t="shared" si="5"/>
        <v>1</v>
      </c>
      <c r="AT13" s="301">
        <f t="shared" si="5"/>
        <v>1</v>
      </c>
      <c r="AU13" s="302"/>
      <c r="AV13" s="303"/>
    </row>
    <row r="14" spans="1:49" s="310" customFormat="1">
      <c r="A14" s="305"/>
      <c r="B14" s="306"/>
      <c r="C14" s="307"/>
      <c r="D14" s="307"/>
      <c r="E14" s="307"/>
      <c r="F14" s="308"/>
      <c r="G14" s="308"/>
      <c r="H14" s="308"/>
      <c r="I14" s="308"/>
      <c r="J14" s="308"/>
      <c r="K14" s="308"/>
      <c r="L14" s="308"/>
      <c r="M14" s="308"/>
      <c r="N14" s="308"/>
      <c r="O14" s="308"/>
      <c r="P14" s="308"/>
      <c r="Q14" s="308"/>
      <c r="R14" s="308"/>
      <c r="S14" s="308"/>
      <c r="T14" s="308"/>
      <c r="U14" s="308"/>
      <c r="V14" s="308"/>
      <c r="W14" s="308"/>
      <c r="X14" s="308"/>
      <c r="Y14" s="308"/>
      <c r="Z14" s="308"/>
      <c r="AA14" s="308"/>
      <c r="AB14" s="308"/>
      <c r="AC14" s="308"/>
      <c r="AD14" s="308"/>
      <c r="AE14" s="308"/>
      <c r="AF14" s="308"/>
      <c r="AG14" s="308"/>
      <c r="AH14" s="308"/>
      <c r="AI14" s="308"/>
      <c r="AJ14" s="308"/>
      <c r="AK14" s="308"/>
      <c r="AL14" s="308"/>
      <c r="AM14" s="308"/>
      <c r="AN14" s="308"/>
      <c r="AO14" s="308"/>
      <c r="AP14" s="308"/>
      <c r="AQ14" s="308"/>
      <c r="AR14" s="308"/>
      <c r="AS14" s="308"/>
      <c r="AT14" s="308"/>
      <c r="AU14" s="308"/>
      <c r="AV14" s="309"/>
    </row>
    <row r="15" spans="1:49" ht="22.5">
      <c r="A15" s="311" t="s">
        <v>160</v>
      </c>
      <c r="B15" s="311" t="s">
        <v>161</v>
      </c>
      <c r="C15" s="312" t="s">
        <v>178</v>
      </c>
      <c r="D15" s="268" t="s">
        <v>163</v>
      </c>
      <c r="E15" s="269"/>
      <c r="F15" s="270">
        <v>42948</v>
      </c>
      <c r="G15" s="270">
        <v>42979</v>
      </c>
      <c r="H15" s="270">
        <v>43009</v>
      </c>
      <c r="I15" s="270">
        <v>43040</v>
      </c>
      <c r="J15" s="270">
        <v>43070</v>
      </c>
      <c r="K15" s="270">
        <v>43101</v>
      </c>
      <c r="L15" s="270">
        <v>43132</v>
      </c>
      <c r="M15" s="270">
        <v>43160</v>
      </c>
      <c r="N15" s="270">
        <v>43191</v>
      </c>
      <c r="O15" s="270">
        <v>43221</v>
      </c>
      <c r="P15" s="270">
        <v>43252</v>
      </c>
      <c r="Q15" s="270">
        <v>43282</v>
      </c>
      <c r="R15" s="270">
        <v>43313</v>
      </c>
      <c r="S15" s="270">
        <v>43344</v>
      </c>
      <c r="T15" s="270">
        <v>43374</v>
      </c>
      <c r="U15" s="270">
        <v>43405</v>
      </c>
      <c r="V15" s="270">
        <v>43435</v>
      </c>
      <c r="W15" s="270">
        <v>43466</v>
      </c>
      <c r="X15" s="270">
        <v>43497</v>
      </c>
      <c r="Y15" s="270">
        <v>43525</v>
      </c>
      <c r="Z15" s="270">
        <v>43556</v>
      </c>
      <c r="AA15" s="270">
        <v>43586</v>
      </c>
      <c r="AB15" s="270">
        <v>43617</v>
      </c>
      <c r="AC15" s="270">
        <v>43647</v>
      </c>
      <c r="AD15" s="270">
        <v>43678</v>
      </c>
      <c r="AE15" s="270">
        <v>43709</v>
      </c>
      <c r="AF15" s="270">
        <v>43739</v>
      </c>
      <c r="AG15" s="270">
        <v>43770</v>
      </c>
      <c r="AH15" s="270">
        <v>43800</v>
      </c>
      <c r="AI15" s="270">
        <v>43831</v>
      </c>
      <c r="AJ15" s="270">
        <v>43862</v>
      </c>
      <c r="AK15" s="270">
        <v>43891</v>
      </c>
      <c r="AL15" s="270">
        <v>43922</v>
      </c>
      <c r="AM15" s="270">
        <v>43952</v>
      </c>
      <c r="AN15" s="270">
        <v>43983</v>
      </c>
      <c r="AO15" s="270">
        <v>44013</v>
      </c>
      <c r="AP15" s="270">
        <v>44044</v>
      </c>
      <c r="AQ15" s="270">
        <v>44075</v>
      </c>
      <c r="AR15" s="270">
        <v>44105</v>
      </c>
      <c r="AS15" s="270">
        <v>44136</v>
      </c>
      <c r="AT15" s="270">
        <v>44166</v>
      </c>
      <c r="AU15" s="271" t="s">
        <v>164</v>
      </c>
      <c r="AV15" s="271" t="s">
        <v>165</v>
      </c>
      <c r="AW15" s="271" t="s">
        <v>166</v>
      </c>
    </row>
    <row r="16" spans="1:49" s="277" customFormat="1" ht="12" customHeight="1">
      <c r="A16" s="276"/>
      <c r="B16" s="273" t="s">
        <v>179</v>
      </c>
      <c r="C16" s="313">
        <f>'[49]Plan de financement'!H3</f>
        <v>2455687.7200000002</v>
      </c>
      <c r="D16" s="275">
        <f>SUM(F16:Q16)</f>
        <v>1227843.8600000001</v>
      </c>
      <c r="E16" s="282"/>
      <c r="F16" s="283"/>
      <c r="G16" s="285"/>
      <c r="H16" s="285"/>
      <c r="I16" s="314"/>
      <c r="J16" s="286"/>
      <c r="K16" s="286"/>
      <c r="L16" s="286"/>
      <c r="M16" s="315"/>
      <c r="N16" s="286"/>
      <c r="O16" s="315"/>
      <c r="P16" s="286">
        <f>'[49]Plan de trésorerie'!N3</f>
        <v>1227843.8600000001</v>
      </c>
      <c r="Q16" s="286"/>
      <c r="R16" s="315"/>
      <c r="S16" s="286"/>
      <c r="T16" s="286"/>
      <c r="U16" s="315"/>
      <c r="V16" s="286"/>
      <c r="W16" s="286"/>
      <c r="X16" s="286"/>
      <c r="Y16" s="286"/>
      <c r="Z16" s="286">
        <f>'[49]Plan de trésorerie'!N7</f>
        <v>613921.93000000005</v>
      </c>
      <c r="AA16" s="286"/>
      <c r="AB16" s="286"/>
      <c r="AC16" s="286"/>
      <c r="AD16" s="286"/>
      <c r="AE16" s="286">
        <f>'[49]Plan de trésorerie'!N9</f>
        <v>613921.93000000005</v>
      </c>
      <c r="AF16" s="286"/>
      <c r="AG16" s="286"/>
      <c r="AH16" s="286"/>
      <c r="AI16" s="286"/>
      <c r="AJ16" s="286"/>
      <c r="AK16" s="286"/>
      <c r="AL16" s="286"/>
      <c r="AM16" s="286"/>
      <c r="AN16" s="286"/>
      <c r="AO16" s="286"/>
      <c r="AP16" s="286"/>
      <c r="AQ16" s="286"/>
      <c r="AR16" s="286"/>
      <c r="AS16" s="286"/>
      <c r="AT16" s="286"/>
      <c r="AU16" s="276">
        <f t="shared" ref="AU16:AU22" si="6">SUM(R16:AT16)</f>
        <v>1227843.8600000001</v>
      </c>
      <c r="AV16" s="276">
        <f t="shared" ref="AV16:AV22" si="7">C16-(AU16+D16)</f>
        <v>0</v>
      </c>
      <c r="AW16" s="276">
        <f t="shared" ref="AW16:AW22" si="8">C16-D16-AU16-AV16</f>
        <v>0</v>
      </c>
    </row>
    <row r="17" spans="1:49" s="277" customFormat="1">
      <c r="A17" s="276"/>
      <c r="B17" s="273" t="s">
        <v>180</v>
      </c>
      <c r="C17" s="313">
        <f>'[49]Plan de financement'!H10</f>
        <v>5854058.7599999998</v>
      </c>
      <c r="D17" s="275">
        <f>SUM(G17:Q17)</f>
        <v>5181600</v>
      </c>
      <c r="E17" s="275">
        <f>C17-SUM(F17:AT17)</f>
        <v>-0.24000000022351742</v>
      </c>
      <c r="F17" s="281"/>
      <c r="G17" s="285"/>
      <c r="H17" s="285"/>
      <c r="I17" s="286">
        <v>2015282</v>
      </c>
      <c r="J17" s="286"/>
      <c r="K17" s="286"/>
      <c r="L17" s="286">
        <v>859132</v>
      </c>
      <c r="M17" s="286"/>
      <c r="N17" s="286">
        <v>1325181</v>
      </c>
      <c r="O17" s="286">
        <v>982005</v>
      </c>
      <c r="P17" s="286"/>
      <c r="Q17" s="286"/>
      <c r="R17" s="286"/>
      <c r="S17" s="286">
        <v>672459</v>
      </c>
      <c r="T17" s="286"/>
      <c r="U17" s="286"/>
      <c r="V17" s="286"/>
      <c r="W17" s="286"/>
      <c r="X17" s="286"/>
      <c r="Y17" s="286"/>
      <c r="Z17" s="286"/>
      <c r="AA17" s="315"/>
      <c r="AB17" s="286"/>
      <c r="AC17" s="286"/>
      <c r="AD17" s="286"/>
      <c r="AE17" s="286"/>
      <c r="AF17" s="286"/>
      <c r="AG17" s="286"/>
      <c r="AH17" s="286"/>
      <c r="AI17" s="286"/>
      <c r="AJ17" s="286"/>
      <c r="AK17" s="286"/>
      <c r="AL17" s="286"/>
      <c r="AM17" s="286"/>
      <c r="AN17" s="286"/>
      <c r="AO17" s="286"/>
      <c r="AP17" s="286"/>
      <c r="AQ17" s="286"/>
      <c r="AR17" s="286"/>
      <c r="AS17" s="286"/>
      <c r="AT17" s="286"/>
      <c r="AU17" s="276">
        <f t="shared" si="6"/>
        <v>672459</v>
      </c>
      <c r="AV17" s="276">
        <f>C17-(AU17+D17)</f>
        <v>-0.24000000022351742</v>
      </c>
      <c r="AW17" s="276">
        <f t="shared" si="8"/>
        <v>0</v>
      </c>
    </row>
    <row r="18" spans="1:49" s="277" customFormat="1">
      <c r="A18" s="278"/>
      <c r="B18" s="273" t="s">
        <v>181</v>
      </c>
      <c r="C18" s="313"/>
      <c r="D18" s="275">
        <f>C21-SUM(F18:AC18)</f>
        <v>-0.38962106453254819</v>
      </c>
      <c r="E18" s="275"/>
      <c r="F18" s="285"/>
      <c r="G18" s="285"/>
      <c r="H18" s="285"/>
      <c r="I18" s="286"/>
      <c r="J18" s="286"/>
      <c r="K18" s="286"/>
      <c r="L18" s="286"/>
      <c r="M18" s="286"/>
      <c r="N18" s="286"/>
      <c r="O18" s="286"/>
      <c r="P18" s="286"/>
      <c r="Q18" s="286"/>
      <c r="R18" s="286"/>
      <c r="S18" s="286">
        <v>962863</v>
      </c>
      <c r="T18" s="286">
        <v>1093245</v>
      </c>
      <c r="U18" s="286"/>
      <c r="V18" s="286"/>
      <c r="W18" s="286">
        <v>536957</v>
      </c>
      <c r="X18" s="286"/>
      <c r="Y18" s="286">
        <v>496476</v>
      </c>
      <c r="Z18" s="286"/>
      <c r="AA18" s="286"/>
      <c r="AB18" s="286">
        <v>217273</v>
      </c>
      <c r="AC18" s="286"/>
      <c r="AD18" s="286">
        <v>-2480111</v>
      </c>
      <c r="AE18" s="286"/>
      <c r="AF18" s="286"/>
      <c r="AG18" s="286"/>
      <c r="AH18" s="286"/>
      <c r="AI18" s="286"/>
      <c r="AJ18" s="286"/>
      <c r="AK18" s="286"/>
      <c r="AL18" s="286"/>
      <c r="AM18" s="286"/>
      <c r="AN18" s="286"/>
      <c r="AO18" s="286"/>
      <c r="AP18" s="286">
        <v>-826703</v>
      </c>
      <c r="AQ18" s="286"/>
      <c r="AR18" s="286"/>
      <c r="AS18" s="286"/>
      <c r="AT18" s="286"/>
      <c r="AU18" s="276">
        <f>SUM(R18:AT18)</f>
        <v>0</v>
      </c>
      <c r="AV18" s="276">
        <f>C18-(AU18+D18)</f>
        <v>0.38962106453254819</v>
      </c>
      <c r="AW18" s="276">
        <f>C18-D18-AU18-AV18</f>
        <v>0</v>
      </c>
    </row>
    <row r="19" spans="1:49" s="277" customFormat="1">
      <c r="A19" s="278"/>
      <c r="B19" s="273" t="s">
        <v>182</v>
      </c>
      <c r="C19" s="313"/>
      <c r="D19" s="275">
        <f>SUM(F19:Q19)</f>
        <v>0</v>
      </c>
      <c r="E19" s="275"/>
      <c r="F19" s="286"/>
      <c r="G19" s="286"/>
      <c r="H19" s="286"/>
      <c r="I19" s="286"/>
      <c r="J19" s="286"/>
      <c r="K19" s="286"/>
      <c r="L19" s="286"/>
      <c r="M19" s="286"/>
      <c r="N19" s="286"/>
      <c r="O19" s="286"/>
      <c r="P19" s="286"/>
      <c r="Q19" s="286"/>
      <c r="R19" s="286"/>
      <c r="S19" s="286"/>
      <c r="T19" s="286"/>
      <c r="U19" s="286"/>
      <c r="V19" s="286"/>
      <c r="W19" s="286"/>
      <c r="X19" s="286"/>
      <c r="Y19" s="286"/>
      <c r="Z19" s="286"/>
      <c r="AA19" s="286"/>
      <c r="AB19" s="286"/>
      <c r="AC19" s="286"/>
      <c r="AD19" s="286"/>
      <c r="AE19" s="286"/>
      <c r="AF19" s="286"/>
      <c r="AG19" s="286"/>
      <c r="AH19" s="286"/>
      <c r="AI19" s="286"/>
      <c r="AJ19" s="286"/>
      <c r="AK19" s="286"/>
      <c r="AL19" s="286"/>
      <c r="AM19" s="286"/>
      <c r="AN19" s="286"/>
      <c r="AO19" s="286"/>
      <c r="AP19" s="286"/>
      <c r="AQ19" s="286"/>
      <c r="AR19" s="286"/>
      <c r="AS19" s="286"/>
      <c r="AT19" s="286"/>
      <c r="AU19" s="276">
        <f t="shared" si="6"/>
        <v>0</v>
      </c>
      <c r="AV19" s="276">
        <f t="shared" si="7"/>
        <v>0</v>
      </c>
      <c r="AW19" s="276">
        <f>C19-D19-AU19-AV19</f>
        <v>0</v>
      </c>
    </row>
    <row r="20" spans="1:49" s="277" customFormat="1">
      <c r="A20" s="285"/>
      <c r="B20" s="273" t="s">
        <v>183</v>
      </c>
      <c r="C20" s="313"/>
      <c r="D20" s="275">
        <f>SUM(F20:Q20)</f>
        <v>0</v>
      </c>
      <c r="E20" s="275"/>
      <c r="F20" s="285"/>
      <c r="G20" s="285"/>
      <c r="H20" s="285"/>
      <c r="I20" s="286"/>
      <c r="J20" s="286"/>
      <c r="K20" s="286"/>
      <c r="L20" s="286"/>
      <c r="M20" s="286"/>
      <c r="N20" s="286"/>
      <c r="O20" s="286"/>
      <c r="P20" s="286"/>
      <c r="Q20" s="286"/>
      <c r="R20" s="286"/>
      <c r="S20" s="286"/>
      <c r="T20" s="286"/>
      <c r="U20" s="286"/>
      <c r="V20" s="286"/>
      <c r="W20" s="286"/>
      <c r="X20" s="286"/>
      <c r="Y20" s="286"/>
      <c r="Z20" s="286"/>
      <c r="AA20" s="286"/>
      <c r="AB20" s="286"/>
      <c r="AC20" s="286"/>
      <c r="AD20" s="286"/>
      <c r="AE20" s="286"/>
      <c r="AF20" s="286"/>
      <c r="AG20" s="286"/>
      <c r="AH20" s="286"/>
      <c r="AI20" s="286"/>
      <c r="AJ20" s="286"/>
      <c r="AK20" s="286"/>
      <c r="AL20" s="286"/>
      <c r="AM20" s="286"/>
      <c r="AN20" s="286"/>
      <c r="AO20" s="286"/>
      <c r="AP20" s="286"/>
      <c r="AQ20" s="286"/>
      <c r="AR20" s="286"/>
      <c r="AS20" s="286"/>
      <c r="AT20" s="286"/>
      <c r="AU20" s="276">
        <f t="shared" si="6"/>
        <v>0</v>
      </c>
      <c r="AV20" s="276">
        <f t="shared" si="7"/>
        <v>0</v>
      </c>
      <c r="AW20" s="276">
        <f>C20-D20-AU20-AV20</f>
        <v>0</v>
      </c>
    </row>
    <row r="21" spans="1:49" s="277" customFormat="1">
      <c r="A21" s="285"/>
      <c r="B21" s="273" t="s">
        <v>46</v>
      </c>
      <c r="C21" s="313">
        <f>'[49]Plan de financement'!H4</f>
        <v>3306813.6103789355</v>
      </c>
      <c r="D21" s="275">
        <f>SUM(F21:Q21)</f>
        <v>0</v>
      </c>
      <c r="E21" s="275">
        <f>C21-SUM(F21:AT21)</f>
        <v>0</v>
      </c>
      <c r="F21" s="285"/>
      <c r="G21" s="285"/>
      <c r="H21" s="285"/>
      <c r="I21" s="286"/>
      <c r="J21" s="286"/>
      <c r="K21" s="286"/>
      <c r="L21" s="286"/>
      <c r="M21" s="286"/>
      <c r="N21" s="286"/>
      <c r="O21" s="286"/>
      <c r="P21" s="286"/>
      <c r="Q21" s="286"/>
      <c r="R21" s="286"/>
      <c r="S21" s="286"/>
      <c r="T21" s="286"/>
      <c r="U21" s="286"/>
      <c r="V21" s="286"/>
      <c r="W21" s="286"/>
      <c r="X21" s="286"/>
      <c r="Y21" s="286"/>
      <c r="Z21" s="286"/>
      <c r="AA21" s="286"/>
      <c r="AB21" s="286"/>
      <c r="AC21" s="286"/>
      <c r="AD21" s="286">
        <f>'[49]Plan de trésorerie'!Q7+'[49]Plan de trésorerie'!Q3</f>
        <v>2480110.2077842015</v>
      </c>
      <c r="AE21" s="286"/>
      <c r="AF21" s="286"/>
      <c r="AG21" s="286"/>
      <c r="AH21" s="286"/>
      <c r="AI21" s="286"/>
      <c r="AJ21" s="286"/>
      <c r="AK21" s="286"/>
      <c r="AL21" s="286"/>
      <c r="AM21" s="286"/>
      <c r="AN21" s="286"/>
      <c r="AO21" s="286"/>
      <c r="AP21" s="286">
        <f>'[49]Plan de trésorerie'!Q9</f>
        <v>826703.40259473387</v>
      </c>
      <c r="AQ21" s="286"/>
      <c r="AR21" s="286"/>
      <c r="AS21" s="286"/>
      <c r="AT21" s="286"/>
      <c r="AU21" s="276">
        <f t="shared" si="6"/>
        <v>3306813.6103789355</v>
      </c>
      <c r="AV21" s="276">
        <f>C21-(AU21+D21)</f>
        <v>0</v>
      </c>
      <c r="AW21" s="276">
        <f>C21-D21-AU21-AV21</f>
        <v>0</v>
      </c>
    </row>
    <row r="22" spans="1:49" s="277" customFormat="1">
      <c r="A22" s="285"/>
      <c r="B22" s="273"/>
      <c r="C22" s="313"/>
      <c r="D22" s="275">
        <f>SUM(F22:Q22)</f>
        <v>0</v>
      </c>
      <c r="E22" s="275"/>
      <c r="F22" s="285"/>
      <c r="G22" s="285"/>
      <c r="H22" s="285"/>
      <c r="I22" s="286"/>
      <c r="J22" s="286"/>
      <c r="K22" s="286"/>
      <c r="L22" s="286"/>
      <c r="M22" s="286"/>
      <c r="N22" s="286"/>
      <c r="O22" s="286"/>
      <c r="P22" s="286"/>
      <c r="Q22" s="286"/>
      <c r="R22" s="286"/>
      <c r="S22" s="286"/>
      <c r="T22" s="286"/>
      <c r="U22" s="286"/>
      <c r="V22" s="286"/>
      <c r="W22" s="286"/>
      <c r="X22" s="286"/>
      <c r="Y22" s="286"/>
      <c r="Z22" s="286"/>
      <c r="AA22" s="286"/>
      <c r="AB22" s="286"/>
      <c r="AC22" s="286"/>
      <c r="AD22" s="286"/>
      <c r="AE22" s="286"/>
      <c r="AF22" s="286"/>
      <c r="AG22" s="286"/>
      <c r="AH22" s="286"/>
      <c r="AI22" s="286"/>
      <c r="AJ22" s="286"/>
      <c r="AK22" s="286"/>
      <c r="AL22" s="286"/>
      <c r="AM22" s="286"/>
      <c r="AN22" s="286"/>
      <c r="AO22" s="286"/>
      <c r="AP22" s="286"/>
      <c r="AQ22" s="286"/>
      <c r="AR22" s="286"/>
      <c r="AS22" s="286"/>
      <c r="AT22" s="286"/>
      <c r="AU22" s="276">
        <f t="shared" si="6"/>
        <v>0</v>
      </c>
      <c r="AV22" s="276">
        <f t="shared" si="7"/>
        <v>0</v>
      </c>
      <c r="AW22" s="276">
        <f t="shared" si="8"/>
        <v>0</v>
      </c>
    </row>
    <row r="23" spans="1:49" s="290" customFormat="1">
      <c r="A23" s="291"/>
      <c r="B23" s="288" t="s">
        <v>175</v>
      </c>
      <c r="C23" s="289">
        <f>SUM(C16:C22)</f>
        <v>11616560.090378936</v>
      </c>
      <c r="D23" s="289">
        <f>SUM(D16:D22)</f>
        <v>6409443.4703789353</v>
      </c>
      <c r="E23" s="289"/>
      <c r="F23" s="289">
        <f t="shared" ref="F23:AW23" si="9">SUM(F16:F22)</f>
        <v>0</v>
      </c>
      <c r="G23" s="289">
        <f t="shared" si="9"/>
        <v>0</v>
      </c>
      <c r="H23" s="289">
        <f t="shared" si="9"/>
        <v>0</v>
      </c>
      <c r="I23" s="289">
        <f t="shared" si="9"/>
        <v>2015282</v>
      </c>
      <c r="J23" s="289">
        <f t="shared" si="9"/>
        <v>0</v>
      </c>
      <c r="K23" s="289">
        <f t="shared" si="9"/>
        <v>0</v>
      </c>
      <c r="L23" s="289">
        <f t="shared" si="9"/>
        <v>859132</v>
      </c>
      <c r="M23" s="289">
        <f t="shared" si="9"/>
        <v>0</v>
      </c>
      <c r="N23" s="289">
        <f t="shared" si="9"/>
        <v>1325181</v>
      </c>
      <c r="O23" s="289">
        <f t="shared" si="9"/>
        <v>982005</v>
      </c>
      <c r="P23" s="289">
        <f t="shared" si="9"/>
        <v>1227843.8600000001</v>
      </c>
      <c r="Q23" s="289">
        <f t="shared" si="9"/>
        <v>0</v>
      </c>
      <c r="R23" s="289">
        <f t="shared" si="9"/>
        <v>0</v>
      </c>
      <c r="S23" s="289">
        <f>SUM(S16:S22)</f>
        <v>1635322</v>
      </c>
      <c r="T23" s="289">
        <f t="shared" si="9"/>
        <v>1093245</v>
      </c>
      <c r="U23" s="289">
        <f t="shared" si="9"/>
        <v>0</v>
      </c>
      <c r="V23" s="289">
        <f t="shared" si="9"/>
        <v>0</v>
      </c>
      <c r="W23" s="289">
        <f t="shared" si="9"/>
        <v>536957</v>
      </c>
      <c r="X23" s="289">
        <f t="shared" si="9"/>
        <v>0</v>
      </c>
      <c r="Y23" s="289">
        <f t="shared" si="9"/>
        <v>496476</v>
      </c>
      <c r="Z23" s="289">
        <f t="shared" si="9"/>
        <v>613921.93000000005</v>
      </c>
      <c r="AA23" s="289">
        <f t="shared" si="9"/>
        <v>0</v>
      </c>
      <c r="AB23" s="289">
        <f t="shared" si="9"/>
        <v>217273</v>
      </c>
      <c r="AC23" s="289">
        <f t="shared" si="9"/>
        <v>0</v>
      </c>
      <c r="AD23" s="289">
        <f t="shared" si="9"/>
        <v>-0.79221579851582646</v>
      </c>
      <c r="AE23" s="289">
        <f t="shared" si="9"/>
        <v>613921.93000000005</v>
      </c>
      <c r="AF23" s="289">
        <f t="shared" si="9"/>
        <v>0</v>
      </c>
      <c r="AG23" s="289">
        <f t="shared" si="9"/>
        <v>0</v>
      </c>
      <c r="AH23" s="289">
        <f t="shared" si="9"/>
        <v>0</v>
      </c>
      <c r="AI23" s="289">
        <f t="shared" si="9"/>
        <v>0</v>
      </c>
      <c r="AJ23" s="289">
        <f t="shared" si="9"/>
        <v>0</v>
      </c>
      <c r="AK23" s="289">
        <f t="shared" si="9"/>
        <v>0</v>
      </c>
      <c r="AL23" s="289">
        <f t="shared" si="9"/>
        <v>0</v>
      </c>
      <c r="AM23" s="289">
        <f t="shared" si="9"/>
        <v>0</v>
      </c>
      <c r="AN23" s="289">
        <f t="shared" si="9"/>
        <v>0</v>
      </c>
      <c r="AO23" s="289">
        <f t="shared" si="9"/>
        <v>0</v>
      </c>
      <c r="AP23" s="289">
        <f t="shared" si="9"/>
        <v>0.40259473386686295</v>
      </c>
      <c r="AQ23" s="289">
        <f t="shared" si="9"/>
        <v>0</v>
      </c>
      <c r="AR23" s="289">
        <f t="shared" si="9"/>
        <v>0</v>
      </c>
      <c r="AS23" s="289">
        <f t="shared" si="9"/>
        <v>0</v>
      </c>
      <c r="AT23" s="289">
        <f t="shared" si="9"/>
        <v>0</v>
      </c>
      <c r="AU23" s="289">
        <f>SUM(AU16:AU22)</f>
        <v>5207116.4703789353</v>
      </c>
      <c r="AV23" s="289">
        <f t="shared" si="9"/>
        <v>0.14962106430903077</v>
      </c>
      <c r="AW23" s="289">
        <f t="shared" si="9"/>
        <v>0</v>
      </c>
    </row>
    <row r="24" spans="1:49" s="316" customFormat="1" ht="12">
      <c r="B24" s="317" t="s">
        <v>176</v>
      </c>
      <c r="C24" s="317"/>
      <c r="D24" s="317">
        <f>D23</f>
        <v>6409443.4703789353</v>
      </c>
      <c r="E24" s="317"/>
      <c r="F24" s="318">
        <f>+F23</f>
        <v>0</v>
      </c>
      <c r="G24" s="318">
        <f>+F24+G23</f>
        <v>0</v>
      </c>
      <c r="H24" s="318">
        <f t="shared" ref="H24:AT24" si="10">+G24+H23</f>
        <v>0</v>
      </c>
      <c r="I24" s="318">
        <f t="shared" si="10"/>
        <v>2015282</v>
      </c>
      <c r="J24" s="318">
        <f t="shared" si="10"/>
        <v>2015282</v>
      </c>
      <c r="K24" s="318">
        <f t="shared" si="10"/>
        <v>2015282</v>
      </c>
      <c r="L24" s="318">
        <f t="shared" si="10"/>
        <v>2874414</v>
      </c>
      <c r="M24" s="318">
        <f t="shared" si="10"/>
        <v>2874414</v>
      </c>
      <c r="N24" s="318">
        <f t="shared" si="10"/>
        <v>4199595</v>
      </c>
      <c r="O24" s="318">
        <f t="shared" si="10"/>
        <v>5181600</v>
      </c>
      <c r="P24" s="318">
        <f t="shared" si="10"/>
        <v>6409443.8600000003</v>
      </c>
      <c r="Q24" s="318">
        <f t="shared" si="10"/>
        <v>6409443.8600000003</v>
      </c>
      <c r="R24" s="318">
        <f t="shared" si="10"/>
        <v>6409443.8600000003</v>
      </c>
      <c r="S24" s="318">
        <f>+R24+S23</f>
        <v>8044765.8600000003</v>
      </c>
      <c r="T24" s="318">
        <f t="shared" si="10"/>
        <v>9138010.8599999994</v>
      </c>
      <c r="U24" s="318">
        <f t="shared" si="10"/>
        <v>9138010.8599999994</v>
      </c>
      <c r="V24" s="318">
        <f t="shared" si="10"/>
        <v>9138010.8599999994</v>
      </c>
      <c r="W24" s="318">
        <f t="shared" si="10"/>
        <v>9674967.8599999994</v>
      </c>
      <c r="X24" s="318">
        <f t="shared" si="10"/>
        <v>9674967.8599999994</v>
      </c>
      <c r="Y24" s="318">
        <f t="shared" si="10"/>
        <v>10171443.859999999</v>
      </c>
      <c r="Z24" s="318">
        <f t="shared" si="10"/>
        <v>10785365.789999999</v>
      </c>
      <c r="AA24" s="318">
        <f t="shared" si="10"/>
        <v>10785365.789999999</v>
      </c>
      <c r="AB24" s="318">
        <f t="shared" si="10"/>
        <v>11002638.789999999</v>
      </c>
      <c r="AC24" s="318">
        <f t="shared" si="10"/>
        <v>11002638.789999999</v>
      </c>
      <c r="AD24" s="318">
        <f t="shared" si="10"/>
        <v>11002637.997784201</v>
      </c>
      <c r="AE24" s="318">
        <f t="shared" si="10"/>
        <v>11616559.927784201</v>
      </c>
      <c r="AF24" s="318">
        <f t="shared" si="10"/>
        <v>11616559.927784201</v>
      </c>
      <c r="AG24" s="318">
        <f t="shared" si="10"/>
        <v>11616559.927784201</v>
      </c>
      <c r="AH24" s="318">
        <f t="shared" si="10"/>
        <v>11616559.927784201</v>
      </c>
      <c r="AI24" s="318">
        <f t="shared" si="10"/>
        <v>11616559.927784201</v>
      </c>
      <c r="AJ24" s="318">
        <f t="shared" si="10"/>
        <v>11616559.927784201</v>
      </c>
      <c r="AK24" s="318">
        <f t="shared" si="10"/>
        <v>11616559.927784201</v>
      </c>
      <c r="AL24" s="318">
        <f t="shared" si="10"/>
        <v>11616559.927784201</v>
      </c>
      <c r="AM24" s="318">
        <f t="shared" si="10"/>
        <v>11616559.927784201</v>
      </c>
      <c r="AN24" s="318">
        <f t="shared" si="10"/>
        <v>11616559.927784201</v>
      </c>
      <c r="AO24" s="318">
        <f t="shared" si="10"/>
        <v>11616559.927784201</v>
      </c>
      <c r="AP24" s="318">
        <f t="shared" si="10"/>
        <v>11616560.330378935</v>
      </c>
      <c r="AQ24" s="318">
        <f t="shared" si="10"/>
        <v>11616560.330378935</v>
      </c>
      <c r="AR24" s="318">
        <f t="shared" si="10"/>
        <v>11616560.330378935</v>
      </c>
      <c r="AS24" s="318">
        <f t="shared" si="10"/>
        <v>11616560.330378935</v>
      </c>
      <c r="AT24" s="318">
        <f t="shared" si="10"/>
        <v>11616560.330378935</v>
      </c>
      <c r="AU24" s="319"/>
    </row>
    <row r="25" spans="1:49" s="324" customFormat="1">
      <c r="A25" s="320"/>
      <c r="B25" s="321" t="s">
        <v>184</v>
      </c>
      <c r="C25" s="321">
        <f>+C23-C11</f>
        <v>-4.6210642904043198E-3</v>
      </c>
      <c r="D25" s="321">
        <f>D24-D12</f>
        <v>1092155.3476289352</v>
      </c>
      <c r="E25" s="321"/>
      <c r="F25" s="321">
        <f t="shared" ref="F25:AT25" si="11">F24-F12</f>
        <v>0</v>
      </c>
      <c r="G25" s="321">
        <f t="shared" si="11"/>
        <v>0</v>
      </c>
      <c r="H25" s="321">
        <f t="shared" si="11"/>
        <v>0</v>
      </c>
      <c r="I25" s="321">
        <f t="shared" si="11"/>
        <v>-0.31425000005401671</v>
      </c>
      <c r="J25" s="321">
        <f t="shared" si="11"/>
        <v>-0.31425000005401671</v>
      </c>
      <c r="K25" s="321">
        <f t="shared" si="11"/>
        <v>-0.31425000005401671</v>
      </c>
      <c r="L25" s="321">
        <f t="shared" si="11"/>
        <v>-0.48185000009834766</v>
      </c>
      <c r="M25" s="321">
        <f t="shared" si="11"/>
        <v>-0.48185000009834766</v>
      </c>
      <c r="N25" s="321">
        <f t="shared" si="11"/>
        <v>0.36675000004470348</v>
      </c>
      <c r="O25" s="321">
        <f t="shared" si="11"/>
        <v>-135688.1227500001</v>
      </c>
      <c r="P25" s="321">
        <f t="shared" si="11"/>
        <v>1092155.7372500002</v>
      </c>
      <c r="Q25" s="321">
        <f t="shared" si="11"/>
        <v>1092155.7372500002</v>
      </c>
      <c r="R25" s="321">
        <f t="shared" si="11"/>
        <v>-0.42224999982863665</v>
      </c>
      <c r="S25" s="321">
        <f>S24-S12</f>
        <v>2559.6234999997541</v>
      </c>
      <c r="T25" s="321">
        <f t="shared" si="11"/>
        <v>0.27399999834597111</v>
      </c>
      <c r="U25" s="321">
        <f t="shared" si="11"/>
        <v>0.27399999834597111</v>
      </c>
      <c r="V25" s="321">
        <f t="shared" si="11"/>
        <v>0.27399999834597111</v>
      </c>
      <c r="W25" s="321">
        <f t="shared" si="11"/>
        <v>-0.33075000159442425</v>
      </c>
      <c r="X25" s="321">
        <f t="shared" si="11"/>
        <v>-0.33075000159442425</v>
      </c>
      <c r="Y25" s="321">
        <f t="shared" si="11"/>
        <v>-55074.695500001311</v>
      </c>
      <c r="Z25" s="321">
        <f t="shared" si="11"/>
        <v>558847.23449999839</v>
      </c>
      <c r="AA25" s="321">
        <f t="shared" si="11"/>
        <v>0.48974999785423279</v>
      </c>
      <c r="AB25" s="321">
        <f t="shared" si="11"/>
        <v>-323332.30500000156</v>
      </c>
      <c r="AC25" s="321">
        <f t="shared" si="11"/>
        <v>-323332.30500000156</v>
      </c>
      <c r="AD25" s="321">
        <f t="shared" si="11"/>
        <v>-323333.09721579961</v>
      </c>
      <c r="AE25" s="321">
        <f t="shared" si="11"/>
        <v>290588.83278420009</v>
      </c>
      <c r="AF25" s="321">
        <f t="shared" si="11"/>
        <v>290588.83278420009</v>
      </c>
      <c r="AG25" s="321">
        <f t="shared" si="11"/>
        <v>-0.16721579991281033</v>
      </c>
      <c r="AH25" s="321">
        <f t="shared" si="11"/>
        <v>-0.16721579991281033</v>
      </c>
      <c r="AI25" s="321">
        <f t="shared" si="11"/>
        <v>-0.16721579991281033</v>
      </c>
      <c r="AJ25" s="321">
        <f t="shared" si="11"/>
        <v>-0.16721579991281033</v>
      </c>
      <c r="AK25" s="321">
        <f t="shared" si="11"/>
        <v>-0.16721579991281033</v>
      </c>
      <c r="AL25" s="321">
        <f t="shared" si="11"/>
        <v>-0.16721579991281033</v>
      </c>
      <c r="AM25" s="321">
        <f t="shared" si="11"/>
        <v>-0.16721579991281033</v>
      </c>
      <c r="AN25" s="321">
        <f t="shared" si="11"/>
        <v>-0.16721579991281033</v>
      </c>
      <c r="AO25" s="321">
        <f t="shared" si="11"/>
        <v>-0.16721579991281033</v>
      </c>
      <c r="AP25" s="322">
        <f t="shared" si="11"/>
        <v>0.23537893407046795</v>
      </c>
      <c r="AQ25" s="321">
        <f t="shared" si="11"/>
        <v>0.23537893407046795</v>
      </c>
      <c r="AR25" s="321">
        <f t="shared" si="11"/>
        <v>0.23537893407046795</v>
      </c>
      <c r="AS25" s="321">
        <f t="shared" si="11"/>
        <v>0.23537893407046795</v>
      </c>
      <c r="AT25" s="321">
        <f t="shared" si="11"/>
        <v>0.23537893407046795</v>
      </c>
      <c r="AU25" s="323"/>
      <c r="AW25" s="321">
        <f>AW22-AW10</f>
        <v>0</v>
      </c>
    </row>
  </sheetData>
  <mergeCells count="1">
    <mergeCell ref="A1:B1"/>
  </mergeCells>
  <pageMargins left="0.70866141732283472" right="0.70866141732283472" top="0.74803149606299213" bottom="0.74803149606299213" header="0.31496062992125984" footer="0.31496062992125984"/>
  <pageSetup paperSize="9" scale="65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F0"/>
  </sheetPr>
  <dimension ref="A1:K21"/>
  <sheetViews>
    <sheetView workbookViewId="0">
      <selection activeCell="E19" sqref="E19"/>
    </sheetView>
  </sheetViews>
  <sheetFormatPr baseColWidth="10" defaultRowHeight="12.75"/>
  <cols>
    <col min="1" max="16384" width="11.42578125" style="1"/>
  </cols>
  <sheetData>
    <row r="1" spans="1:10" ht="13.5">
      <c r="A1" s="666" t="s">
        <v>185</v>
      </c>
      <c r="B1" s="667"/>
      <c r="C1" s="667"/>
      <c r="D1" s="667"/>
      <c r="E1" s="668"/>
      <c r="F1" s="668"/>
      <c r="G1" s="668"/>
      <c r="H1" s="669"/>
    </row>
    <row r="2" spans="1:10" ht="13.5">
      <c r="A2" s="325" t="s">
        <v>186</v>
      </c>
      <c r="B2" s="326">
        <v>43039</v>
      </c>
      <c r="C2" s="327" t="s">
        <v>96</v>
      </c>
      <c r="D2" s="328">
        <v>24</v>
      </c>
      <c r="E2" s="327" t="s">
        <v>187</v>
      </c>
      <c r="F2" s="329">
        <v>43040</v>
      </c>
      <c r="G2" s="330" t="s">
        <v>188</v>
      </c>
      <c r="H2" s="331">
        <v>43769</v>
      </c>
      <c r="I2" s="332">
        <v>44044</v>
      </c>
    </row>
    <row r="3" spans="1:10" ht="14.25" thickBot="1">
      <c r="A3" s="333" t="s">
        <v>189</v>
      </c>
      <c r="B3" s="334" t="s">
        <v>25</v>
      </c>
      <c r="C3" s="334" t="s">
        <v>190</v>
      </c>
      <c r="D3" s="334" t="s">
        <v>191</v>
      </c>
      <c r="E3" s="335" t="s">
        <v>32</v>
      </c>
      <c r="F3" s="335" t="s">
        <v>192</v>
      </c>
      <c r="G3" s="336" t="s">
        <v>10</v>
      </c>
      <c r="H3" s="337" t="s">
        <v>193</v>
      </c>
    </row>
    <row r="4" spans="1:10" ht="13.5">
      <c r="A4" s="338">
        <v>1</v>
      </c>
      <c r="B4" s="339">
        <v>43040</v>
      </c>
      <c r="C4" s="340">
        <v>7.4999999999999997E-3</v>
      </c>
      <c r="D4" s="340">
        <v>1.11E-2</v>
      </c>
      <c r="E4" s="341">
        <f>'[49]Plan de trésorerie'!K2</f>
        <v>2015282</v>
      </c>
      <c r="F4" s="341">
        <f>'[49]Plan de trésorerie'!L2</f>
        <v>0</v>
      </c>
      <c r="G4" s="342">
        <f>E4+F4</f>
        <v>2015282</v>
      </c>
      <c r="H4" s="343">
        <f>(E4*(C4+D4)/365*($H$2-B4))+(F4*(C4+D4)/365*($I$2-B4))</f>
        <v>74865.793837808218</v>
      </c>
      <c r="J4" s="259"/>
    </row>
    <row r="5" spans="1:10" ht="13.5">
      <c r="A5" s="338">
        <v>2</v>
      </c>
      <c r="B5" s="339">
        <v>43101</v>
      </c>
      <c r="C5" s="340">
        <f>C4</f>
        <v>7.4999999999999997E-3</v>
      </c>
      <c r="D5" s="340">
        <v>1.11E-2</v>
      </c>
      <c r="E5" s="341">
        <f>'[49]Plan de trésorerie'!K3</f>
        <v>0</v>
      </c>
      <c r="F5" s="341">
        <f>'[49]Plan de trésorerie'!L3</f>
        <v>0</v>
      </c>
      <c r="G5" s="344">
        <f t="shared" ref="G5:G18" si="0">E5+F5</f>
        <v>0</v>
      </c>
      <c r="H5" s="343">
        <f t="shared" ref="H5:H18" si="1">(E5*(C5+D5)/365*($H$2-B5))+(F5*(C5+D5)/365*($I$2-B5))</f>
        <v>0</v>
      </c>
      <c r="J5" s="259"/>
    </row>
    <row r="6" spans="1:10" ht="13.5">
      <c r="A6" s="338">
        <v>3</v>
      </c>
      <c r="B6" s="339">
        <v>43132</v>
      </c>
      <c r="C6" s="340">
        <f t="shared" ref="C6:C17" si="2">C5</f>
        <v>7.4999999999999997E-3</v>
      </c>
      <c r="D6" s="340">
        <v>1.11E-2</v>
      </c>
      <c r="E6" s="341">
        <f>[49]PRD!L17</f>
        <v>859132</v>
      </c>
      <c r="F6" s="341">
        <v>0</v>
      </c>
      <c r="G6" s="344">
        <f>E6+F6</f>
        <v>859132</v>
      </c>
      <c r="H6" s="343">
        <f t="shared" si="1"/>
        <v>27888.130855890406</v>
      </c>
      <c r="J6" s="259"/>
    </row>
    <row r="7" spans="1:10" ht="13.5">
      <c r="A7" s="338">
        <v>4</v>
      </c>
      <c r="B7" s="339">
        <f>'[49]Plan de trésorerie'!J5</f>
        <v>43191</v>
      </c>
      <c r="C7" s="340">
        <f t="shared" si="2"/>
        <v>7.4999999999999997E-3</v>
      </c>
      <c r="D7" s="340">
        <v>1.11E-2</v>
      </c>
      <c r="E7" s="341">
        <f>'[49]Plan de trésorerie'!K5</f>
        <v>1325181</v>
      </c>
      <c r="F7" s="341">
        <f>'[49]Plan de trésorerie'!L5</f>
        <v>0</v>
      </c>
      <c r="G7" s="344">
        <f t="shared" si="0"/>
        <v>1325181</v>
      </c>
      <c r="H7" s="343">
        <f t="shared" si="1"/>
        <v>39032.207930958903</v>
      </c>
      <c r="J7" s="259"/>
    </row>
    <row r="8" spans="1:10" ht="13.5">
      <c r="A8" s="338">
        <v>5</v>
      </c>
      <c r="B8" s="339">
        <f>'[49]Plan de trésorerie'!J6</f>
        <v>43221</v>
      </c>
      <c r="C8" s="340">
        <f t="shared" si="2"/>
        <v>7.4999999999999997E-3</v>
      </c>
      <c r="D8" s="340">
        <v>1.11E-2</v>
      </c>
      <c r="E8" s="341">
        <f>'[49]Plan de trésorerie'!K6</f>
        <v>982005</v>
      </c>
      <c r="F8" s="341">
        <f>'[49]Plan de trésorerie'!L6</f>
        <v>0</v>
      </c>
      <c r="G8" s="344">
        <f t="shared" si="0"/>
        <v>982005</v>
      </c>
      <c r="H8" s="343">
        <f t="shared" si="1"/>
        <v>27422.960449315062</v>
      </c>
      <c r="J8" s="259"/>
    </row>
    <row r="9" spans="1:10" ht="13.5">
      <c r="A9" s="338">
        <v>6</v>
      </c>
      <c r="B9" s="339">
        <f>'[49]Plan de trésorerie'!J7</f>
        <v>43313</v>
      </c>
      <c r="C9" s="340">
        <f t="shared" si="2"/>
        <v>7.4999999999999997E-3</v>
      </c>
      <c r="D9" s="340">
        <v>1.11E-2</v>
      </c>
      <c r="E9" s="341">
        <f>'[49]Plan de trésorerie'!K7</f>
        <v>0</v>
      </c>
      <c r="F9" s="341">
        <f>'[49]Plan de trésorerie'!L7</f>
        <v>0</v>
      </c>
      <c r="G9" s="344">
        <f t="shared" si="0"/>
        <v>0</v>
      </c>
      <c r="H9" s="343">
        <f t="shared" si="1"/>
        <v>0</v>
      </c>
      <c r="J9" s="259"/>
    </row>
    <row r="10" spans="1:10" ht="13.5">
      <c r="A10" s="338">
        <v>7</v>
      </c>
      <c r="B10" s="339">
        <f>'[49]Plan de trésorerie'!J8</f>
        <v>43344</v>
      </c>
      <c r="C10" s="340">
        <f t="shared" si="2"/>
        <v>7.4999999999999997E-3</v>
      </c>
      <c r="D10" s="340">
        <v>1.11E-2</v>
      </c>
      <c r="E10" s="341">
        <f>'[49]Plan de trésorerie'!K8</f>
        <v>672459</v>
      </c>
      <c r="F10" s="341">
        <f>'[49]Plan de trésorerie'!L8</f>
        <v>962863</v>
      </c>
      <c r="G10" s="344">
        <f t="shared" si="0"/>
        <v>1635322</v>
      </c>
      <c r="H10" s="343">
        <f>(E10*(C10+D10)/365*($H$2-B10))+(F10*(C10+D10)/365*($I$2-B10))</f>
        <v>48910.314123287666</v>
      </c>
      <c r="J10" s="259"/>
    </row>
    <row r="11" spans="1:10" ht="13.5">
      <c r="A11" s="338">
        <v>8</v>
      </c>
      <c r="B11" s="339">
        <f>'[49]Plan de trésorerie'!J9</f>
        <v>43374</v>
      </c>
      <c r="C11" s="340">
        <f t="shared" si="2"/>
        <v>7.4999999999999997E-3</v>
      </c>
      <c r="D11" s="340">
        <v>1.11E-2</v>
      </c>
      <c r="E11" s="341">
        <f>'[49]Plan de trésorerie'!K9</f>
        <v>0</v>
      </c>
      <c r="F11" s="341">
        <f>'[49]Plan de trésorerie'!L9</f>
        <v>1093245</v>
      </c>
      <c r="G11" s="344">
        <f t="shared" si="0"/>
        <v>1093245</v>
      </c>
      <c r="H11" s="343">
        <f t="shared" si="1"/>
        <v>37326.07997260274</v>
      </c>
      <c r="J11" s="259"/>
    </row>
    <row r="12" spans="1:10" ht="13.5">
      <c r="A12" s="338">
        <v>9</v>
      </c>
      <c r="B12" s="339">
        <f>'[49]Plan de trésorerie'!J10</f>
        <v>43466</v>
      </c>
      <c r="C12" s="340">
        <f t="shared" si="2"/>
        <v>7.4999999999999997E-3</v>
      </c>
      <c r="D12" s="340">
        <v>1.11E-2</v>
      </c>
      <c r="E12" s="341">
        <f>'[49]Plan de trésorerie'!K10</f>
        <v>0</v>
      </c>
      <c r="F12" s="341">
        <f>'[49]Plan de trésorerie'!L10</f>
        <v>536957</v>
      </c>
      <c r="G12" s="344">
        <f t="shared" si="0"/>
        <v>536957</v>
      </c>
      <c r="H12" s="343">
        <f t="shared" si="1"/>
        <v>15815.663878356163</v>
      </c>
      <c r="J12" s="259"/>
    </row>
    <row r="13" spans="1:10" ht="13.5">
      <c r="A13" s="338">
        <v>10</v>
      </c>
      <c r="B13" s="339">
        <f>'[49]Plan de trésorerie'!J11</f>
        <v>43525</v>
      </c>
      <c r="C13" s="340">
        <f t="shared" si="2"/>
        <v>7.4999999999999997E-3</v>
      </c>
      <c r="D13" s="340">
        <v>1.11E-2</v>
      </c>
      <c r="E13" s="341">
        <f>'[49]Plan de trésorerie'!K11</f>
        <v>0</v>
      </c>
      <c r="F13" s="341">
        <f>'[49]Plan de trésorerie'!L11</f>
        <v>496476</v>
      </c>
      <c r="G13" s="344">
        <f t="shared" si="0"/>
        <v>496476</v>
      </c>
      <c r="H13" s="343">
        <f t="shared" si="1"/>
        <v>13130.634023013696</v>
      </c>
      <c r="J13" s="259"/>
    </row>
    <row r="14" spans="1:10" ht="13.5">
      <c r="A14" s="338">
        <v>11</v>
      </c>
      <c r="B14" s="339">
        <f>'[49]Plan de trésorerie'!J12</f>
        <v>43586</v>
      </c>
      <c r="C14" s="340">
        <f t="shared" si="2"/>
        <v>7.4999999999999997E-3</v>
      </c>
      <c r="D14" s="340">
        <v>1.11E-2</v>
      </c>
      <c r="E14" s="341">
        <f>'[49]Plan de trésorerie'!K12</f>
        <v>0</v>
      </c>
      <c r="F14" s="341">
        <f>'[49]Plan de trésorerie'!L12</f>
        <v>0</v>
      </c>
      <c r="G14" s="344">
        <f t="shared" si="0"/>
        <v>0</v>
      </c>
      <c r="H14" s="343">
        <f t="shared" si="1"/>
        <v>0</v>
      </c>
      <c r="J14" s="259"/>
    </row>
    <row r="15" spans="1:10" ht="13.5">
      <c r="A15" s="338">
        <v>12</v>
      </c>
      <c r="B15" s="339">
        <f>'[49]Plan de trésorerie'!J13</f>
        <v>43617</v>
      </c>
      <c r="C15" s="340">
        <f t="shared" si="2"/>
        <v>7.4999999999999997E-3</v>
      </c>
      <c r="D15" s="340">
        <v>1.11E-2</v>
      </c>
      <c r="E15" s="341">
        <f>'[49]Plan de trésorerie'!K13</f>
        <v>0</v>
      </c>
      <c r="F15" s="341">
        <f>'[49]Plan de trésorerie'!L13</f>
        <v>217273</v>
      </c>
      <c r="G15" s="344">
        <f t="shared" si="0"/>
        <v>217273</v>
      </c>
      <c r="H15" s="343">
        <f t="shared" si="1"/>
        <v>4727.7414263013698</v>
      </c>
      <c r="J15" s="259"/>
    </row>
    <row r="16" spans="1:10" ht="13.5">
      <c r="A16" s="338">
        <v>13</v>
      </c>
      <c r="B16" s="339">
        <f>'[49]Plan de trésorerie'!J14</f>
        <v>43678</v>
      </c>
      <c r="C16" s="340">
        <f t="shared" si="2"/>
        <v>7.4999999999999997E-3</v>
      </c>
      <c r="D16" s="340">
        <v>1.11E-2</v>
      </c>
      <c r="E16" s="341">
        <f>'[49]Plan de trésorerie'!K14</f>
        <v>0</v>
      </c>
      <c r="F16" s="341"/>
      <c r="G16" s="344">
        <f t="shared" si="0"/>
        <v>0</v>
      </c>
      <c r="H16" s="343">
        <f t="shared" si="1"/>
        <v>0</v>
      </c>
      <c r="J16" s="259"/>
    </row>
    <row r="17" spans="1:11" ht="13.5">
      <c r="A17" s="338">
        <v>14</v>
      </c>
      <c r="B17" s="339">
        <f>'[49]Plan de trésorerie'!J15</f>
        <v>43709</v>
      </c>
      <c r="C17" s="340">
        <f t="shared" si="2"/>
        <v>7.4999999999999997E-3</v>
      </c>
      <c r="D17" s="340">
        <v>1.11E-2</v>
      </c>
      <c r="E17" s="341">
        <f>'[49]Plan de trésorerie'!K15</f>
        <v>0</v>
      </c>
      <c r="F17" s="341"/>
      <c r="G17" s="344">
        <f t="shared" si="0"/>
        <v>0</v>
      </c>
      <c r="H17" s="343">
        <f t="shared" si="1"/>
        <v>0</v>
      </c>
      <c r="J17" s="259"/>
    </row>
    <row r="18" spans="1:11" ht="14.25" thickBot="1">
      <c r="A18" s="338">
        <v>15</v>
      </c>
      <c r="B18" s="339">
        <f>'[49]Plan de trésorerie'!J16</f>
        <v>44044</v>
      </c>
      <c r="C18" s="340">
        <f>C17</f>
        <v>7.4999999999999997E-3</v>
      </c>
      <c r="D18" s="340">
        <v>1.11E-2</v>
      </c>
      <c r="E18" s="341">
        <f>'[49]Plan de trésorerie'!K16</f>
        <v>0</v>
      </c>
      <c r="F18" s="341"/>
      <c r="G18" s="345">
        <f t="shared" si="0"/>
        <v>0</v>
      </c>
      <c r="H18" s="343">
        <f t="shared" si="1"/>
        <v>0</v>
      </c>
      <c r="J18" s="259"/>
    </row>
    <row r="19" spans="1:11" ht="14.25" thickBot="1">
      <c r="A19" s="325" t="s">
        <v>36</v>
      </c>
      <c r="B19" s="346"/>
      <c r="C19" s="347"/>
      <c r="D19" s="348"/>
      <c r="E19" s="349">
        <f>SUM(E4:E18)</f>
        <v>5854059</v>
      </c>
      <c r="F19" s="350">
        <f>SUM(F4:F18)</f>
        <v>3306814</v>
      </c>
      <c r="G19" s="351">
        <f>SUM(G4:G18)</f>
        <v>9160873</v>
      </c>
      <c r="H19" s="352">
        <f>SUM(H4:H18)</f>
        <v>289119.52649753419</v>
      </c>
      <c r="I19" s="2" t="s">
        <v>194</v>
      </c>
      <c r="J19" s="259"/>
      <c r="K19" s="3">
        <f>[55]Bdgt!$L$136-H19</f>
        <v>1469.4735024658148</v>
      </c>
    </row>
    <row r="20" spans="1:11">
      <c r="J20" s="259"/>
    </row>
    <row r="21" spans="1:11">
      <c r="J21" s="259"/>
    </row>
  </sheetData>
  <mergeCells count="1">
    <mergeCell ref="A1:H1"/>
  </mergeCells>
  <pageMargins left="0.7" right="0.7" top="0.75" bottom="0.75" header="0.3" footer="0.3"/>
  <pageSetup paperSize="9" orientation="landscape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F0"/>
    <pageSetUpPr fitToPage="1"/>
  </sheetPr>
  <dimension ref="A1:AK76"/>
  <sheetViews>
    <sheetView showGridLines="0" zoomScale="70" zoomScaleNormal="70" workbookViewId="0">
      <pane xSplit="2" ySplit="5" topLeftCell="U27" activePane="bottomRight" state="frozen"/>
      <selection activeCell="E19" sqref="E19"/>
      <selection pane="topRight" activeCell="E19" sqref="E19"/>
      <selection pane="bottomLeft" activeCell="E19" sqref="E19"/>
      <selection pane="bottomRight" activeCell="E19" sqref="E19"/>
    </sheetView>
  </sheetViews>
  <sheetFormatPr baseColWidth="10" defaultRowHeight="12.75"/>
  <cols>
    <col min="1" max="1" width="11.42578125" style="14"/>
    <col min="2" max="2" width="28.140625" style="14" bestFit="1" customWidth="1"/>
    <col min="3" max="3" width="15.7109375" style="14" customWidth="1"/>
    <col min="4" max="4" width="21.140625" style="14" customWidth="1"/>
    <col min="5" max="5" width="17.5703125" style="14" customWidth="1"/>
    <col min="6" max="6" width="13.5703125" style="14" customWidth="1"/>
    <col min="7" max="7" width="12.7109375" style="14" bestFit="1" customWidth="1"/>
    <col min="8" max="8" width="12.42578125" style="14" customWidth="1"/>
    <col min="9" max="9" width="14.140625" style="14" customWidth="1"/>
    <col min="10" max="10" width="13.28515625" style="14" bestFit="1" customWidth="1"/>
    <col min="11" max="25" width="13.28515625" style="14" customWidth="1"/>
    <col min="26" max="26" width="11.42578125" style="14"/>
    <col min="27" max="27" width="2.85546875" style="305" customWidth="1"/>
    <col min="28" max="28" width="15.7109375" style="14" customWidth="1"/>
    <col min="29" max="30" width="11.42578125" style="14"/>
    <col min="31" max="31" width="3.42578125" style="14" customWidth="1"/>
    <col min="32" max="257" width="11.42578125" style="14"/>
    <col min="258" max="258" width="28.140625" style="14" bestFit="1" customWidth="1"/>
    <col min="259" max="259" width="15.7109375" style="14" customWidth="1"/>
    <col min="260" max="260" width="21.140625" style="14" customWidth="1"/>
    <col min="261" max="261" width="17.5703125" style="14" customWidth="1"/>
    <col min="262" max="262" width="13.5703125" style="14" customWidth="1"/>
    <col min="263" max="263" width="12.7109375" style="14" bestFit="1" customWidth="1"/>
    <col min="264" max="264" width="12.42578125" style="14" customWidth="1"/>
    <col min="265" max="265" width="14.140625" style="14" customWidth="1"/>
    <col min="266" max="266" width="13.28515625" style="14" bestFit="1" customWidth="1"/>
    <col min="267" max="281" width="13.28515625" style="14" customWidth="1"/>
    <col min="282" max="282" width="11.42578125" style="14"/>
    <col min="283" max="283" width="2.85546875" style="14" customWidth="1"/>
    <col min="284" max="284" width="15.7109375" style="14" customWidth="1"/>
    <col min="285" max="286" width="11.42578125" style="14"/>
    <col min="287" max="287" width="3.42578125" style="14" customWidth="1"/>
    <col min="288" max="513" width="11.42578125" style="14"/>
    <col min="514" max="514" width="28.140625" style="14" bestFit="1" customWidth="1"/>
    <col min="515" max="515" width="15.7109375" style="14" customWidth="1"/>
    <col min="516" max="516" width="21.140625" style="14" customWidth="1"/>
    <col min="517" max="517" width="17.5703125" style="14" customWidth="1"/>
    <col min="518" max="518" width="13.5703125" style="14" customWidth="1"/>
    <col min="519" max="519" width="12.7109375" style="14" bestFit="1" customWidth="1"/>
    <col min="520" max="520" width="12.42578125" style="14" customWidth="1"/>
    <col min="521" max="521" width="14.140625" style="14" customWidth="1"/>
    <col min="522" max="522" width="13.28515625" style="14" bestFit="1" customWidth="1"/>
    <col min="523" max="537" width="13.28515625" style="14" customWidth="1"/>
    <col min="538" max="538" width="11.42578125" style="14"/>
    <col min="539" max="539" width="2.85546875" style="14" customWidth="1"/>
    <col min="540" max="540" width="15.7109375" style="14" customWidth="1"/>
    <col min="541" max="542" width="11.42578125" style="14"/>
    <col min="543" max="543" width="3.42578125" style="14" customWidth="1"/>
    <col min="544" max="769" width="11.42578125" style="14"/>
    <col min="770" max="770" width="28.140625" style="14" bestFit="1" customWidth="1"/>
    <col min="771" max="771" width="15.7109375" style="14" customWidth="1"/>
    <col min="772" max="772" width="21.140625" style="14" customWidth="1"/>
    <col min="773" max="773" width="17.5703125" style="14" customWidth="1"/>
    <col min="774" max="774" width="13.5703125" style="14" customWidth="1"/>
    <col min="775" max="775" width="12.7109375" style="14" bestFit="1" customWidth="1"/>
    <col min="776" max="776" width="12.42578125" style="14" customWidth="1"/>
    <col min="777" max="777" width="14.140625" style="14" customWidth="1"/>
    <col min="778" max="778" width="13.28515625" style="14" bestFit="1" customWidth="1"/>
    <col min="779" max="793" width="13.28515625" style="14" customWidth="1"/>
    <col min="794" max="794" width="11.42578125" style="14"/>
    <col min="795" max="795" width="2.85546875" style="14" customWidth="1"/>
    <col min="796" max="796" width="15.7109375" style="14" customWidth="1"/>
    <col min="797" max="798" width="11.42578125" style="14"/>
    <col min="799" max="799" width="3.42578125" style="14" customWidth="1"/>
    <col min="800" max="1025" width="11.42578125" style="14"/>
    <col min="1026" max="1026" width="28.140625" style="14" bestFit="1" customWidth="1"/>
    <col min="1027" max="1027" width="15.7109375" style="14" customWidth="1"/>
    <col min="1028" max="1028" width="21.140625" style="14" customWidth="1"/>
    <col min="1029" max="1029" width="17.5703125" style="14" customWidth="1"/>
    <col min="1030" max="1030" width="13.5703125" style="14" customWidth="1"/>
    <col min="1031" max="1031" width="12.7109375" style="14" bestFit="1" customWidth="1"/>
    <col min="1032" max="1032" width="12.42578125" style="14" customWidth="1"/>
    <col min="1033" max="1033" width="14.140625" style="14" customWidth="1"/>
    <col min="1034" max="1034" width="13.28515625" style="14" bestFit="1" customWidth="1"/>
    <col min="1035" max="1049" width="13.28515625" style="14" customWidth="1"/>
    <col min="1050" max="1050" width="11.42578125" style="14"/>
    <col min="1051" max="1051" width="2.85546875" style="14" customWidth="1"/>
    <col min="1052" max="1052" width="15.7109375" style="14" customWidth="1"/>
    <col min="1053" max="1054" width="11.42578125" style="14"/>
    <col min="1055" max="1055" width="3.42578125" style="14" customWidth="1"/>
    <col min="1056" max="1281" width="11.42578125" style="14"/>
    <col min="1282" max="1282" width="28.140625" style="14" bestFit="1" customWidth="1"/>
    <col min="1283" max="1283" width="15.7109375" style="14" customWidth="1"/>
    <col min="1284" max="1284" width="21.140625" style="14" customWidth="1"/>
    <col min="1285" max="1285" width="17.5703125" style="14" customWidth="1"/>
    <col min="1286" max="1286" width="13.5703125" style="14" customWidth="1"/>
    <col min="1287" max="1287" width="12.7109375" style="14" bestFit="1" customWidth="1"/>
    <col min="1288" max="1288" width="12.42578125" style="14" customWidth="1"/>
    <col min="1289" max="1289" width="14.140625" style="14" customWidth="1"/>
    <col min="1290" max="1290" width="13.28515625" style="14" bestFit="1" customWidth="1"/>
    <col min="1291" max="1305" width="13.28515625" style="14" customWidth="1"/>
    <col min="1306" max="1306" width="11.42578125" style="14"/>
    <col min="1307" max="1307" width="2.85546875" style="14" customWidth="1"/>
    <col min="1308" max="1308" width="15.7109375" style="14" customWidth="1"/>
    <col min="1309" max="1310" width="11.42578125" style="14"/>
    <col min="1311" max="1311" width="3.42578125" style="14" customWidth="1"/>
    <col min="1312" max="1537" width="11.42578125" style="14"/>
    <col min="1538" max="1538" width="28.140625" style="14" bestFit="1" customWidth="1"/>
    <col min="1539" max="1539" width="15.7109375" style="14" customWidth="1"/>
    <col min="1540" max="1540" width="21.140625" style="14" customWidth="1"/>
    <col min="1541" max="1541" width="17.5703125" style="14" customWidth="1"/>
    <col min="1542" max="1542" width="13.5703125" style="14" customWidth="1"/>
    <col min="1543" max="1543" width="12.7109375" style="14" bestFit="1" customWidth="1"/>
    <col min="1544" max="1544" width="12.42578125" style="14" customWidth="1"/>
    <col min="1545" max="1545" width="14.140625" style="14" customWidth="1"/>
    <col min="1546" max="1546" width="13.28515625" style="14" bestFit="1" customWidth="1"/>
    <col min="1547" max="1561" width="13.28515625" style="14" customWidth="1"/>
    <col min="1562" max="1562" width="11.42578125" style="14"/>
    <col min="1563" max="1563" width="2.85546875" style="14" customWidth="1"/>
    <col min="1564" max="1564" width="15.7109375" style="14" customWidth="1"/>
    <col min="1565" max="1566" width="11.42578125" style="14"/>
    <col min="1567" max="1567" width="3.42578125" style="14" customWidth="1"/>
    <col min="1568" max="1793" width="11.42578125" style="14"/>
    <col min="1794" max="1794" width="28.140625" style="14" bestFit="1" customWidth="1"/>
    <col min="1795" max="1795" width="15.7109375" style="14" customWidth="1"/>
    <col min="1796" max="1796" width="21.140625" style="14" customWidth="1"/>
    <col min="1797" max="1797" width="17.5703125" style="14" customWidth="1"/>
    <col min="1798" max="1798" width="13.5703125" style="14" customWidth="1"/>
    <col min="1799" max="1799" width="12.7109375" style="14" bestFit="1" customWidth="1"/>
    <col min="1800" max="1800" width="12.42578125" style="14" customWidth="1"/>
    <col min="1801" max="1801" width="14.140625" style="14" customWidth="1"/>
    <col min="1802" max="1802" width="13.28515625" style="14" bestFit="1" customWidth="1"/>
    <col min="1803" max="1817" width="13.28515625" style="14" customWidth="1"/>
    <col min="1818" max="1818" width="11.42578125" style="14"/>
    <col min="1819" max="1819" width="2.85546875" style="14" customWidth="1"/>
    <col min="1820" max="1820" width="15.7109375" style="14" customWidth="1"/>
    <col min="1821" max="1822" width="11.42578125" style="14"/>
    <col min="1823" max="1823" width="3.42578125" style="14" customWidth="1"/>
    <col min="1824" max="2049" width="11.42578125" style="14"/>
    <col min="2050" max="2050" width="28.140625" style="14" bestFit="1" customWidth="1"/>
    <col min="2051" max="2051" width="15.7109375" style="14" customWidth="1"/>
    <col min="2052" max="2052" width="21.140625" style="14" customWidth="1"/>
    <col min="2053" max="2053" width="17.5703125" style="14" customWidth="1"/>
    <col min="2054" max="2054" width="13.5703125" style="14" customWidth="1"/>
    <col min="2055" max="2055" width="12.7109375" style="14" bestFit="1" customWidth="1"/>
    <col min="2056" max="2056" width="12.42578125" style="14" customWidth="1"/>
    <col min="2057" max="2057" width="14.140625" style="14" customWidth="1"/>
    <col min="2058" max="2058" width="13.28515625" style="14" bestFit="1" customWidth="1"/>
    <col min="2059" max="2073" width="13.28515625" style="14" customWidth="1"/>
    <col min="2074" max="2074" width="11.42578125" style="14"/>
    <col min="2075" max="2075" width="2.85546875" style="14" customWidth="1"/>
    <col min="2076" max="2076" width="15.7109375" style="14" customWidth="1"/>
    <col min="2077" max="2078" width="11.42578125" style="14"/>
    <col min="2079" max="2079" width="3.42578125" style="14" customWidth="1"/>
    <col min="2080" max="2305" width="11.42578125" style="14"/>
    <col min="2306" max="2306" width="28.140625" style="14" bestFit="1" customWidth="1"/>
    <col min="2307" max="2307" width="15.7109375" style="14" customWidth="1"/>
    <col min="2308" max="2308" width="21.140625" style="14" customWidth="1"/>
    <col min="2309" max="2309" width="17.5703125" style="14" customWidth="1"/>
    <col min="2310" max="2310" width="13.5703125" style="14" customWidth="1"/>
    <col min="2311" max="2311" width="12.7109375" style="14" bestFit="1" customWidth="1"/>
    <col min="2312" max="2312" width="12.42578125" style="14" customWidth="1"/>
    <col min="2313" max="2313" width="14.140625" style="14" customWidth="1"/>
    <col min="2314" max="2314" width="13.28515625" style="14" bestFit="1" customWidth="1"/>
    <col min="2315" max="2329" width="13.28515625" style="14" customWidth="1"/>
    <col min="2330" max="2330" width="11.42578125" style="14"/>
    <col min="2331" max="2331" width="2.85546875" style="14" customWidth="1"/>
    <col min="2332" max="2332" width="15.7109375" style="14" customWidth="1"/>
    <col min="2333" max="2334" width="11.42578125" style="14"/>
    <col min="2335" max="2335" width="3.42578125" style="14" customWidth="1"/>
    <col min="2336" max="2561" width="11.42578125" style="14"/>
    <col min="2562" max="2562" width="28.140625" style="14" bestFit="1" customWidth="1"/>
    <col min="2563" max="2563" width="15.7109375" style="14" customWidth="1"/>
    <col min="2564" max="2564" width="21.140625" style="14" customWidth="1"/>
    <col min="2565" max="2565" width="17.5703125" style="14" customWidth="1"/>
    <col min="2566" max="2566" width="13.5703125" style="14" customWidth="1"/>
    <col min="2567" max="2567" width="12.7109375" style="14" bestFit="1" customWidth="1"/>
    <col min="2568" max="2568" width="12.42578125" style="14" customWidth="1"/>
    <col min="2569" max="2569" width="14.140625" style="14" customWidth="1"/>
    <col min="2570" max="2570" width="13.28515625" style="14" bestFit="1" customWidth="1"/>
    <col min="2571" max="2585" width="13.28515625" style="14" customWidth="1"/>
    <col min="2586" max="2586" width="11.42578125" style="14"/>
    <col min="2587" max="2587" width="2.85546875" style="14" customWidth="1"/>
    <col min="2588" max="2588" width="15.7109375" style="14" customWidth="1"/>
    <col min="2589" max="2590" width="11.42578125" style="14"/>
    <col min="2591" max="2591" width="3.42578125" style="14" customWidth="1"/>
    <col min="2592" max="2817" width="11.42578125" style="14"/>
    <col min="2818" max="2818" width="28.140625" style="14" bestFit="1" customWidth="1"/>
    <col min="2819" max="2819" width="15.7109375" style="14" customWidth="1"/>
    <col min="2820" max="2820" width="21.140625" style="14" customWidth="1"/>
    <col min="2821" max="2821" width="17.5703125" style="14" customWidth="1"/>
    <col min="2822" max="2822" width="13.5703125" style="14" customWidth="1"/>
    <col min="2823" max="2823" width="12.7109375" style="14" bestFit="1" customWidth="1"/>
    <col min="2824" max="2824" width="12.42578125" style="14" customWidth="1"/>
    <col min="2825" max="2825" width="14.140625" style="14" customWidth="1"/>
    <col min="2826" max="2826" width="13.28515625" style="14" bestFit="1" customWidth="1"/>
    <col min="2827" max="2841" width="13.28515625" style="14" customWidth="1"/>
    <col min="2842" max="2842" width="11.42578125" style="14"/>
    <col min="2843" max="2843" width="2.85546875" style="14" customWidth="1"/>
    <col min="2844" max="2844" width="15.7109375" style="14" customWidth="1"/>
    <col min="2845" max="2846" width="11.42578125" style="14"/>
    <col min="2847" max="2847" width="3.42578125" style="14" customWidth="1"/>
    <col min="2848" max="3073" width="11.42578125" style="14"/>
    <col min="3074" max="3074" width="28.140625" style="14" bestFit="1" customWidth="1"/>
    <col min="3075" max="3075" width="15.7109375" style="14" customWidth="1"/>
    <col min="3076" max="3076" width="21.140625" style="14" customWidth="1"/>
    <col min="3077" max="3077" width="17.5703125" style="14" customWidth="1"/>
    <col min="3078" max="3078" width="13.5703125" style="14" customWidth="1"/>
    <col min="3079" max="3079" width="12.7109375" style="14" bestFit="1" customWidth="1"/>
    <col min="3080" max="3080" width="12.42578125" style="14" customWidth="1"/>
    <col min="3081" max="3081" width="14.140625" style="14" customWidth="1"/>
    <col min="3082" max="3082" width="13.28515625" style="14" bestFit="1" customWidth="1"/>
    <col min="3083" max="3097" width="13.28515625" style="14" customWidth="1"/>
    <col min="3098" max="3098" width="11.42578125" style="14"/>
    <col min="3099" max="3099" width="2.85546875" style="14" customWidth="1"/>
    <col min="3100" max="3100" width="15.7109375" style="14" customWidth="1"/>
    <col min="3101" max="3102" width="11.42578125" style="14"/>
    <col min="3103" max="3103" width="3.42578125" style="14" customWidth="1"/>
    <col min="3104" max="3329" width="11.42578125" style="14"/>
    <col min="3330" max="3330" width="28.140625" style="14" bestFit="1" customWidth="1"/>
    <col min="3331" max="3331" width="15.7109375" style="14" customWidth="1"/>
    <col min="3332" max="3332" width="21.140625" style="14" customWidth="1"/>
    <col min="3333" max="3333" width="17.5703125" style="14" customWidth="1"/>
    <col min="3334" max="3334" width="13.5703125" style="14" customWidth="1"/>
    <col min="3335" max="3335" width="12.7109375" style="14" bestFit="1" customWidth="1"/>
    <col min="3336" max="3336" width="12.42578125" style="14" customWidth="1"/>
    <col min="3337" max="3337" width="14.140625" style="14" customWidth="1"/>
    <col min="3338" max="3338" width="13.28515625" style="14" bestFit="1" customWidth="1"/>
    <col min="3339" max="3353" width="13.28515625" style="14" customWidth="1"/>
    <col min="3354" max="3354" width="11.42578125" style="14"/>
    <col min="3355" max="3355" width="2.85546875" style="14" customWidth="1"/>
    <col min="3356" max="3356" width="15.7109375" style="14" customWidth="1"/>
    <col min="3357" max="3358" width="11.42578125" style="14"/>
    <col min="3359" max="3359" width="3.42578125" style="14" customWidth="1"/>
    <col min="3360" max="3585" width="11.42578125" style="14"/>
    <col min="3586" max="3586" width="28.140625" style="14" bestFit="1" customWidth="1"/>
    <col min="3587" max="3587" width="15.7109375" style="14" customWidth="1"/>
    <col min="3588" max="3588" width="21.140625" style="14" customWidth="1"/>
    <col min="3589" max="3589" width="17.5703125" style="14" customWidth="1"/>
    <col min="3590" max="3590" width="13.5703125" style="14" customWidth="1"/>
    <col min="3591" max="3591" width="12.7109375" style="14" bestFit="1" customWidth="1"/>
    <col min="3592" max="3592" width="12.42578125" style="14" customWidth="1"/>
    <col min="3593" max="3593" width="14.140625" style="14" customWidth="1"/>
    <col min="3594" max="3594" width="13.28515625" style="14" bestFit="1" customWidth="1"/>
    <col min="3595" max="3609" width="13.28515625" style="14" customWidth="1"/>
    <col min="3610" max="3610" width="11.42578125" style="14"/>
    <col min="3611" max="3611" width="2.85546875" style="14" customWidth="1"/>
    <col min="3612" max="3612" width="15.7109375" style="14" customWidth="1"/>
    <col min="3613" max="3614" width="11.42578125" style="14"/>
    <col min="3615" max="3615" width="3.42578125" style="14" customWidth="1"/>
    <col min="3616" max="3841" width="11.42578125" style="14"/>
    <col min="3842" max="3842" width="28.140625" style="14" bestFit="1" customWidth="1"/>
    <col min="3843" max="3843" width="15.7109375" style="14" customWidth="1"/>
    <col min="3844" max="3844" width="21.140625" style="14" customWidth="1"/>
    <col min="3845" max="3845" width="17.5703125" style="14" customWidth="1"/>
    <col min="3846" max="3846" width="13.5703125" style="14" customWidth="1"/>
    <col min="3847" max="3847" width="12.7109375" style="14" bestFit="1" customWidth="1"/>
    <col min="3848" max="3848" width="12.42578125" style="14" customWidth="1"/>
    <col min="3849" max="3849" width="14.140625" style="14" customWidth="1"/>
    <col min="3850" max="3850" width="13.28515625" style="14" bestFit="1" customWidth="1"/>
    <col min="3851" max="3865" width="13.28515625" style="14" customWidth="1"/>
    <col min="3866" max="3866" width="11.42578125" style="14"/>
    <col min="3867" max="3867" width="2.85546875" style="14" customWidth="1"/>
    <col min="3868" max="3868" width="15.7109375" style="14" customWidth="1"/>
    <col min="3869" max="3870" width="11.42578125" style="14"/>
    <col min="3871" max="3871" width="3.42578125" style="14" customWidth="1"/>
    <col min="3872" max="4097" width="11.42578125" style="14"/>
    <col min="4098" max="4098" width="28.140625" style="14" bestFit="1" customWidth="1"/>
    <col min="4099" max="4099" width="15.7109375" style="14" customWidth="1"/>
    <col min="4100" max="4100" width="21.140625" style="14" customWidth="1"/>
    <col min="4101" max="4101" width="17.5703125" style="14" customWidth="1"/>
    <col min="4102" max="4102" width="13.5703125" style="14" customWidth="1"/>
    <col min="4103" max="4103" width="12.7109375" style="14" bestFit="1" customWidth="1"/>
    <col min="4104" max="4104" width="12.42578125" style="14" customWidth="1"/>
    <col min="4105" max="4105" width="14.140625" style="14" customWidth="1"/>
    <col min="4106" max="4106" width="13.28515625" style="14" bestFit="1" customWidth="1"/>
    <col min="4107" max="4121" width="13.28515625" style="14" customWidth="1"/>
    <col min="4122" max="4122" width="11.42578125" style="14"/>
    <col min="4123" max="4123" width="2.85546875" style="14" customWidth="1"/>
    <col min="4124" max="4124" width="15.7109375" style="14" customWidth="1"/>
    <col min="4125" max="4126" width="11.42578125" style="14"/>
    <col min="4127" max="4127" width="3.42578125" style="14" customWidth="1"/>
    <col min="4128" max="4353" width="11.42578125" style="14"/>
    <col min="4354" max="4354" width="28.140625" style="14" bestFit="1" customWidth="1"/>
    <col min="4355" max="4355" width="15.7109375" style="14" customWidth="1"/>
    <col min="4356" max="4356" width="21.140625" style="14" customWidth="1"/>
    <col min="4357" max="4357" width="17.5703125" style="14" customWidth="1"/>
    <col min="4358" max="4358" width="13.5703125" style="14" customWidth="1"/>
    <col min="4359" max="4359" width="12.7109375" style="14" bestFit="1" customWidth="1"/>
    <col min="4360" max="4360" width="12.42578125" style="14" customWidth="1"/>
    <col min="4361" max="4361" width="14.140625" style="14" customWidth="1"/>
    <col min="4362" max="4362" width="13.28515625" style="14" bestFit="1" customWidth="1"/>
    <col min="4363" max="4377" width="13.28515625" style="14" customWidth="1"/>
    <col min="4378" max="4378" width="11.42578125" style="14"/>
    <col min="4379" max="4379" width="2.85546875" style="14" customWidth="1"/>
    <col min="4380" max="4380" width="15.7109375" style="14" customWidth="1"/>
    <col min="4381" max="4382" width="11.42578125" style="14"/>
    <col min="4383" max="4383" width="3.42578125" style="14" customWidth="1"/>
    <col min="4384" max="4609" width="11.42578125" style="14"/>
    <col min="4610" max="4610" width="28.140625" style="14" bestFit="1" customWidth="1"/>
    <col min="4611" max="4611" width="15.7109375" style="14" customWidth="1"/>
    <col min="4612" max="4612" width="21.140625" style="14" customWidth="1"/>
    <col min="4613" max="4613" width="17.5703125" style="14" customWidth="1"/>
    <col min="4614" max="4614" width="13.5703125" style="14" customWidth="1"/>
    <col min="4615" max="4615" width="12.7109375" style="14" bestFit="1" customWidth="1"/>
    <col min="4616" max="4616" width="12.42578125" style="14" customWidth="1"/>
    <col min="4617" max="4617" width="14.140625" style="14" customWidth="1"/>
    <col min="4618" max="4618" width="13.28515625" style="14" bestFit="1" customWidth="1"/>
    <col min="4619" max="4633" width="13.28515625" style="14" customWidth="1"/>
    <col min="4634" max="4634" width="11.42578125" style="14"/>
    <col min="4635" max="4635" width="2.85546875" style="14" customWidth="1"/>
    <col min="4636" max="4636" width="15.7109375" style="14" customWidth="1"/>
    <col min="4637" max="4638" width="11.42578125" style="14"/>
    <col min="4639" max="4639" width="3.42578125" style="14" customWidth="1"/>
    <col min="4640" max="4865" width="11.42578125" style="14"/>
    <col min="4866" max="4866" width="28.140625" style="14" bestFit="1" customWidth="1"/>
    <col min="4867" max="4867" width="15.7109375" style="14" customWidth="1"/>
    <col min="4868" max="4868" width="21.140625" style="14" customWidth="1"/>
    <col min="4869" max="4869" width="17.5703125" style="14" customWidth="1"/>
    <col min="4870" max="4870" width="13.5703125" style="14" customWidth="1"/>
    <col min="4871" max="4871" width="12.7109375" style="14" bestFit="1" customWidth="1"/>
    <col min="4872" max="4872" width="12.42578125" style="14" customWidth="1"/>
    <col min="4873" max="4873" width="14.140625" style="14" customWidth="1"/>
    <col min="4874" max="4874" width="13.28515625" style="14" bestFit="1" customWidth="1"/>
    <col min="4875" max="4889" width="13.28515625" style="14" customWidth="1"/>
    <col min="4890" max="4890" width="11.42578125" style="14"/>
    <col min="4891" max="4891" width="2.85546875" style="14" customWidth="1"/>
    <col min="4892" max="4892" width="15.7109375" style="14" customWidth="1"/>
    <col min="4893" max="4894" width="11.42578125" style="14"/>
    <col min="4895" max="4895" width="3.42578125" style="14" customWidth="1"/>
    <col min="4896" max="5121" width="11.42578125" style="14"/>
    <col min="5122" max="5122" width="28.140625" style="14" bestFit="1" customWidth="1"/>
    <col min="5123" max="5123" width="15.7109375" style="14" customWidth="1"/>
    <col min="5124" max="5124" width="21.140625" style="14" customWidth="1"/>
    <col min="5125" max="5125" width="17.5703125" style="14" customWidth="1"/>
    <col min="5126" max="5126" width="13.5703125" style="14" customWidth="1"/>
    <col min="5127" max="5127" width="12.7109375" style="14" bestFit="1" customWidth="1"/>
    <col min="5128" max="5128" width="12.42578125" style="14" customWidth="1"/>
    <col min="5129" max="5129" width="14.140625" style="14" customWidth="1"/>
    <col min="5130" max="5130" width="13.28515625" style="14" bestFit="1" customWidth="1"/>
    <col min="5131" max="5145" width="13.28515625" style="14" customWidth="1"/>
    <col min="5146" max="5146" width="11.42578125" style="14"/>
    <col min="5147" max="5147" width="2.85546875" style="14" customWidth="1"/>
    <col min="5148" max="5148" width="15.7109375" style="14" customWidth="1"/>
    <col min="5149" max="5150" width="11.42578125" style="14"/>
    <col min="5151" max="5151" width="3.42578125" style="14" customWidth="1"/>
    <col min="5152" max="5377" width="11.42578125" style="14"/>
    <col min="5378" max="5378" width="28.140625" style="14" bestFit="1" customWidth="1"/>
    <col min="5379" max="5379" width="15.7109375" style="14" customWidth="1"/>
    <col min="5380" max="5380" width="21.140625" style="14" customWidth="1"/>
    <col min="5381" max="5381" width="17.5703125" style="14" customWidth="1"/>
    <col min="5382" max="5382" width="13.5703125" style="14" customWidth="1"/>
    <col min="5383" max="5383" width="12.7109375" style="14" bestFit="1" customWidth="1"/>
    <col min="5384" max="5384" width="12.42578125" style="14" customWidth="1"/>
    <col min="5385" max="5385" width="14.140625" style="14" customWidth="1"/>
    <col min="5386" max="5386" width="13.28515625" style="14" bestFit="1" customWidth="1"/>
    <col min="5387" max="5401" width="13.28515625" style="14" customWidth="1"/>
    <col min="5402" max="5402" width="11.42578125" style="14"/>
    <col min="5403" max="5403" width="2.85546875" style="14" customWidth="1"/>
    <col min="5404" max="5404" width="15.7109375" style="14" customWidth="1"/>
    <col min="5405" max="5406" width="11.42578125" style="14"/>
    <col min="5407" max="5407" width="3.42578125" style="14" customWidth="1"/>
    <col min="5408" max="5633" width="11.42578125" style="14"/>
    <col min="5634" max="5634" width="28.140625" style="14" bestFit="1" customWidth="1"/>
    <col min="5635" max="5635" width="15.7109375" style="14" customWidth="1"/>
    <col min="5636" max="5636" width="21.140625" style="14" customWidth="1"/>
    <col min="5637" max="5637" width="17.5703125" style="14" customWidth="1"/>
    <col min="5638" max="5638" width="13.5703125" style="14" customWidth="1"/>
    <col min="5639" max="5639" width="12.7109375" style="14" bestFit="1" customWidth="1"/>
    <col min="5640" max="5640" width="12.42578125" style="14" customWidth="1"/>
    <col min="5641" max="5641" width="14.140625" style="14" customWidth="1"/>
    <col min="5642" max="5642" width="13.28515625" style="14" bestFit="1" customWidth="1"/>
    <col min="5643" max="5657" width="13.28515625" style="14" customWidth="1"/>
    <col min="5658" max="5658" width="11.42578125" style="14"/>
    <col min="5659" max="5659" width="2.85546875" style="14" customWidth="1"/>
    <col min="5660" max="5660" width="15.7109375" style="14" customWidth="1"/>
    <col min="5661" max="5662" width="11.42578125" style="14"/>
    <col min="5663" max="5663" width="3.42578125" style="14" customWidth="1"/>
    <col min="5664" max="5889" width="11.42578125" style="14"/>
    <col min="5890" max="5890" width="28.140625" style="14" bestFit="1" customWidth="1"/>
    <col min="5891" max="5891" width="15.7109375" style="14" customWidth="1"/>
    <col min="5892" max="5892" width="21.140625" style="14" customWidth="1"/>
    <col min="5893" max="5893" width="17.5703125" style="14" customWidth="1"/>
    <col min="5894" max="5894" width="13.5703125" style="14" customWidth="1"/>
    <col min="5895" max="5895" width="12.7109375" style="14" bestFit="1" customWidth="1"/>
    <col min="5896" max="5896" width="12.42578125" style="14" customWidth="1"/>
    <col min="5897" max="5897" width="14.140625" style="14" customWidth="1"/>
    <col min="5898" max="5898" width="13.28515625" style="14" bestFit="1" customWidth="1"/>
    <col min="5899" max="5913" width="13.28515625" style="14" customWidth="1"/>
    <col min="5914" max="5914" width="11.42578125" style="14"/>
    <col min="5915" max="5915" width="2.85546875" style="14" customWidth="1"/>
    <col min="5916" max="5916" width="15.7109375" style="14" customWidth="1"/>
    <col min="5917" max="5918" width="11.42578125" style="14"/>
    <col min="5919" max="5919" width="3.42578125" style="14" customWidth="1"/>
    <col min="5920" max="6145" width="11.42578125" style="14"/>
    <col min="6146" max="6146" width="28.140625" style="14" bestFit="1" customWidth="1"/>
    <col min="6147" max="6147" width="15.7109375" style="14" customWidth="1"/>
    <col min="6148" max="6148" width="21.140625" style="14" customWidth="1"/>
    <col min="6149" max="6149" width="17.5703125" style="14" customWidth="1"/>
    <col min="6150" max="6150" width="13.5703125" style="14" customWidth="1"/>
    <col min="6151" max="6151" width="12.7109375" style="14" bestFit="1" customWidth="1"/>
    <col min="6152" max="6152" width="12.42578125" style="14" customWidth="1"/>
    <col min="6153" max="6153" width="14.140625" style="14" customWidth="1"/>
    <col min="6154" max="6154" width="13.28515625" style="14" bestFit="1" customWidth="1"/>
    <col min="6155" max="6169" width="13.28515625" style="14" customWidth="1"/>
    <col min="6170" max="6170" width="11.42578125" style="14"/>
    <col min="6171" max="6171" width="2.85546875" style="14" customWidth="1"/>
    <col min="6172" max="6172" width="15.7109375" style="14" customWidth="1"/>
    <col min="6173" max="6174" width="11.42578125" style="14"/>
    <col min="6175" max="6175" width="3.42578125" style="14" customWidth="1"/>
    <col min="6176" max="6401" width="11.42578125" style="14"/>
    <col min="6402" max="6402" width="28.140625" style="14" bestFit="1" customWidth="1"/>
    <col min="6403" max="6403" width="15.7109375" style="14" customWidth="1"/>
    <col min="6404" max="6404" width="21.140625" style="14" customWidth="1"/>
    <col min="6405" max="6405" width="17.5703125" style="14" customWidth="1"/>
    <col min="6406" max="6406" width="13.5703125" style="14" customWidth="1"/>
    <col min="6407" max="6407" width="12.7109375" style="14" bestFit="1" customWidth="1"/>
    <col min="6408" max="6408" width="12.42578125" style="14" customWidth="1"/>
    <col min="6409" max="6409" width="14.140625" style="14" customWidth="1"/>
    <col min="6410" max="6410" width="13.28515625" style="14" bestFit="1" customWidth="1"/>
    <col min="6411" max="6425" width="13.28515625" style="14" customWidth="1"/>
    <col min="6426" max="6426" width="11.42578125" style="14"/>
    <col min="6427" max="6427" width="2.85546875" style="14" customWidth="1"/>
    <col min="6428" max="6428" width="15.7109375" style="14" customWidth="1"/>
    <col min="6429" max="6430" width="11.42578125" style="14"/>
    <col min="6431" max="6431" width="3.42578125" style="14" customWidth="1"/>
    <col min="6432" max="6657" width="11.42578125" style="14"/>
    <col min="6658" max="6658" width="28.140625" style="14" bestFit="1" customWidth="1"/>
    <col min="6659" max="6659" width="15.7109375" style="14" customWidth="1"/>
    <col min="6660" max="6660" width="21.140625" style="14" customWidth="1"/>
    <col min="6661" max="6661" width="17.5703125" style="14" customWidth="1"/>
    <col min="6662" max="6662" width="13.5703125" style="14" customWidth="1"/>
    <col min="6663" max="6663" width="12.7109375" style="14" bestFit="1" customWidth="1"/>
    <col min="6664" max="6664" width="12.42578125" style="14" customWidth="1"/>
    <col min="6665" max="6665" width="14.140625" style="14" customWidth="1"/>
    <col min="6666" max="6666" width="13.28515625" style="14" bestFit="1" customWidth="1"/>
    <col min="6667" max="6681" width="13.28515625" style="14" customWidth="1"/>
    <col min="6682" max="6682" width="11.42578125" style="14"/>
    <col min="6683" max="6683" width="2.85546875" style="14" customWidth="1"/>
    <col min="6684" max="6684" width="15.7109375" style="14" customWidth="1"/>
    <col min="6685" max="6686" width="11.42578125" style="14"/>
    <col min="6687" max="6687" width="3.42578125" style="14" customWidth="1"/>
    <col min="6688" max="6913" width="11.42578125" style="14"/>
    <col min="6914" max="6914" width="28.140625" style="14" bestFit="1" customWidth="1"/>
    <col min="6915" max="6915" width="15.7109375" style="14" customWidth="1"/>
    <col min="6916" max="6916" width="21.140625" style="14" customWidth="1"/>
    <col min="6917" max="6917" width="17.5703125" style="14" customWidth="1"/>
    <col min="6918" max="6918" width="13.5703125" style="14" customWidth="1"/>
    <col min="6919" max="6919" width="12.7109375" style="14" bestFit="1" customWidth="1"/>
    <col min="6920" max="6920" width="12.42578125" style="14" customWidth="1"/>
    <col min="6921" max="6921" width="14.140625" style="14" customWidth="1"/>
    <col min="6922" max="6922" width="13.28515625" style="14" bestFit="1" customWidth="1"/>
    <col min="6923" max="6937" width="13.28515625" style="14" customWidth="1"/>
    <col min="6938" max="6938" width="11.42578125" style="14"/>
    <col min="6939" max="6939" width="2.85546875" style="14" customWidth="1"/>
    <col min="6940" max="6940" width="15.7109375" style="14" customWidth="1"/>
    <col min="6941" max="6942" width="11.42578125" style="14"/>
    <col min="6943" max="6943" width="3.42578125" style="14" customWidth="1"/>
    <col min="6944" max="7169" width="11.42578125" style="14"/>
    <col min="7170" max="7170" width="28.140625" style="14" bestFit="1" customWidth="1"/>
    <col min="7171" max="7171" width="15.7109375" style="14" customWidth="1"/>
    <col min="7172" max="7172" width="21.140625" style="14" customWidth="1"/>
    <col min="7173" max="7173" width="17.5703125" style="14" customWidth="1"/>
    <col min="7174" max="7174" width="13.5703125" style="14" customWidth="1"/>
    <col min="7175" max="7175" width="12.7109375" style="14" bestFit="1" customWidth="1"/>
    <col min="7176" max="7176" width="12.42578125" style="14" customWidth="1"/>
    <col min="7177" max="7177" width="14.140625" style="14" customWidth="1"/>
    <col min="7178" max="7178" width="13.28515625" style="14" bestFit="1" customWidth="1"/>
    <col min="7179" max="7193" width="13.28515625" style="14" customWidth="1"/>
    <col min="7194" max="7194" width="11.42578125" style="14"/>
    <col min="7195" max="7195" width="2.85546875" style="14" customWidth="1"/>
    <col min="7196" max="7196" width="15.7109375" style="14" customWidth="1"/>
    <col min="7197" max="7198" width="11.42578125" style="14"/>
    <col min="7199" max="7199" width="3.42578125" style="14" customWidth="1"/>
    <col min="7200" max="7425" width="11.42578125" style="14"/>
    <col min="7426" max="7426" width="28.140625" style="14" bestFit="1" customWidth="1"/>
    <col min="7427" max="7427" width="15.7109375" style="14" customWidth="1"/>
    <col min="7428" max="7428" width="21.140625" style="14" customWidth="1"/>
    <col min="7429" max="7429" width="17.5703125" style="14" customWidth="1"/>
    <col min="7430" max="7430" width="13.5703125" style="14" customWidth="1"/>
    <col min="7431" max="7431" width="12.7109375" style="14" bestFit="1" customWidth="1"/>
    <col min="7432" max="7432" width="12.42578125" style="14" customWidth="1"/>
    <col min="7433" max="7433" width="14.140625" style="14" customWidth="1"/>
    <col min="7434" max="7434" width="13.28515625" style="14" bestFit="1" customWidth="1"/>
    <col min="7435" max="7449" width="13.28515625" style="14" customWidth="1"/>
    <col min="7450" max="7450" width="11.42578125" style="14"/>
    <col min="7451" max="7451" width="2.85546875" style="14" customWidth="1"/>
    <col min="7452" max="7452" width="15.7109375" style="14" customWidth="1"/>
    <col min="7453" max="7454" width="11.42578125" style="14"/>
    <col min="7455" max="7455" width="3.42578125" style="14" customWidth="1"/>
    <col min="7456" max="7681" width="11.42578125" style="14"/>
    <col min="7682" max="7682" width="28.140625" style="14" bestFit="1" customWidth="1"/>
    <col min="7683" max="7683" width="15.7109375" style="14" customWidth="1"/>
    <col min="7684" max="7684" width="21.140625" style="14" customWidth="1"/>
    <col min="7685" max="7685" width="17.5703125" style="14" customWidth="1"/>
    <col min="7686" max="7686" width="13.5703125" style="14" customWidth="1"/>
    <col min="7687" max="7687" width="12.7109375" style="14" bestFit="1" customWidth="1"/>
    <col min="7688" max="7688" width="12.42578125" style="14" customWidth="1"/>
    <col min="7689" max="7689" width="14.140625" style="14" customWidth="1"/>
    <col min="7690" max="7690" width="13.28515625" style="14" bestFit="1" customWidth="1"/>
    <col min="7691" max="7705" width="13.28515625" style="14" customWidth="1"/>
    <col min="7706" max="7706" width="11.42578125" style="14"/>
    <col min="7707" max="7707" width="2.85546875" style="14" customWidth="1"/>
    <col min="7708" max="7708" width="15.7109375" style="14" customWidth="1"/>
    <col min="7709" max="7710" width="11.42578125" style="14"/>
    <col min="7711" max="7711" width="3.42578125" style="14" customWidth="1"/>
    <col min="7712" max="7937" width="11.42578125" style="14"/>
    <col min="7938" max="7938" width="28.140625" style="14" bestFit="1" customWidth="1"/>
    <col min="7939" max="7939" width="15.7109375" style="14" customWidth="1"/>
    <col min="7940" max="7940" width="21.140625" style="14" customWidth="1"/>
    <col min="7941" max="7941" width="17.5703125" style="14" customWidth="1"/>
    <col min="7942" max="7942" width="13.5703125" style="14" customWidth="1"/>
    <col min="7943" max="7943" width="12.7109375" style="14" bestFit="1" customWidth="1"/>
    <col min="7944" max="7944" width="12.42578125" style="14" customWidth="1"/>
    <col min="7945" max="7945" width="14.140625" style="14" customWidth="1"/>
    <col min="7946" max="7946" width="13.28515625" style="14" bestFit="1" customWidth="1"/>
    <col min="7947" max="7961" width="13.28515625" style="14" customWidth="1"/>
    <col min="7962" max="7962" width="11.42578125" style="14"/>
    <col min="7963" max="7963" width="2.85546875" style="14" customWidth="1"/>
    <col min="7964" max="7964" width="15.7109375" style="14" customWidth="1"/>
    <col min="7965" max="7966" width="11.42578125" style="14"/>
    <col min="7967" max="7967" width="3.42578125" style="14" customWidth="1"/>
    <col min="7968" max="8193" width="11.42578125" style="14"/>
    <col min="8194" max="8194" width="28.140625" style="14" bestFit="1" customWidth="1"/>
    <col min="8195" max="8195" width="15.7109375" style="14" customWidth="1"/>
    <col min="8196" max="8196" width="21.140625" style="14" customWidth="1"/>
    <col min="8197" max="8197" width="17.5703125" style="14" customWidth="1"/>
    <col min="8198" max="8198" width="13.5703125" style="14" customWidth="1"/>
    <col min="8199" max="8199" width="12.7109375" style="14" bestFit="1" customWidth="1"/>
    <col min="8200" max="8200" width="12.42578125" style="14" customWidth="1"/>
    <col min="8201" max="8201" width="14.140625" style="14" customWidth="1"/>
    <col min="8202" max="8202" width="13.28515625" style="14" bestFit="1" customWidth="1"/>
    <col min="8203" max="8217" width="13.28515625" style="14" customWidth="1"/>
    <col min="8218" max="8218" width="11.42578125" style="14"/>
    <col min="8219" max="8219" width="2.85546875" style="14" customWidth="1"/>
    <col min="8220" max="8220" width="15.7109375" style="14" customWidth="1"/>
    <col min="8221" max="8222" width="11.42578125" style="14"/>
    <col min="8223" max="8223" width="3.42578125" style="14" customWidth="1"/>
    <col min="8224" max="8449" width="11.42578125" style="14"/>
    <col min="8450" max="8450" width="28.140625" style="14" bestFit="1" customWidth="1"/>
    <col min="8451" max="8451" width="15.7109375" style="14" customWidth="1"/>
    <col min="8452" max="8452" width="21.140625" style="14" customWidth="1"/>
    <col min="8453" max="8453" width="17.5703125" style="14" customWidth="1"/>
    <col min="8454" max="8454" width="13.5703125" style="14" customWidth="1"/>
    <col min="8455" max="8455" width="12.7109375" style="14" bestFit="1" customWidth="1"/>
    <col min="8456" max="8456" width="12.42578125" style="14" customWidth="1"/>
    <col min="8457" max="8457" width="14.140625" style="14" customWidth="1"/>
    <col min="8458" max="8458" width="13.28515625" style="14" bestFit="1" customWidth="1"/>
    <col min="8459" max="8473" width="13.28515625" style="14" customWidth="1"/>
    <col min="8474" max="8474" width="11.42578125" style="14"/>
    <col min="8475" max="8475" width="2.85546875" style="14" customWidth="1"/>
    <col min="8476" max="8476" width="15.7109375" style="14" customWidth="1"/>
    <col min="8477" max="8478" width="11.42578125" style="14"/>
    <col min="8479" max="8479" width="3.42578125" style="14" customWidth="1"/>
    <col min="8480" max="8705" width="11.42578125" style="14"/>
    <col min="8706" max="8706" width="28.140625" style="14" bestFit="1" customWidth="1"/>
    <col min="8707" max="8707" width="15.7109375" style="14" customWidth="1"/>
    <col min="8708" max="8708" width="21.140625" style="14" customWidth="1"/>
    <col min="8709" max="8709" width="17.5703125" style="14" customWidth="1"/>
    <col min="8710" max="8710" width="13.5703125" style="14" customWidth="1"/>
    <col min="8711" max="8711" width="12.7109375" style="14" bestFit="1" customWidth="1"/>
    <col min="8712" max="8712" width="12.42578125" style="14" customWidth="1"/>
    <col min="8713" max="8713" width="14.140625" style="14" customWidth="1"/>
    <col min="8714" max="8714" width="13.28515625" style="14" bestFit="1" customWidth="1"/>
    <col min="8715" max="8729" width="13.28515625" style="14" customWidth="1"/>
    <col min="8730" max="8730" width="11.42578125" style="14"/>
    <col min="8731" max="8731" width="2.85546875" style="14" customWidth="1"/>
    <col min="8732" max="8732" width="15.7109375" style="14" customWidth="1"/>
    <col min="8733" max="8734" width="11.42578125" style="14"/>
    <col min="8735" max="8735" width="3.42578125" style="14" customWidth="1"/>
    <col min="8736" max="8961" width="11.42578125" style="14"/>
    <col min="8962" max="8962" width="28.140625" style="14" bestFit="1" customWidth="1"/>
    <col min="8963" max="8963" width="15.7109375" style="14" customWidth="1"/>
    <col min="8964" max="8964" width="21.140625" style="14" customWidth="1"/>
    <col min="8965" max="8965" width="17.5703125" style="14" customWidth="1"/>
    <col min="8966" max="8966" width="13.5703125" style="14" customWidth="1"/>
    <col min="8967" max="8967" width="12.7109375" style="14" bestFit="1" customWidth="1"/>
    <col min="8968" max="8968" width="12.42578125" style="14" customWidth="1"/>
    <col min="8969" max="8969" width="14.140625" style="14" customWidth="1"/>
    <col min="8970" max="8970" width="13.28515625" style="14" bestFit="1" customWidth="1"/>
    <col min="8971" max="8985" width="13.28515625" style="14" customWidth="1"/>
    <col min="8986" max="8986" width="11.42578125" style="14"/>
    <col min="8987" max="8987" width="2.85546875" style="14" customWidth="1"/>
    <col min="8988" max="8988" width="15.7109375" style="14" customWidth="1"/>
    <col min="8989" max="8990" width="11.42578125" style="14"/>
    <col min="8991" max="8991" width="3.42578125" style="14" customWidth="1"/>
    <col min="8992" max="9217" width="11.42578125" style="14"/>
    <col min="9218" max="9218" width="28.140625" style="14" bestFit="1" customWidth="1"/>
    <col min="9219" max="9219" width="15.7109375" style="14" customWidth="1"/>
    <col min="9220" max="9220" width="21.140625" style="14" customWidth="1"/>
    <col min="9221" max="9221" width="17.5703125" style="14" customWidth="1"/>
    <col min="9222" max="9222" width="13.5703125" style="14" customWidth="1"/>
    <col min="9223" max="9223" width="12.7109375" style="14" bestFit="1" customWidth="1"/>
    <col min="9224" max="9224" width="12.42578125" style="14" customWidth="1"/>
    <col min="9225" max="9225" width="14.140625" style="14" customWidth="1"/>
    <col min="9226" max="9226" width="13.28515625" style="14" bestFit="1" customWidth="1"/>
    <col min="9227" max="9241" width="13.28515625" style="14" customWidth="1"/>
    <col min="9242" max="9242" width="11.42578125" style="14"/>
    <col min="9243" max="9243" width="2.85546875" style="14" customWidth="1"/>
    <col min="9244" max="9244" width="15.7109375" style="14" customWidth="1"/>
    <col min="9245" max="9246" width="11.42578125" style="14"/>
    <col min="9247" max="9247" width="3.42578125" style="14" customWidth="1"/>
    <col min="9248" max="9473" width="11.42578125" style="14"/>
    <col min="9474" max="9474" width="28.140625" style="14" bestFit="1" customWidth="1"/>
    <col min="9475" max="9475" width="15.7109375" style="14" customWidth="1"/>
    <col min="9476" max="9476" width="21.140625" style="14" customWidth="1"/>
    <col min="9477" max="9477" width="17.5703125" style="14" customWidth="1"/>
    <col min="9478" max="9478" width="13.5703125" style="14" customWidth="1"/>
    <col min="9479" max="9479" width="12.7109375" style="14" bestFit="1" customWidth="1"/>
    <col min="9480" max="9480" width="12.42578125" style="14" customWidth="1"/>
    <col min="9481" max="9481" width="14.140625" style="14" customWidth="1"/>
    <col min="9482" max="9482" width="13.28515625" style="14" bestFit="1" customWidth="1"/>
    <col min="9483" max="9497" width="13.28515625" style="14" customWidth="1"/>
    <col min="9498" max="9498" width="11.42578125" style="14"/>
    <col min="9499" max="9499" width="2.85546875" style="14" customWidth="1"/>
    <col min="9500" max="9500" width="15.7109375" style="14" customWidth="1"/>
    <col min="9501" max="9502" width="11.42578125" style="14"/>
    <col min="9503" max="9503" width="3.42578125" style="14" customWidth="1"/>
    <col min="9504" max="9729" width="11.42578125" style="14"/>
    <col min="9730" max="9730" width="28.140625" style="14" bestFit="1" customWidth="1"/>
    <col min="9731" max="9731" width="15.7109375" style="14" customWidth="1"/>
    <col min="9732" max="9732" width="21.140625" style="14" customWidth="1"/>
    <col min="9733" max="9733" width="17.5703125" style="14" customWidth="1"/>
    <col min="9734" max="9734" width="13.5703125" style="14" customWidth="1"/>
    <col min="9735" max="9735" width="12.7109375" style="14" bestFit="1" customWidth="1"/>
    <col min="9736" max="9736" width="12.42578125" style="14" customWidth="1"/>
    <col min="9737" max="9737" width="14.140625" style="14" customWidth="1"/>
    <col min="9738" max="9738" width="13.28515625" style="14" bestFit="1" customWidth="1"/>
    <col min="9739" max="9753" width="13.28515625" style="14" customWidth="1"/>
    <col min="9754" max="9754" width="11.42578125" style="14"/>
    <col min="9755" max="9755" width="2.85546875" style="14" customWidth="1"/>
    <col min="9756" max="9756" width="15.7109375" style="14" customWidth="1"/>
    <col min="9757" max="9758" width="11.42578125" style="14"/>
    <col min="9759" max="9759" width="3.42578125" style="14" customWidth="1"/>
    <col min="9760" max="9985" width="11.42578125" style="14"/>
    <col min="9986" max="9986" width="28.140625" style="14" bestFit="1" customWidth="1"/>
    <col min="9987" max="9987" width="15.7109375" style="14" customWidth="1"/>
    <col min="9988" max="9988" width="21.140625" style="14" customWidth="1"/>
    <col min="9989" max="9989" width="17.5703125" style="14" customWidth="1"/>
    <col min="9990" max="9990" width="13.5703125" style="14" customWidth="1"/>
    <col min="9991" max="9991" width="12.7109375" style="14" bestFit="1" customWidth="1"/>
    <col min="9992" max="9992" width="12.42578125" style="14" customWidth="1"/>
    <col min="9993" max="9993" width="14.140625" style="14" customWidth="1"/>
    <col min="9994" max="9994" width="13.28515625" style="14" bestFit="1" customWidth="1"/>
    <col min="9995" max="10009" width="13.28515625" style="14" customWidth="1"/>
    <col min="10010" max="10010" width="11.42578125" style="14"/>
    <col min="10011" max="10011" width="2.85546875" style="14" customWidth="1"/>
    <col min="10012" max="10012" width="15.7109375" style="14" customWidth="1"/>
    <col min="10013" max="10014" width="11.42578125" style="14"/>
    <col min="10015" max="10015" width="3.42578125" style="14" customWidth="1"/>
    <col min="10016" max="10241" width="11.42578125" style="14"/>
    <col min="10242" max="10242" width="28.140625" style="14" bestFit="1" customWidth="1"/>
    <col min="10243" max="10243" width="15.7109375" style="14" customWidth="1"/>
    <col min="10244" max="10244" width="21.140625" style="14" customWidth="1"/>
    <col min="10245" max="10245" width="17.5703125" style="14" customWidth="1"/>
    <col min="10246" max="10246" width="13.5703125" style="14" customWidth="1"/>
    <col min="10247" max="10247" width="12.7109375" style="14" bestFit="1" customWidth="1"/>
    <col min="10248" max="10248" width="12.42578125" style="14" customWidth="1"/>
    <col min="10249" max="10249" width="14.140625" style="14" customWidth="1"/>
    <col min="10250" max="10250" width="13.28515625" style="14" bestFit="1" customWidth="1"/>
    <col min="10251" max="10265" width="13.28515625" style="14" customWidth="1"/>
    <col min="10266" max="10266" width="11.42578125" style="14"/>
    <col min="10267" max="10267" width="2.85546875" style="14" customWidth="1"/>
    <col min="10268" max="10268" width="15.7109375" style="14" customWidth="1"/>
    <col min="10269" max="10270" width="11.42578125" style="14"/>
    <col min="10271" max="10271" width="3.42578125" style="14" customWidth="1"/>
    <col min="10272" max="10497" width="11.42578125" style="14"/>
    <col min="10498" max="10498" width="28.140625" style="14" bestFit="1" customWidth="1"/>
    <col min="10499" max="10499" width="15.7109375" style="14" customWidth="1"/>
    <col min="10500" max="10500" width="21.140625" style="14" customWidth="1"/>
    <col min="10501" max="10501" width="17.5703125" style="14" customWidth="1"/>
    <col min="10502" max="10502" width="13.5703125" style="14" customWidth="1"/>
    <col min="10503" max="10503" width="12.7109375" style="14" bestFit="1" customWidth="1"/>
    <col min="10504" max="10504" width="12.42578125" style="14" customWidth="1"/>
    <col min="10505" max="10505" width="14.140625" style="14" customWidth="1"/>
    <col min="10506" max="10506" width="13.28515625" style="14" bestFit="1" customWidth="1"/>
    <col min="10507" max="10521" width="13.28515625" style="14" customWidth="1"/>
    <col min="10522" max="10522" width="11.42578125" style="14"/>
    <col min="10523" max="10523" width="2.85546875" style="14" customWidth="1"/>
    <col min="10524" max="10524" width="15.7109375" style="14" customWidth="1"/>
    <col min="10525" max="10526" width="11.42578125" style="14"/>
    <col min="10527" max="10527" width="3.42578125" style="14" customWidth="1"/>
    <col min="10528" max="10753" width="11.42578125" style="14"/>
    <col min="10754" max="10754" width="28.140625" style="14" bestFit="1" customWidth="1"/>
    <col min="10755" max="10755" width="15.7109375" style="14" customWidth="1"/>
    <col min="10756" max="10756" width="21.140625" style="14" customWidth="1"/>
    <col min="10757" max="10757" width="17.5703125" style="14" customWidth="1"/>
    <col min="10758" max="10758" width="13.5703125" style="14" customWidth="1"/>
    <col min="10759" max="10759" width="12.7109375" style="14" bestFit="1" customWidth="1"/>
    <col min="10760" max="10760" width="12.42578125" style="14" customWidth="1"/>
    <col min="10761" max="10761" width="14.140625" style="14" customWidth="1"/>
    <col min="10762" max="10762" width="13.28515625" style="14" bestFit="1" customWidth="1"/>
    <col min="10763" max="10777" width="13.28515625" style="14" customWidth="1"/>
    <col min="10778" max="10778" width="11.42578125" style="14"/>
    <col min="10779" max="10779" width="2.85546875" style="14" customWidth="1"/>
    <col min="10780" max="10780" width="15.7109375" style="14" customWidth="1"/>
    <col min="10781" max="10782" width="11.42578125" style="14"/>
    <col min="10783" max="10783" width="3.42578125" style="14" customWidth="1"/>
    <col min="10784" max="11009" width="11.42578125" style="14"/>
    <col min="11010" max="11010" width="28.140625" style="14" bestFit="1" customWidth="1"/>
    <col min="11011" max="11011" width="15.7109375" style="14" customWidth="1"/>
    <col min="11012" max="11012" width="21.140625" style="14" customWidth="1"/>
    <col min="11013" max="11013" width="17.5703125" style="14" customWidth="1"/>
    <col min="11014" max="11014" width="13.5703125" style="14" customWidth="1"/>
    <col min="11015" max="11015" width="12.7109375" style="14" bestFit="1" customWidth="1"/>
    <col min="11016" max="11016" width="12.42578125" style="14" customWidth="1"/>
    <col min="11017" max="11017" width="14.140625" style="14" customWidth="1"/>
    <col min="11018" max="11018" width="13.28515625" style="14" bestFit="1" customWidth="1"/>
    <col min="11019" max="11033" width="13.28515625" style="14" customWidth="1"/>
    <col min="11034" max="11034" width="11.42578125" style="14"/>
    <col min="11035" max="11035" width="2.85546875" style="14" customWidth="1"/>
    <col min="11036" max="11036" width="15.7109375" style="14" customWidth="1"/>
    <col min="11037" max="11038" width="11.42578125" style="14"/>
    <col min="11039" max="11039" width="3.42578125" style="14" customWidth="1"/>
    <col min="11040" max="11265" width="11.42578125" style="14"/>
    <col min="11266" max="11266" width="28.140625" style="14" bestFit="1" customWidth="1"/>
    <col min="11267" max="11267" width="15.7109375" style="14" customWidth="1"/>
    <col min="11268" max="11268" width="21.140625" style="14" customWidth="1"/>
    <col min="11269" max="11269" width="17.5703125" style="14" customWidth="1"/>
    <col min="11270" max="11270" width="13.5703125" style="14" customWidth="1"/>
    <col min="11271" max="11271" width="12.7109375" style="14" bestFit="1" customWidth="1"/>
    <col min="11272" max="11272" width="12.42578125" style="14" customWidth="1"/>
    <col min="11273" max="11273" width="14.140625" style="14" customWidth="1"/>
    <col min="11274" max="11274" width="13.28515625" style="14" bestFit="1" customWidth="1"/>
    <col min="11275" max="11289" width="13.28515625" style="14" customWidth="1"/>
    <col min="11290" max="11290" width="11.42578125" style="14"/>
    <col min="11291" max="11291" width="2.85546875" style="14" customWidth="1"/>
    <col min="11292" max="11292" width="15.7109375" style="14" customWidth="1"/>
    <col min="11293" max="11294" width="11.42578125" style="14"/>
    <col min="11295" max="11295" width="3.42578125" style="14" customWidth="1"/>
    <col min="11296" max="11521" width="11.42578125" style="14"/>
    <col min="11522" max="11522" width="28.140625" style="14" bestFit="1" customWidth="1"/>
    <col min="11523" max="11523" width="15.7109375" style="14" customWidth="1"/>
    <col min="11524" max="11524" width="21.140625" style="14" customWidth="1"/>
    <col min="11525" max="11525" width="17.5703125" style="14" customWidth="1"/>
    <col min="11526" max="11526" width="13.5703125" style="14" customWidth="1"/>
    <col min="11527" max="11527" width="12.7109375" style="14" bestFit="1" customWidth="1"/>
    <col min="11528" max="11528" width="12.42578125" style="14" customWidth="1"/>
    <col min="11529" max="11529" width="14.140625" style="14" customWidth="1"/>
    <col min="11530" max="11530" width="13.28515625" style="14" bestFit="1" customWidth="1"/>
    <col min="11531" max="11545" width="13.28515625" style="14" customWidth="1"/>
    <col min="11546" max="11546" width="11.42578125" style="14"/>
    <col min="11547" max="11547" width="2.85546875" style="14" customWidth="1"/>
    <col min="11548" max="11548" width="15.7109375" style="14" customWidth="1"/>
    <col min="11549" max="11550" width="11.42578125" style="14"/>
    <col min="11551" max="11551" width="3.42578125" style="14" customWidth="1"/>
    <col min="11552" max="11777" width="11.42578125" style="14"/>
    <col min="11778" max="11778" width="28.140625" style="14" bestFit="1" customWidth="1"/>
    <col min="11779" max="11779" width="15.7109375" style="14" customWidth="1"/>
    <col min="11780" max="11780" width="21.140625" style="14" customWidth="1"/>
    <col min="11781" max="11781" width="17.5703125" style="14" customWidth="1"/>
    <col min="11782" max="11782" width="13.5703125" style="14" customWidth="1"/>
    <col min="11783" max="11783" width="12.7109375" style="14" bestFit="1" customWidth="1"/>
    <col min="11784" max="11784" width="12.42578125" style="14" customWidth="1"/>
    <col min="11785" max="11785" width="14.140625" style="14" customWidth="1"/>
    <col min="11786" max="11786" width="13.28515625" style="14" bestFit="1" customWidth="1"/>
    <col min="11787" max="11801" width="13.28515625" style="14" customWidth="1"/>
    <col min="11802" max="11802" width="11.42578125" style="14"/>
    <col min="11803" max="11803" width="2.85546875" style="14" customWidth="1"/>
    <col min="11804" max="11804" width="15.7109375" style="14" customWidth="1"/>
    <col min="11805" max="11806" width="11.42578125" style="14"/>
    <col min="11807" max="11807" width="3.42578125" style="14" customWidth="1"/>
    <col min="11808" max="12033" width="11.42578125" style="14"/>
    <col min="12034" max="12034" width="28.140625" style="14" bestFit="1" customWidth="1"/>
    <col min="12035" max="12035" width="15.7109375" style="14" customWidth="1"/>
    <col min="12036" max="12036" width="21.140625" style="14" customWidth="1"/>
    <col min="12037" max="12037" width="17.5703125" style="14" customWidth="1"/>
    <col min="12038" max="12038" width="13.5703125" style="14" customWidth="1"/>
    <col min="12039" max="12039" width="12.7109375" style="14" bestFit="1" customWidth="1"/>
    <col min="12040" max="12040" width="12.42578125" style="14" customWidth="1"/>
    <col min="12041" max="12041" width="14.140625" style="14" customWidth="1"/>
    <col min="12042" max="12042" width="13.28515625" style="14" bestFit="1" customWidth="1"/>
    <col min="12043" max="12057" width="13.28515625" style="14" customWidth="1"/>
    <col min="12058" max="12058" width="11.42578125" style="14"/>
    <col min="12059" max="12059" width="2.85546875" style="14" customWidth="1"/>
    <col min="12060" max="12060" width="15.7109375" style="14" customWidth="1"/>
    <col min="12061" max="12062" width="11.42578125" style="14"/>
    <col min="12063" max="12063" width="3.42578125" style="14" customWidth="1"/>
    <col min="12064" max="12289" width="11.42578125" style="14"/>
    <col min="12290" max="12290" width="28.140625" style="14" bestFit="1" customWidth="1"/>
    <col min="12291" max="12291" width="15.7109375" style="14" customWidth="1"/>
    <col min="12292" max="12292" width="21.140625" style="14" customWidth="1"/>
    <col min="12293" max="12293" width="17.5703125" style="14" customWidth="1"/>
    <col min="12294" max="12294" width="13.5703125" style="14" customWidth="1"/>
    <col min="12295" max="12295" width="12.7109375" style="14" bestFit="1" customWidth="1"/>
    <col min="12296" max="12296" width="12.42578125" style="14" customWidth="1"/>
    <col min="12297" max="12297" width="14.140625" style="14" customWidth="1"/>
    <col min="12298" max="12298" width="13.28515625" style="14" bestFit="1" customWidth="1"/>
    <col min="12299" max="12313" width="13.28515625" style="14" customWidth="1"/>
    <col min="12314" max="12314" width="11.42578125" style="14"/>
    <col min="12315" max="12315" width="2.85546875" style="14" customWidth="1"/>
    <col min="12316" max="12316" width="15.7109375" style="14" customWidth="1"/>
    <col min="12317" max="12318" width="11.42578125" style="14"/>
    <col min="12319" max="12319" width="3.42578125" style="14" customWidth="1"/>
    <col min="12320" max="12545" width="11.42578125" style="14"/>
    <col min="12546" max="12546" width="28.140625" style="14" bestFit="1" customWidth="1"/>
    <col min="12547" max="12547" width="15.7109375" style="14" customWidth="1"/>
    <col min="12548" max="12548" width="21.140625" style="14" customWidth="1"/>
    <col min="12549" max="12549" width="17.5703125" style="14" customWidth="1"/>
    <col min="12550" max="12550" width="13.5703125" style="14" customWidth="1"/>
    <col min="12551" max="12551" width="12.7109375" style="14" bestFit="1" customWidth="1"/>
    <col min="12552" max="12552" width="12.42578125" style="14" customWidth="1"/>
    <col min="12553" max="12553" width="14.140625" style="14" customWidth="1"/>
    <col min="12554" max="12554" width="13.28515625" style="14" bestFit="1" customWidth="1"/>
    <col min="12555" max="12569" width="13.28515625" style="14" customWidth="1"/>
    <col min="12570" max="12570" width="11.42578125" style="14"/>
    <col min="12571" max="12571" width="2.85546875" style="14" customWidth="1"/>
    <col min="12572" max="12572" width="15.7109375" style="14" customWidth="1"/>
    <col min="12573" max="12574" width="11.42578125" style="14"/>
    <col min="12575" max="12575" width="3.42578125" style="14" customWidth="1"/>
    <col min="12576" max="12801" width="11.42578125" style="14"/>
    <col min="12802" max="12802" width="28.140625" style="14" bestFit="1" customWidth="1"/>
    <col min="12803" max="12803" width="15.7109375" style="14" customWidth="1"/>
    <col min="12804" max="12804" width="21.140625" style="14" customWidth="1"/>
    <col min="12805" max="12805" width="17.5703125" style="14" customWidth="1"/>
    <col min="12806" max="12806" width="13.5703125" style="14" customWidth="1"/>
    <col min="12807" max="12807" width="12.7109375" style="14" bestFit="1" customWidth="1"/>
    <col min="12808" max="12808" width="12.42578125" style="14" customWidth="1"/>
    <col min="12809" max="12809" width="14.140625" style="14" customWidth="1"/>
    <col min="12810" max="12810" width="13.28515625" style="14" bestFit="1" customWidth="1"/>
    <col min="12811" max="12825" width="13.28515625" style="14" customWidth="1"/>
    <col min="12826" max="12826" width="11.42578125" style="14"/>
    <col min="12827" max="12827" width="2.85546875" style="14" customWidth="1"/>
    <col min="12828" max="12828" width="15.7109375" style="14" customWidth="1"/>
    <col min="12829" max="12830" width="11.42578125" style="14"/>
    <col min="12831" max="12831" width="3.42578125" style="14" customWidth="1"/>
    <col min="12832" max="13057" width="11.42578125" style="14"/>
    <col min="13058" max="13058" width="28.140625" style="14" bestFit="1" customWidth="1"/>
    <col min="13059" max="13059" width="15.7109375" style="14" customWidth="1"/>
    <col min="13060" max="13060" width="21.140625" style="14" customWidth="1"/>
    <col min="13061" max="13061" width="17.5703125" style="14" customWidth="1"/>
    <col min="13062" max="13062" width="13.5703125" style="14" customWidth="1"/>
    <col min="13063" max="13063" width="12.7109375" style="14" bestFit="1" customWidth="1"/>
    <col min="13064" max="13064" width="12.42578125" style="14" customWidth="1"/>
    <col min="13065" max="13065" width="14.140625" style="14" customWidth="1"/>
    <col min="13066" max="13066" width="13.28515625" style="14" bestFit="1" customWidth="1"/>
    <col min="13067" max="13081" width="13.28515625" style="14" customWidth="1"/>
    <col min="13082" max="13082" width="11.42578125" style="14"/>
    <col min="13083" max="13083" width="2.85546875" style="14" customWidth="1"/>
    <col min="13084" max="13084" width="15.7109375" style="14" customWidth="1"/>
    <col min="13085" max="13086" width="11.42578125" style="14"/>
    <col min="13087" max="13087" width="3.42578125" style="14" customWidth="1"/>
    <col min="13088" max="13313" width="11.42578125" style="14"/>
    <col min="13314" max="13314" width="28.140625" style="14" bestFit="1" customWidth="1"/>
    <col min="13315" max="13315" width="15.7109375" style="14" customWidth="1"/>
    <col min="13316" max="13316" width="21.140625" style="14" customWidth="1"/>
    <col min="13317" max="13317" width="17.5703125" style="14" customWidth="1"/>
    <col min="13318" max="13318" width="13.5703125" style="14" customWidth="1"/>
    <col min="13319" max="13319" width="12.7109375" style="14" bestFit="1" customWidth="1"/>
    <col min="13320" max="13320" width="12.42578125" style="14" customWidth="1"/>
    <col min="13321" max="13321" width="14.140625" style="14" customWidth="1"/>
    <col min="13322" max="13322" width="13.28515625" style="14" bestFit="1" customWidth="1"/>
    <col min="13323" max="13337" width="13.28515625" style="14" customWidth="1"/>
    <col min="13338" max="13338" width="11.42578125" style="14"/>
    <col min="13339" max="13339" width="2.85546875" style="14" customWidth="1"/>
    <col min="13340" max="13340" width="15.7109375" style="14" customWidth="1"/>
    <col min="13341" max="13342" width="11.42578125" style="14"/>
    <col min="13343" max="13343" width="3.42578125" style="14" customWidth="1"/>
    <col min="13344" max="13569" width="11.42578125" style="14"/>
    <col min="13570" max="13570" width="28.140625" style="14" bestFit="1" customWidth="1"/>
    <col min="13571" max="13571" width="15.7109375" style="14" customWidth="1"/>
    <col min="13572" max="13572" width="21.140625" style="14" customWidth="1"/>
    <col min="13573" max="13573" width="17.5703125" style="14" customWidth="1"/>
    <col min="13574" max="13574" width="13.5703125" style="14" customWidth="1"/>
    <col min="13575" max="13575" width="12.7109375" style="14" bestFit="1" customWidth="1"/>
    <col min="13576" max="13576" width="12.42578125" style="14" customWidth="1"/>
    <col min="13577" max="13577" width="14.140625" style="14" customWidth="1"/>
    <col min="13578" max="13578" width="13.28515625" style="14" bestFit="1" customWidth="1"/>
    <col min="13579" max="13593" width="13.28515625" style="14" customWidth="1"/>
    <col min="13594" max="13594" width="11.42578125" style="14"/>
    <col min="13595" max="13595" width="2.85546875" style="14" customWidth="1"/>
    <col min="13596" max="13596" width="15.7109375" style="14" customWidth="1"/>
    <col min="13597" max="13598" width="11.42578125" style="14"/>
    <col min="13599" max="13599" width="3.42578125" style="14" customWidth="1"/>
    <col min="13600" max="13825" width="11.42578125" style="14"/>
    <col min="13826" max="13826" width="28.140625" style="14" bestFit="1" customWidth="1"/>
    <col min="13827" max="13827" width="15.7109375" style="14" customWidth="1"/>
    <col min="13828" max="13828" width="21.140625" style="14" customWidth="1"/>
    <col min="13829" max="13829" width="17.5703125" style="14" customWidth="1"/>
    <col min="13830" max="13830" width="13.5703125" style="14" customWidth="1"/>
    <col min="13831" max="13831" width="12.7109375" style="14" bestFit="1" customWidth="1"/>
    <col min="13832" max="13832" width="12.42578125" style="14" customWidth="1"/>
    <col min="13833" max="13833" width="14.140625" style="14" customWidth="1"/>
    <col min="13834" max="13834" width="13.28515625" style="14" bestFit="1" customWidth="1"/>
    <col min="13835" max="13849" width="13.28515625" style="14" customWidth="1"/>
    <col min="13850" max="13850" width="11.42578125" style="14"/>
    <col min="13851" max="13851" width="2.85546875" style="14" customWidth="1"/>
    <col min="13852" max="13852" width="15.7109375" style="14" customWidth="1"/>
    <col min="13853" max="13854" width="11.42578125" style="14"/>
    <col min="13855" max="13855" width="3.42578125" style="14" customWidth="1"/>
    <col min="13856" max="14081" width="11.42578125" style="14"/>
    <col min="14082" max="14082" width="28.140625" style="14" bestFit="1" customWidth="1"/>
    <col min="14083" max="14083" width="15.7109375" style="14" customWidth="1"/>
    <col min="14084" max="14084" width="21.140625" style="14" customWidth="1"/>
    <col min="14085" max="14085" width="17.5703125" style="14" customWidth="1"/>
    <col min="14086" max="14086" width="13.5703125" style="14" customWidth="1"/>
    <col min="14087" max="14087" width="12.7109375" style="14" bestFit="1" customWidth="1"/>
    <col min="14088" max="14088" width="12.42578125" style="14" customWidth="1"/>
    <col min="14089" max="14089" width="14.140625" style="14" customWidth="1"/>
    <col min="14090" max="14090" width="13.28515625" style="14" bestFit="1" customWidth="1"/>
    <col min="14091" max="14105" width="13.28515625" style="14" customWidth="1"/>
    <col min="14106" max="14106" width="11.42578125" style="14"/>
    <col min="14107" max="14107" width="2.85546875" style="14" customWidth="1"/>
    <col min="14108" max="14108" width="15.7109375" style="14" customWidth="1"/>
    <col min="14109" max="14110" width="11.42578125" style="14"/>
    <col min="14111" max="14111" width="3.42578125" style="14" customWidth="1"/>
    <col min="14112" max="14337" width="11.42578125" style="14"/>
    <col min="14338" max="14338" width="28.140625" style="14" bestFit="1" customWidth="1"/>
    <col min="14339" max="14339" width="15.7109375" style="14" customWidth="1"/>
    <col min="14340" max="14340" width="21.140625" style="14" customWidth="1"/>
    <col min="14341" max="14341" width="17.5703125" style="14" customWidth="1"/>
    <col min="14342" max="14342" width="13.5703125" style="14" customWidth="1"/>
    <col min="14343" max="14343" width="12.7109375" style="14" bestFit="1" customWidth="1"/>
    <col min="14344" max="14344" width="12.42578125" style="14" customWidth="1"/>
    <col min="14345" max="14345" width="14.140625" style="14" customWidth="1"/>
    <col min="14346" max="14346" width="13.28515625" style="14" bestFit="1" customWidth="1"/>
    <col min="14347" max="14361" width="13.28515625" style="14" customWidth="1"/>
    <col min="14362" max="14362" width="11.42578125" style="14"/>
    <col min="14363" max="14363" width="2.85546875" style="14" customWidth="1"/>
    <col min="14364" max="14364" width="15.7109375" style="14" customWidth="1"/>
    <col min="14365" max="14366" width="11.42578125" style="14"/>
    <col min="14367" max="14367" width="3.42578125" style="14" customWidth="1"/>
    <col min="14368" max="14593" width="11.42578125" style="14"/>
    <col min="14594" max="14594" width="28.140625" style="14" bestFit="1" customWidth="1"/>
    <col min="14595" max="14595" width="15.7109375" style="14" customWidth="1"/>
    <col min="14596" max="14596" width="21.140625" style="14" customWidth="1"/>
    <col min="14597" max="14597" width="17.5703125" style="14" customWidth="1"/>
    <col min="14598" max="14598" width="13.5703125" style="14" customWidth="1"/>
    <col min="14599" max="14599" width="12.7109375" style="14" bestFit="1" customWidth="1"/>
    <col min="14600" max="14600" width="12.42578125" style="14" customWidth="1"/>
    <col min="14601" max="14601" width="14.140625" style="14" customWidth="1"/>
    <col min="14602" max="14602" width="13.28515625" style="14" bestFit="1" customWidth="1"/>
    <col min="14603" max="14617" width="13.28515625" style="14" customWidth="1"/>
    <col min="14618" max="14618" width="11.42578125" style="14"/>
    <col min="14619" max="14619" width="2.85546875" style="14" customWidth="1"/>
    <col min="14620" max="14620" width="15.7109375" style="14" customWidth="1"/>
    <col min="14621" max="14622" width="11.42578125" style="14"/>
    <col min="14623" max="14623" width="3.42578125" style="14" customWidth="1"/>
    <col min="14624" max="14849" width="11.42578125" style="14"/>
    <col min="14850" max="14850" width="28.140625" style="14" bestFit="1" customWidth="1"/>
    <col min="14851" max="14851" width="15.7109375" style="14" customWidth="1"/>
    <col min="14852" max="14852" width="21.140625" style="14" customWidth="1"/>
    <col min="14853" max="14853" width="17.5703125" style="14" customWidth="1"/>
    <col min="14854" max="14854" width="13.5703125" style="14" customWidth="1"/>
    <col min="14855" max="14855" width="12.7109375" style="14" bestFit="1" customWidth="1"/>
    <col min="14856" max="14856" width="12.42578125" style="14" customWidth="1"/>
    <col min="14857" max="14857" width="14.140625" style="14" customWidth="1"/>
    <col min="14858" max="14858" width="13.28515625" style="14" bestFit="1" customWidth="1"/>
    <col min="14859" max="14873" width="13.28515625" style="14" customWidth="1"/>
    <col min="14874" max="14874" width="11.42578125" style="14"/>
    <col min="14875" max="14875" width="2.85546875" style="14" customWidth="1"/>
    <col min="14876" max="14876" width="15.7109375" style="14" customWidth="1"/>
    <col min="14877" max="14878" width="11.42578125" style="14"/>
    <col min="14879" max="14879" width="3.42578125" style="14" customWidth="1"/>
    <col min="14880" max="15105" width="11.42578125" style="14"/>
    <col min="15106" max="15106" width="28.140625" style="14" bestFit="1" customWidth="1"/>
    <col min="15107" max="15107" width="15.7109375" style="14" customWidth="1"/>
    <col min="15108" max="15108" width="21.140625" style="14" customWidth="1"/>
    <col min="15109" max="15109" width="17.5703125" style="14" customWidth="1"/>
    <col min="15110" max="15110" width="13.5703125" style="14" customWidth="1"/>
    <col min="15111" max="15111" width="12.7109375" style="14" bestFit="1" customWidth="1"/>
    <col min="15112" max="15112" width="12.42578125" style="14" customWidth="1"/>
    <col min="15113" max="15113" width="14.140625" style="14" customWidth="1"/>
    <col min="15114" max="15114" width="13.28515625" style="14" bestFit="1" customWidth="1"/>
    <col min="15115" max="15129" width="13.28515625" style="14" customWidth="1"/>
    <col min="15130" max="15130" width="11.42578125" style="14"/>
    <col min="15131" max="15131" width="2.85546875" style="14" customWidth="1"/>
    <col min="15132" max="15132" width="15.7109375" style="14" customWidth="1"/>
    <col min="15133" max="15134" width="11.42578125" style="14"/>
    <col min="15135" max="15135" width="3.42578125" style="14" customWidth="1"/>
    <col min="15136" max="15361" width="11.42578125" style="14"/>
    <col min="15362" max="15362" width="28.140625" style="14" bestFit="1" customWidth="1"/>
    <col min="15363" max="15363" width="15.7109375" style="14" customWidth="1"/>
    <col min="15364" max="15364" width="21.140625" style="14" customWidth="1"/>
    <col min="15365" max="15365" width="17.5703125" style="14" customWidth="1"/>
    <col min="15366" max="15366" width="13.5703125" style="14" customWidth="1"/>
    <col min="15367" max="15367" width="12.7109375" style="14" bestFit="1" customWidth="1"/>
    <col min="15368" max="15368" width="12.42578125" style="14" customWidth="1"/>
    <col min="15369" max="15369" width="14.140625" style="14" customWidth="1"/>
    <col min="15370" max="15370" width="13.28515625" style="14" bestFit="1" customWidth="1"/>
    <col min="15371" max="15385" width="13.28515625" style="14" customWidth="1"/>
    <col min="15386" max="15386" width="11.42578125" style="14"/>
    <col min="15387" max="15387" width="2.85546875" style="14" customWidth="1"/>
    <col min="15388" max="15388" width="15.7109375" style="14" customWidth="1"/>
    <col min="15389" max="15390" width="11.42578125" style="14"/>
    <col min="15391" max="15391" width="3.42578125" style="14" customWidth="1"/>
    <col min="15392" max="15617" width="11.42578125" style="14"/>
    <col min="15618" max="15618" width="28.140625" style="14" bestFit="1" customWidth="1"/>
    <col min="15619" max="15619" width="15.7109375" style="14" customWidth="1"/>
    <col min="15620" max="15620" width="21.140625" style="14" customWidth="1"/>
    <col min="15621" max="15621" width="17.5703125" style="14" customWidth="1"/>
    <col min="15622" max="15622" width="13.5703125" style="14" customWidth="1"/>
    <col min="15623" max="15623" width="12.7109375" style="14" bestFit="1" customWidth="1"/>
    <col min="15624" max="15624" width="12.42578125" style="14" customWidth="1"/>
    <col min="15625" max="15625" width="14.140625" style="14" customWidth="1"/>
    <col min="15626" max="15626" width="13.28515625" style="14" bestFit="1" customWidth="1"/>
    <col min="15627" max="15641" width="13.28515625" style="14" customWidth="1"/>
    <col min="15642" max="15642" width="11.42578125" style="14"/>
    <col min="15643" max="15643" width="2.85546875" style="14" customWidth="1"/>
    <col min="15644" max="15644" width="15.7109375" style="14" customWidth="1"/>
    <col min="15645" max="15646" width="11.42578125" style="14"/>
    <col min="15647" max="15647" width="3.42578125" style="14" customWidth="1"/>
    <col min="15648" max="15873" width="11.42578125" style="14"/>
    <col min="15874" max="15874" width="28.140625" style="14" bestFit="1" customWidth="1"/>
    <col min="15875" max="15875" width="15.7109375" style="14" customWidth="1"/>
    <col min="15876" max="15876" width="21.140625" style="14" customWidth="1"/>
    <col min="15877" max="15877" width="17.5703125" style="14" customWidth="1"/>
    <col min="15878" max="15878" width="13.5703125" style="14" customWidth="1"/>
    <col min="15879" max="15879" width="12.7109375" style="14" bestFit="1" customWidth="1"/>
    <col min="15880" max="15880" width="12.42578125" style="14" customWidth="1"/>
    <col min="15881" max="15881" width="14.140625" style="14" customWidth="1"/>
    <col min="15882" max="15882" width="13.28515625" style="14" bestFit="1" customWidth="1"/>
    <col min="15883" max="15897" width="13.28515625" style="14" customWidth="1"/>
    <col min="15898" max="15898" width="11.42578125" style="14"/>
    <col min="15899" max="15899" width="2.85546875" style="14" customWidth="1"/>
    <col min="15900" max="15900" width="15.7109375" style="14" customWidth="1"/>
    <col min="15901" max="15902" width="11.42578125" style="14"/>
    <col min="15903" max="15903" width="3.42578125" style="14" customWidth="1"/>
    <col min="15904" max="16129" width="11.42578125" style="14"/>
    <col min="16130" max="16130" width="28.140625" style="14" bestFit="1" customWidth="1"/>
    <col min="16131" max="16131" width="15.7109375" style="14" customWidth="1"/>
    <col min="16132" max="16132" width="21.140625" style="14" customWidth="1"/>
    <col min="16133" max="16133" width="17.5703125" style="14" customWidth="1"/>
    <col min="16134" max="16134" width="13.5703125" style="14" customWidth="1"/>
    <col min="16135" max="16135" width="12.7109375" style="14" bestFit="1" customWidth="1"/>
    <col min="16136" max="16136" width="12.42578125" style="14" customWidth="1"/>
    <col min="16137" max="16137" width="14.140625" style="14" customWidth="1"/>
    <col min="16138" max="16138" width="13.28515625" style="14" bestFit="1" customWidth="1"/>
    <col min="16139" max="16153" width="13.28515625" style="14" customWidth="1"/>
    <col min="16154" max="16154" width="11.42578125" style="14"/>
    <col min="16155" max="16155" width="2.85546875" style="14" customWidth="1"/>
    <col min="16156" max="16156" width="15.7109375" style="14" customWidth="1"/>
    <col min="16157" max="16158" width="11.42578125" style="14"/>
    <col min="16159" max="16159" width="3.42578125" style="14" customWidth="1"/>
    <col min="16160" max="16384" width="11.42578125" style="14"/>
  </cols>
  <sheetData>
    <row r="1" spans="1:37" ht="12.75" customHeight="1">
      <c r="B1" s="670" t="s">
        <v>195</v>
      </c>
      <c r="C1" s="672" t="s">
        <v>196</v>
      </c>
      <c r="D1" s="673"/>
      <c r="E1" s="673"/>
      <c r="F1" s="673"/>
      <c r="G1" s="673"/>
      <c r="H1" s="673"/>
      <c r="I1" s="673"/>
      <c r="J1" s="673"/>
      <c r="K1" s="673"/>
      <c r="L1" s="673"/>
      <c r="M1" s="673"/>
      <c r="N1" s="673"/>
      <c r="O1" s="673"/>
      <c r="P1" s="673"/>
      <c r="Q1" s="673"/>
      <c r="R1" s="673"/>
      <c r="S1" s="673"/>
      <c r="T1" s="673"/>
      <c r="U1" s="673"/>
      <c r="V1" s="673"/>
      <c r="W1" s="673"/>
      <c r="X1" s="673"/>
      <c r="Y1" s="673"/>
      <c r="Z1" s="674"/>
      <c r="AB1" s="670" t="s">
        <v>197</v>
      </c>
      <c r="AC1" s="676" t="s">
        <v>198</v>
      </c>
      <c r="AD1" s="677"/>
      <c r="AF1" s="680" t="s">
        <v>77</v>
      </c>
      <c r="AG1" s="681"/>
      <c r="AH1" s="681"/>
      <c r="AI1" s="681"/>
      <c r="AJ1" s="682"/>
      <c r="AK1" s="670" t="s">
        <v>10</v>
      </c>
    </row>
    <row r="2" spans="1:37" s="353" customFormat="1" ht="38.25" customHeight="1">
      <c r="B2" s="671"/>
      <c r="C2" s="354" t="str">
        <f>C52</f>
        <v>Toiture</v>
      </c>
      <c r="D2" s="354" t="str">
        <f>C53</f>
        <v>Terrasses entières</v>
      </c>
      <c r="E2" s="354" t="str">
        <f>C54</f>
        <v>Accessoires (Chenaux…)</v>
      </c>
      <c r="F2" s="354" t="str">
        <f>C55</f>
        <v>Joints Silicone + Dégarnissage</v>
      </c>
      <c r="G2" s="355" t="str">
        <f>C56</f>
        <v>Refection couche de roulement</v>
      </c>
      <c r="H2" s="355" t="str">
        <f>C57</f>
        <v>Ravalement complet</v>
      </c>
      <c r="I2" s="355" t="str">
        <f>C58</f>
        <v>Remplacement sols (Collectifs et studios)</v>
      </c>
      <c r="J2" s="355" t="str">
        <f>C59</f>
        <v>Remplacement</v>
      </c>
      <c r="K2" s="355" t="str">
        <f>C60</f>
        <v>Menuiserie alu</v>
      </c>
      <c r="L2" s="355" t="str">
        <f>C61</f>
        <v>Menuiserie Jalousie</v>
      </c>
      <c r="M2" s="355" t="str">
        <f>C62</f>
        <v>Fermetures alu yc portes d'accès</v>
      </c>
      <c r="N2" s="356" t="str">
        <f>C63</f>
        <v>Gardes-corps</v>
      </c>
      <c r="O2" s="355" t="str">
        <f>C64</f>
        <v>Canalisation yc AEP (EC+EF)</v>
      </c>
      <c r="P2" s="355" t="str">
        <f>C65</f>
        <v>Evacuation yc EU</v>
      </c>
      <c r="Q2" s="355" t="str">
        <f>C66</f>
        <v>Canalisation</v>
      </c>
      <c r="R2" s="355" t="str">
        <f>C67</f>
        <v>réfection (cablage)</v>
      </c>
      <c r="S2" s="355" t="str">
        <f>C68</f>
        <v>Huisseries / Portes palières</v>
      </c>
      <c r="T2" s="355" t="str">
        <f>C69</f>
        <v>Huisseries / Portes isoplanes</v>
      </c>
      <c r="U2" s="355" t="str">
        <f>C70</f>
        <v>Appareillage citerne ECS</v>
      </c>
      <c r="V2" s="355" t="str">
        <f>C71</f>
        <v>Appareillage pompe ECS</v>
      </c>
      <c r="W2" s="355" t="str">
        <f>C72</f>
        <v>Appareillage panneaux solaires</v>
      </c>
      <c r="X2" s="355" t="str">
        <f>C73</f>
        <v>Equipements (annexe 1)</v>
      </c>
      <c r="Y2" s="355" t="str">
        <f>B74</f>
        <v>Clôtures</v>
      </c>
      <c r="Z2" s="355" t="s">
        <v>10</v>
      </c>
      <c r="AA2" s="357"/>
      <c r="AB2" s="675"/>
      <c r="AC2" s="678"/>
      <c r="AD2" s="679"/>
      <c r="AF2" s="683"/>
      <c r="AG2" s="684"/>
      <c r="AH2" s="684"/>
      <c r="AI2" s="684"/>
      <c r="AJ2" s="685"/>
      <c r="AK2" s="671"/>
    </row>
    <row r="3" spans="1:37">
      <c r="B3" s="358"/>
      <c r="C3" s="359">
        <f>G52</f>
        <v>150106.399</v>
      </c>
      <c r="D3" s="359">
        <f>G53</f>
        <v>31389.624</v>
      </c>
      <c r="E3" s="360">
        <f>G54</f>
        <v>15314.999999999998</v>
      </c>
      <c r="F3" s="360">
        <f>G55</f>
        <v>10209.999999999998</v>
      </c>
      <c r="G3" s="360">
        <f>G56</f>
        <v>35734.999999999993</v>
      </c>
      <c r="H3" s="360">
        <f>G57</f>
        <v>89929.68</v>
      </c>
      <c r="I3" s="360">
        <f>G58</f>
        <v>513541.35479999997</v>
      </c>
      <c r="J3" s="360">
        <f>G59</f>
        <v>54888.959999999999</v>
      </c>
      <c r="K3" s="360">
        <f>G60</f>
        <v>358077.973</v>
      </c>
      <c r="L3" s="360">
        <f>G61</f>
        <v>245067.56699999998</v>
      </c>
      <c r="M3" s="360">
        <f>G62</f>
        <v>63036.539999999994</v>
      </c>
      <c r="N3" s="360">
        <f>G63</f>
        <v>235195.51800000001</v>
      </c>
      <c r="O3" s="360">
        <f>G64</f>
        <v>106288.14199999999</v>
      </c>
      <c r="P3" s="360">
        <f>G65</f>
        <v>6094.3490000000002</v>
      </c>
      <c r="Q3" s="360">
        <f>G66</f>
        <v>144877.85800000001</v>
      </c>
      <c r="R3" s="360">
        <f>G67</f>
        <v>255249.99999999997</v>
      </c>
      <c r="S3" s="360">
        <f>G68</f>
        <v>157404.50699999998</v>
      </c>
      <c r="T3" s="360">
        <f>G69</f>
        <v>55886.477000000006</v>
      </c>
      <c r="U3" s="360">
        <f>G70</f>
        <v>83219.668000000005</v>
      </c>
      <c r="V3" s="360">
        <f>G71</f>
        <v>165998.26400000002</v>
      </c>
      <c r="W3" s="360">
        <f>G72</f>
        <v>61259.999999999993</v>
      </c>
      <c r="X3" s="360">
        <f>G73</f>
        <v>500075.58999999997</v>
      </c>
      <c r="Y3" s="360">
        <f>G74</f>
        <v>25524.999999999996</v>
      </c>
      <c r="Z3" s="360">
        <f>SUM(C3:Y3)</f>
        <v>3364373.4707999993</v>
      </c>
      <c r="AB3" s="675"/>
      <c r="AC3" s="676" t="s">
        <v>35</v>
      </c>
      <c r="AD3" s="687" t="s">
        <v>199</v>
      </c>
      <c r="AF3" s="361">
        <v>10</v>
      </c>
      <c r="AG3" s="362">
        <v>15</v>
      </c>
      <c r="AH3" s="362">
        <v>20</v>
      </c>
      <c r="AI3" s="362">
        <v>25</v>
      </c>
      <c r="AJ3" s="362">
        <v>30</v>
      </c>
      <c r="AK3" s="363"/>
    </row>
    <row r="4" spans="1:37" s="364" customFormat="1">
      <c r="B4" s="365" t="s">
        <v>96</v>
      </c>
      <c r="C4" s="366">
        <v>30</v>
      </c>
      <c r="D4" s="366">
        <v>15</v>
      </c>
      <c r="E4" s="366">
        <v>30</v>
      </c>
      <c r="F4" s="366">
        <v>15</v>
      </c>
      <c r="G4" s="366">
        <v>30</v>
      </c>
      <c r="H4" s="366">
        <v>20</v>
      </c>
      <c r="I4" s="366">
        <v>25</v>
      </c>
      <c r="J4" s="366">
        <v>25</v>
      </c>
      <c r="K4" s="366">
        <v>25</v>
      </c>
      <c r="L4" s="366">
        <v>15</v>
      </c>
      <c r="M4" s="366">
        <v>15</v>
      </c>
      <c r="N4" s="366">
        <v>25</v>
      </c>
      <c r="O4" s="366">
        <v>15</v>
      </c>
      <c r="P4" s="366">
        <v>15</v>
      </c>
      <c r="Q4" s="366">
        <v>30</v>
      </c>
      <c r="R4" s="366">
        <v>25</v>
      </c>
      <c r="S4" s="366">
        <v>30</v>
      </c>
      <c r="T4" s="366">
        <v>15</v>
      </c>
      <c r="U4" s="366">
        <v>15</v>
      </c>
      <c r="V4" s="366">
        <v>10</v>
      </c>
      <c r="W4" s="366">
        <v>20</v>
      </c>
      <c r="X4" s="366"/>
      <c r="Y4" s="366">
        <v>30</v>
      </c>
      <c r="Z4" s="367"/>
      <c r="AA4" s="368"/>
      <c r="AB4" s="675"/>
      <c r="AC4" s="686"/>
      <c r="AD4" s="688"/>
      <c r="AF4" s="369"/>
      <c r="AG4" s="367"/>
      <c r="AH4" s="367"/>
      <c r="AI4" s="367"/>
      <c r="AJ4" s="367"/>
      <c r="AK4" s="369"/>
    </row>
    <row r="5" spans="1:37">
      <c r="B5" s="370"/>
      <c r="C5" s="370">
        <f>INT(40/C4)</f>
        <v>1</v>
      </c>
      <c r="D5" s="370">
        <f t="shared" ref="D5:Y5" si="0">INT(40/D4)</f>
        <v>2</v>
      </c>
      <c r="E5" s="370">
        <f t="shared" si="0"/>
        <v>1</v>
      </c>
      <c r="F5" s="370">
        <f t="shared" si="0"/>
        <v>2</v>
      </c>
      <c r="G5" s="370">
        <f t="shared" si="0"/>
        <v>1</v>
      </c>
      <c r="H5" s="370">
        <f t="shared" si="0"/>
        <v>2</v>
      </c>
      <c r="I5" s="370">
        <f t="shared" si="0"/>
        <v>1</v>
      </c>
      <c r="J5" s="370">
        <f t="shared" si="0"/>
        <v>1</v>
      </c>
      <c r="K5" s="370">
        <f t="shared" si="0"/>
        <v>1</v>
      </c>
      <c r="L5" s="370">
        <f t="shared" si="0"/>
        <v>2</v>
      </c>
      <c r="M5" s="370">
        <f t="shared" si="0"/>
        <v>2</v>
      </c>
      <c r="N5" s="370">
        <f t="shared" si="0"/>
        <v>1</v>
      </c>
      <c r="O5" s="370">
        <f t="shared" si="0"/>
        <v>2</v>
      </c>
      <c r="P5" s="370">
        <f t="shared" si="0"/>
        <v>2</v>
      </c>
      <c r="Q5" s="370">
        <f t="shared" si="0"/>
        <v>1</v>
      </c>
      <c r="R5" s="370">
        <f t="shared" si="0"/>
        <v>1</v>
      </c>
      <c r="S5" s="370">
        <f t="shared" si="0"/>
        <v>1</v>
      </c>
      <c r="T5" s="370">
        <f t="shared" si="0"/>
        <v>2</v>
      </c>
      <c r="U5" s="370">
        <f t="shared" si="0"/>
        <v>2</v>
      </c>
      <c r="V5" s="370">
        <f t="shared" si="0"/>
        <v>4</v>
      </c>
      <c r="W5" s="370">
        <f t="shared" si="0"/>
        <v>2</v>
      </c>
      <c r="X5" s="370"/>
      <c r="Y5" s="370">
        <f t="shared" si="0"/>
        <v>1</v>
      </c>
      <c r="Z5" s="371"/>
      <c r="AA5" s="372"/>
      <c r="AB5" s="671"/>
      <c r="AC5" s="678"/>
      <c r="AD5" s="689"/>
      <c r="AF5" s="373"/>
      <c r="AG5" s="374"/>
      <c r="AH5" s="374"/>
      <c r="AI5" s="374"/>
      <c r="AJ5" s="374"/>
      <c r="AK5" s="373"/>
    </row>
    <row r="6" spans="1:37">
      <c r="B6" s="375"/>
      <c r="C6" s="375"/>
      <c r="D6" s="376"/>
      <c r="E6" s="377"/>
      <c r="F6" s="377"/>
      <c r="G6" s="377"/>
      <c r="H6" s="377"/>
      <c r="I6" s="377"/>
      <c r="J6" s="377"/>
      <c r="K6" s="377"/>
      <c r="L6" s="377"/>
      <c r="M6" s="377"/>
      <c r="N6" s="377"/>
      <c r="O6" s="377"/>
      <c r="P6" s="377"/>
      <c r="Q6" s="377"/>
      <c r="R6" s="377"/>
      <c r="S6" s="377"/>
      <c r="T6" s="377"/>
      <c r="U6" s="377"/>
      <c r="V6" s="377"/>
      <c r="W6" s="377"/>
      <c r="X6" s="377"/>
      <c r="Y6" s="377"/>
      <c r="Z6" s="377"/>
      <c r="AA6" s="372"/>
      <c r="AB6" s="359"/>
      <c r="AC6" s="375"/>
      <c r="AD6" s="378"/>
      <c r="AF6" s="378"/>
      <c r="AG6" s="378"/>
      <c r="AH6" s="378"/>
      <c r="AI6" s="305"/>
      <c r="AK6" s="376">
        <f>AG6+AH6+AF6</f>
        <v>0</v>
      </c>
    </row>
    <row r="7" spans="1:37">
      <c r="B7" s="375">
        <v>2019</v>
      </c>
      <c r="C7" s="375"/>
      <c r="D7" s="376"/>
      <c r="E7" s="377"/>
      <c r="F7" s="377"/>
      <c r="G7" s="377"/>
      <c r="H7" s="377"/>
      <c r="I7" s="377"/>
      <c r="J7" s="377"/>
      <c r="K7" s="377"/>
      <c r="L7" s="377"/>
      <c r="M7" s="377"/>
      <c r="N7" s="377"/>
      <c r="O7" s="377"/>
      <c r="P7" s="377"/>
      <c r="Q7" s="377"/>
      <c r="R7" s="377"/>
      <c r="S7" s="377"/>
      <c r="T7" s="377"/>
      <c r="U7" s="377"/>
      <c r="V7" s="377"/>
      <c r="W7" s="377"/>
      <c r="X7" s="377"/>
      <c r="Y7" s="377"/>
      <c r="Z7" s="377"/>
      <c r="AA7" s="372"/>
      <c r="AB7" s="376"/>
      <c r="AC7" s="379">
        <f t="shared" ref="AC7:AC47" si="1">AB7-Z7</f>
        <v>0</v>
      </c>
      <c r="AD7" s="376">
        <f>AC7</f>
        <v>0</v>
      </c>
      <c r="AF7" s="378"/>
      <c r="AG7" s="378"/>
      <c r="AH7" s="378"/>
      <c r="AI7" s="305"/>
      <c r="AK7" s="376">
        <f>AG7+AH7+AF7</f>
        <v>0</v>
      </c>
    </row>
    <row r="8" spans="1:37">
      <c r="B8" s="375">
        <f t="shared" ref="B8:B47" si="2">B7+1</f>
        <v>2020</v>
      </c>
      <c r="C8" s="375"/>
      <c r="D8" s="376"/>
      <c r="E8" s="377"/>
      <c r="F8" s="377"/>
      <c r="G8" s="377"/>
      <c r="H8" s="377"/>
      <c r="I8" s="377"/>
      <c r="J8" s="377"/>
      <c r="K8" s="377"/>
      <c r="L8" s="377"/>
      <c r="M8" s="377"/>
      <c r="N8" s="377"/>
      <c r="O8" s="377"/>
      <c r="P8" s="377"/>
      <c r="Q8" s="377"/>
      <c r="R8" s="377"/>
      <c r="S8" s="377"/>
      <c r="T8" s="377"/>
      <c r="U8" s="377"/>
      <c r="V8" s="377"/>
      <c r="W8" s="377"/>
      <c r="X8" s="377"/>
      <c r="Y8" s="377"/>
      <c r="Z8" s="377"/>
      <c r="AA8" s="372"/>
      <c r="AB8" s="376"/>
      <c r="AC8" s="379">
        <f t="shared" si="1"/>
        <v>0</v>
      </c>
      <c r="AD8" s="376">
        <f>AD7+AC8</f>
        <v>0</v>
      </c>
      <c r="AF8" s="378"/>
      <c r="AG8" s="378"/>
      <c r="AH8" s="378"/>
      <c r="AI8" s="305"/>
      <c r="AK8" s="376">
        <f>AG8+AH8+AF8</f>
        <v>0</v>
      </c>
    </row>
    <row r="9" spans="1:37">
      <c r="B9" s="375">
        <f t="shared" si="2"/>
        <v>2021</v>
      </c>
      <c r="C9" s="375"/>
      <c r="D9" s="376"/>
      <c r="E9" s="377"/>
      <c r="F9" s="377"/>
      <c r="G9" s="377"/>
      <c r="H9" s="377"/>
      <c r="I9" s="377"/>
      <c r="J9" s="377"/>
      <c r="K9" s="377"/>
      <c r="L9" s="377"/>
      <c r="M9" s="377"/>
      <c r="N9" s="377"/>
      <c r="O9" s="377"/>
      <c r="P9" s="377"/>
      <c r="Q9" s="377"/>
      <c r="R9" s="377"/>
      <c r="S9" s="377"/>
      <c r="T9" s="377"/>
      <c r="U9" s="377"/>
      <c r="V9" s="377"/>
      <c r="W9" s="377"/>
      <c r="X9" s="377"/>
      <c r="Y9" s="377"/>
      <c r="Z9" s="377"/>
      <c r="AA9" s="372"/>
      <c r="AB9" s="376"/>
      <c r="AC9" s="379">
        <f t="shared" si="1"/>
        <v>0</v>
      </c>
      <c r="AD9" s="376">
        <f>AD8+AC9</f>
        <v>0</v>
      </c>
      <c r="AF9" s="378"/>
      <c r="AG9" s="378"/>
      <c r="AH9" s="378"/>
      <c r="AI9" s="305"/>
      <c r="AK9" s="376">
        <f>AG9+AH9+AF9+AJ9</f>
        <v>0</v>
      </c>
    </row>
    <row r="10" spans="1:37">
      <c r="B10" s="375">
        <f t="shared" si="2"/>
        <v>2022</v>
      </c>
      <c r="C10" s="375"/>
      <c r="D10" s="376"/>
      <c r="E10" s="377"/>
      <c r="F10" s="377"/>
      <c r="G10" s="377"/>
      <c r="H10" s="377"/>
      <c r="I10" s="377"/>
      <c r="J10" s="377"/>
      <c r="K10" s="377"/>
      <c r="L10" s="377"/>
      <c r="M10" s="377"/>
      <c r="N10" s="377"/>
      <c r="O10" s="377"/>
      <c r="P10" s="377"/>
      <c r="Q10" s="377"/>
      <c r="R10" s="377"/>
      <c r="S10" s="377"/>
      <c r="T10" s="377"/>
      <c r="U10" s="377"/>
      <c r="V10" s="377"/>
      <c r="W10" s="377"/>
      <c r="X10" s="377"/>
      <c r="Y10" s="377"/>
      <c r="Z10" s="377"/>
      <c r="AA10" s="372"/>
      <c r="AB10" s="376"/>
      <c r="AC10" s="379">
        <f t="shared" si="1"/>
        <v>0</v>
      </c>
      <c r="AD10" s="376">
        <f>AD9+AC10</f>
        <v>0</v>
      </c>
      <c r="AF10" s="378"/>
      <c r="AG10" s="378"/>
      <c r="AH10" s="380"/>
      <c r="AI10" s="381"/>
      <c r="AJ10" s="382"/>
      <c r="AK10" s="376">
        <f>AG10+AH10+AF10+AJ10</f>
        <v>0</v>
      </c>
    </row>
    <row r="11" spans="1:37">
      <c r="B11" s="375">
        <f t="shared" si="2"/>
        <v>2023</v>
      </c>
      <c r="C11" s="376"/>
      <c r="D11" s="376"/>
      <c r="E11" s="377"/>
      <c r="F11" s="377"/>
      <c r="G11" s="377"/>
      <c r="H11" s="377"/>
      <c r="I11" s="377"/>
      <c r="J11" s="377"/>
      <c r="K11" s="377"/>
      <c r="L11" s="377"/>
      <c r="M11" s="377"/>
      <c r="N11" s="377"/>
      <c r="O11" s="377"/>
      <c r="P11" s="377"/>
      <c r="Q11" s="377"/>
      <c r="R11" s="377"/>
      <c r="S11" s="377"/>
      <c r="T11" s="377"/>
      <c r="U11" s="377"/>
      <c r="V11" s="377"/>
      <c r="W11" s="377"/>
      <c r="X11" s="377"/>
      <c r="Y11" s="377"/>
      <c r="Z11" s="377"/>
      <c r="AA11" s="372"/>
      <c r="AB11" s="376"/>
      <c r="AC11" s="379">
        <f t="shared" si="1"/>
        <v>0</v>
      </c>
      <c r="AD11" s="376">
        <f>AD10+AC11</f>
        <v>0</v>
      </c>
      <c r="AF11" s="376"/>
      <c r="AG11" s="378"/>
      <c r="AH11" s="380"/>
      <c r="AI11" s="381"/>
      <c r="AJ11" s="382"/>
      <c r="AK11" s="376">
        <f t="shared" ref="AK11:AK16" si="3">AG11+AH11+AF11+AJ11</f>
        <v>0</v>
      </c>
    </row>
    <row r="12" spans="1:37">
      <c r="A12" s="14">
        <v>5</v>
      </c>
      <c r="B12" s="375">
        <f>B11+1</f>
        <v>2024</v>
      </c>
      <c r="C12" s="375"/>
      <c r="D12" s="376"/>
      <c r="E12" s="377"/>
      <c r="F12" s="377"/>
      <c r="G12" s="377"/>
      <c r="H12" s="377"/>
      <c r="I12" s="377"/>
      <c r="J12" s="377"/>
      <c r="K12" s="377"/>
      <c r="L12" s="377"/>
      <c r="M12" s="377"/>
      <c r="N12" s="377"/>
      <c r="O12" s="377"/>
      <c r="P12" s="377"/>
      <c r="Q12" s="377"/>
      <c r="R12" s="377"/>
      <c r="S12" s="377"/>
      <c r="T12" s="377"/>
      <c r="U12" s="377"/>
      <c r="V12" s="377"/>
      <c r="W12" s="377"/>
      <c r="X12" s="377"/>
      <c r="Y12" s="377"/>
      <c r="Z12" s="377"/>
      <c r="AA12" s="372"/>
      <c r="AB12" s="376">
        <f>AB13/2</f>
        <v>65925.004425714287</v>
      </c>
      <c r="AC12" s="379">
        <f t="shared" si="1"/>
        <v>65925.004425714287</v>
      </c>
      <c r="AD12" s="376">
        <f>AD11+AC12</f>
        <v>65925.004425714287</v>
      </c>
      <c r="AF12" s="376"/>
      <c r="AG12" s="378"/>
      <c r="AH12" s="378"/>
      <c r="AI12" s="305"/>
      <c r="AK12" s="376">
        <f t="shared" si="3"/>
        <v>0</v>
      </c>
    </row>
    <row r="13" spans="1:37">
      <c r="B13" s="375">
        <f t="shared" si="2"/>
        <v>2025</v>
      </c>
      <c r="C13" s="378"/>
      <c r="D13" s="376"/>
      <c r="E13" s="376"/>
      <c r="F13" s="376"/>
      <c r="G13" s="376"/>
      <c r="H13" s="376"/>
      <c r="I13" s="376"/>
      <c r="J13" s="376"/>
      <c r="K13" s="376"/>
      <c r="L13" s="376"/>
      <c r="M13" s="376"/>
      <c r="N13" s="376"/>
      <c r="O13" s="376"/>
      <c r="P13" s="376"/>
      <c r="Q13" s="376"/>
      <c r="R13" s="376"/>
      <c r="S13" s="376"/>
      <c r="T13" s="376"/>
      <c r="U13" s="376"/>
      <c r="V13" s="376"/>
      <c r="W13" s="376"/>
      <c r="X13" s="376"/>
      <c r="Y13" s="376"/>
      <c r="Z13" s="376"/>
      <c r="AA13" s="372"/>
      <c r="AB13" s="376">
        <f>$Z$49/35</f>
        <v>131850.00885142857</v>
      </c>
      <c r="AC13" s="379">
        <f t="shared" si="1"/>
        <v>131850.00885142857</v>
      </c>
      <c r="AD13" s="376">
        <f t="shared" ref="AD13:AD32" si="4">AD12+AC13</f>
        <v>197775.01327714286</v>
      </c>
      <c r="AF13" s="376"/>
      <c r="AG13" s="378"/>
      <c r="AH13" s="378"/>
      <c r="AI13" s="305"/>
      <c r="AK13" s="376">
        <f t="shared" si="3"/>
        <v>0</v>
      </c>
    </row>
    <row r="14" spans="1:37">
      <c r="B14" s="375">
        <f t="shared" si="2"/>
        <v>2026</v>
      </c>
      <c r="C14" s="378"/>
      <c r="D14" s="376"/>
      <c r="E14" s="376"/>
      <c r="F14" s="376"/>
      <c r="G14" s="376"/>
      <c r="H14" s="376"/>
      <c r="I14" s="376"/>
      <c r="J14" s="376"/>
      <c r="K14" s="376"/>
      <c r="L14" s="376"/>
      <c r="M14" s="376"/>
      <c r="N14" s="376"/>
      <c r="O14" s="376"/>
      <c r="P14" s="376"/>
      <c r="Q14" s="376"/>
      <c r="R14" s="376"/>
      <c r="S14" s="376"/>
      <c r="T14" s="376"/>
      <c r="U14" s="376"/>
      <c r="V14" s="376"/>
      <c r="W14" s="376"/>
      <c r="X14" s="376"/>
      <c r="Y14" s="376"/>
      <c r="Z14" s="376"/>
      <c r="AA14" s="372"/>
      <c r="AB14" s="376">
        <f t="shared" ref="AB14:AB46" si="5">$Z$49/35</f>
        <v>131850.00885142857</v>
      </c>
      <c r="AC14" s="379">
        <f t="shared" si="1"/>
        <v>131850.00885142857</v>
      </c>
      <c r="AD14" s="376">
        <f t="shared" si="4"/>
        <v>329625.02212857141</v>
      </c>
      <c r="AF14" s="376"/>
      <c r="AG14" s="378"/>
      <c r="AH14" s="378"/>
      <c r="AI14" s="305"/>
      <c r="AK14" s="376">
        <f t="shared" si="3"/>
        <v>0</v>
      </c>
    </row>
    <row r="15" spans="1:37">
      <c r="B15" s="375">
        <f t="shared" si="2"/>
        <v>2027</v>
      </c>
      <c r="C15" s="376"/>
      <c r="D15" s="376"/>
      <c r="E15" s="376"/>
      <c r="F15" s="376"/>
      <c r="G15" s="376"/>
      <c r="H15" s="376"/>
      <c r="I15" s="376"/>
      <c r="J15" s="376"/>
      <c r="K15" s="376"/>
      <c r="L15" s="376"/>
      <c r="M15" s="376"/>
      <c r="N15" s="376"/>
      <c r="O15" s="376"/>
      <c r="P15" s="376"/>
      <c r="Q15" s="376"/>
      <c r="R15" s="376"/>
      <c r="S15" s="376"/>
      <c r="T15" s="376"/>
      <c r="U15" s="376"/>
      <c r="V15" s="376"/>
      <c r="W15" s="376"/>
      <c r="X15" s="376"/>
      <c r="Y15" s="376"/>
      <c r="Z15" s="376"/>
      <c r="AA15" s="372"/>
      <c r="AB15" s="376">
        <f t="shared" si="5"/>
        <v>131850.00885142857</v>
      </c>
      <c r="AC15" s="379">
        <f t="shared" si="1"/>
        <v>131850.00885142857</v>
      </c>
      <c r="AD15" s="376">
        <f t="shared" si="4"/>
        <v>461475.03097999998</v>
      </c>
      <c r="AF15" s="376"/>
      <c r="AG15" s="378"/>
      <c r="AH15" s="378"/>
      <c r="AI15" s="305"/>
      <c r="AK15" s="376">
        <f t="shared" si="3"/>
        <v>0</v>
      </c>
    </row>
    <row r="16" spans="1:37">
      <c r="B16" s="375">
        <f t="shared" si="2"/>
        <v>2028</v>
      </c>
      <c r="C16" s="378"/>
      <c r="D16" s="378"/>
      <c r="E16" s="378"/>
      <c r="F16" s="378"/>
      <c r="G16" s="378"/>
      <c r="H16" s="378"/>
      <c r="I16" s="378"/>
      <c r="J16" s="378"/>
      <c r="K16" s="378"/>
      <c r="L16" s="378"/>
      <c r="M16" s="378"/>
      <c r="N16" s="378"/>
      <c r="O16" s="378"/>
      <c r="P16" s="378"/>
      <c r="Q16" s="378"/>
      <c r="R16" s="378"/>
      <c r="S16" s="378"/>
      <c r="T16" s="378"/>
      <c r="U16" s="378"/>
      <c r="V16" s="378"/>
      <c r="W16" s="378"/>
      <c r="X16" s="378"/>
      <c r="Y16" s="378"/>
      <c r="Z16" s="378"/>
      <c r="AA16" s="372"/>
      <c r="AB16" s="376">
        <f t="shared" si="5"/>
        <v>131850.00885142857</v>
      </c>
      <c r="AC16" s="379">
        <f t="shared" si="1"/>
        <v>131850.00885142857</v>
      </c>
      <c r="AD16" s="376">
        <f t="shared" si="4"/>
        <v>593325.03983142856</v>
      </c>
      <c r="AF16" s="376"/>
      <c r="AG16" s="378"/>
      <c r="AH16" s="378"/>
      <c r="AI16" s="305"/>
      <c r="AK16" s="376">
        <f t="shared" si="3"/>
        <v>0</v>
      </c>
    </row>
    <row r="17" spans="1:37">
      <c r="A17" s="14">
        <v>10</v>
      </c>
      <c r="B17" s="375">
        <f t="shared" si="2"/>
        <v>2029</v>
      </c>
      <c r="C17" s="378"/>
      <c r="D17" s="376"/>
      <c r="E17" s="378"/>
      <c r="F17" s="376"/>
      <c r="G17" s="376"/>
      <c r="H17" s="376"/>
      <c r="I17" s="376"/>
      <c r="J17" s="376"/>
      <c r="K17" s="376"/>
      <c r="L17" s="376"/>
      <c r="M17" s="376"/>
      <c r="N17" s="378"/>
      <c r="O17" s="376"/>
      <c r="P17" s="376"/>
      <c r="Q17" s="376"/>
      <c r="R17" s="376"/>
      <c r="S17" s="376"/>
      <c r="T17" s="376"/>
      <c r="U17" s="376"/>
      <c r="V17" s="376">
        <f>V3</f>
        <v>165998.26400000002</v>
      </c>
      <c r="W17" s="376"/>
      <c r="X17" s="376">
        <f>[49]Equipements!M74*1.021</f>
        <v>510.49999999999994</v>
      </c>
      <c r="Y17" s="376"/>
      <c r="Z17" s="376">
        <f>SUM(C17:Y17)</f>
        <v>166508.76400000002</v>
      </c>
      <c r="AA17" s="372"/>
      <c r="AB17" s="376">
        <f t="shared" si="5"/>
        <v>131850.00885142857</v>
      </c>
      <c r="AC17" s="379">
        <f>AB17-Z17</f>
        <v>-34658.75514857145</v>
      </c>
      <c r="AD17" s="376">
        <f t="shared" si="4"/>
        <v>558666.28468285711</v>
      </c>
      <c r="AF17" s="376">
        <f>Z17/10</f>
        <v>16650.876400000001</v>
      </c>
      <c r="AG17" s="378"/>
      <c r="AH17" s="378"/>
      <c r="AI17" s="305"/>
      <c r="AK17" s="376">
        <f>SUM(AF17:AJ17)</f>
        <v>16650.876400000001</v>
      </c>
    </row>
    <row r="18" spans="1:37">
      <c r="B18" s="375">
        <f t="shared" si="2"/>
        <v>2030</v>
      </c>
      <c r="C18" s="378"/>
      <c r="D18" s="376"/>
      <c r="E18" s="376"/>
      <c r="F18" s="376"/>
      <c r="G18" s="376"/>
      <c r="H18" s="376"/>
      <c r="I18" s="376"/>
      <c r="J18" s="376"/>
      <c r="K18" s="376"/>
      <c r="L18" s="376"/>
      <c r="M18" s="376"/>
      <c r="N18" s="376"/>
      <c r="O18" s="376"/>
      <c r="P18" s="376"/>
      <c r="Q18" s="376"/>
      <c r="R18" s="376"/>
      <c r="S18" s="376"/>
      <c r="T18" s="376"/>
      <c r="U18" s="376"/>
      <c r="V18" s="376"/>
      <c r="W18" s="376"/>
      <c r="X18" s="376"/>
      <c r="Y18" s="376"/>
      <c r="Z18" s="376"/>
      <c r="AA18" s="372"/>
      <c r="AB18" s="376">
        <f t="shared" si="5"/>
        <v>131850.00885142857</v>
      </c>
      <c r="AC18" s="379">
        <f t="shared" si="1"/>
        <v>131850.00885142857</v>
      </c>
      <c r="AD18" s="376">
        <f t="shared" si="4"/>
        <v>690516.29353428562</v>
      </c>
      <c r="AF18" s="376">
        <f t="shared" ref="AF18:AI33" si="6">AF17</f>
        <v>16650.876400000001</v>
      </c>
      <c r="AG18" s="378"/>
      <c r="AH18" s="378"/>
      <c r="AI18" s="305"/>
      <c r="AK18" s="376">
        <f t="shared" ref="AK18:AK47" si="7">SUM(AF18:AJ18)</f>
        <v>16650.876400000001</v>
      </c>
    </row>
    <row r="19" spans="1:37">
      <c r="B19" s="375">
        <f t="shared" si="2"/>
        <v>2031</v>
      </c>
      <c r="C19" s="378"/>
      <c r="D19" s="376"/>
      <c r="E19" s="376"/>
      <c r="F19" s="376"/>
      <c r="G19" s="376"/>
      <c r="H19" s="376"/>
      <c r="I19" s="376"/>
      <c r="J19" s="376"/>
      <c r="K19" s="376"/>
      <c r="L19" s="376"/>
      <c r="M19" s="376"/>
      <c r="N19" s="376"/>
      <c r="O19" s="376"/>
      <c r="P19" s="376"/>
      <c r="Q19" s="376"/>
      <c r="R19" s="376"/>
      <c r="S19" s="376"/>
      <c r="T19" s="376"/>
      <c r="U19" s="376"/>
      <c r="V19" s="376"/>
      <c r="W19" s="376"/>
      <c r="X19" s="376"/>
      <c r="Y19" s="376"/>
      <c r="Z19" s="376"/>
      <c r="AA19" s="372"/>
      <c r="AB19" s="376">
        <f t="shared" si="5"/>
        <v>131850.00885142857</v>
      </c>
      <c r="AC19" s="379">
        <f t="shared" si="1"/>
        <v>131850.00885142857</v>
      </c>
      <c r="AD19" s="376">
        <f t="shared" si="4"/>
        <v>822366.30238571414</v>
      </c>
      <c r="AF19" s="376">
        <f t="shared" si="6"/>
        <v>16650.876400000001</v>
      </c>
      <c r="AG19" s="378"/>
      <c r="AH19" s="378"/>
      <c r="AI19" s="305"/>
      <c r="AK19" s="376">
        <f t="shared" si="7"/>
        <v>16650.876400000001</v>
      </c>
    </row>
    <row r="20" spans="1:37">
      <c r="B20" s="375">
        <f t="shared" si="2"/>
        <v>2032</v>
      </c>
      <c r="C20" s="378"/>
      <c r="D20" s="376"/>
      <c r="E20" s="376"/>
      <c r="F20" s="376"/>
      <c r="G20" s="376"/>
      <c r="H20" s="376"/>
      <c r="I20" s="376"/>
      <c r="J20" s="376"/>
      <c r="K20" s="376"/>
      <c r="L20" s="376"/>
      <c r="M20" s="376"/>
      <c r="N20" s="376"/>
      <c r="O20" s="376"/>
      <c r="P20" s="376"/>
      <c r="Q20" s="376"/>
      <c r="R20" s="376"/>
      <c r="S20" s="376"/>
      <c r="T20" s="376"/>
      <c r="U20" s="376"/>
      <c r="V20" s="376"/>
      <c r="W20" s="376"/>
      <c r="X20" s="376"/>
      <c r="Y20" s="376"/>
      <c r="Z20" s="376"/>
      <c r="AA20" s="372"/>
      <c r="AB20" s="376">
        <f t="shared" si="5"/>
        <v>131850.00885142857</v>
      </c>
      <c r="AC20" s="379">
        <f t="shared" si="1"/>
        <v>131850.00885142857</v>
      </c>
      <c r="AD20" s="376">
        <f t="shared" si="4"/>
        <v>954216.31123714265</v>
      </c>
      <c r="AF20" s="376">
        <f t="shared" si="6"/>
        <v>16650.876400000001</v>
      </c>
      <c r="AG20" s="378"/>
      <c r="AH20" s="378"/>
      <c r="AI20" s="305"/>
      <c r="AK20" s="376">
        <f t="shared" si="7"/>
        <v>16650.876400000001</v>
      </c>
    </row>
    <row r="21" spans="1:37">
      <c r="B21" s="375">
        <f t="shared" si="2"/>
        <v>2033</v>
      </c>
      <c r="C21" s="376"/>
      <c r="D21" s="376"/>
      <c r="E21" s="377"/>
      <c r="F21" s="377"/>
      <c r="G21" s="377"/>
      <c r="H21" s="377"/>
      <c r="I21" s="377"/>
      <c r="J21" s="377"/>
      <c r="K21" s="377"/>
      <c r="L21" s="377"/>
      <c r="M21" s="377"/>
      <c r="N21" s="377"/>
      <c r="O21" s="377"/>
      <c r="P21" s="377"/>
      <c r="Q21" s="377"/>
      <c r="R21" s="377"/>
      <c r="S21" s="377"/>
      <c r="T21" s="377"/>
      <c r="U21" s="377"/>
      <c r="V21" s="377"/>
      <c r="W21" s="377"/>
      <c r="X21" s="377"/>
      <c r="Y21" s="377"/>
      <c r="Z21" s="377"/>
      <c r="AA21" s="372"/>
      <c r="AB21" s="376">
        <f t="shared" si="5"/>
        <v>131850.00885142857</v>
      </c>
      <c r="AC21" s="379">
        <f t="shared" si="1"/>
        <v>131850.00885142857</v>
      </c>
      <c r="AD21" s="376">
        <f t="shared" si="4"/>
        <v>1086066.3200885712</v>
      </c>
      <c r="AF21" s="376">
        <f t="shared" si="6"/>
        <v>16650.876400000001</v>
      </c>
      <c r="AG21" s="376"/>
      <c r="AH21" s="378"/>
      <c r="AI21" s="305"/>
      <c r="AK21" s="376">
        <f t="shared" si="7"/>
        <v>16650.876400000001</v>
      </c>
    </row>
    <row r="22" spans="1:37">
      <c r="A22" s="14">
        <v>15</v>
      </c>
      <c r="B22" s="375">
        <f t="shared" si="2"/>
        <v>2034</v>
      </c>
      <c r="C22" s="375"/>
      <c r="D22" s="376">
        <f>D3</f>
        <v>31389.624</v>
      </c>
      <c r="E22" s="377"/>
      <c r="F22" s="377">
        <f>F3</f>
        <v>10209.999999999998</v>
      </c>
      <c r="G22" s="377"/>
      <c r="H22" s="377"/>
      <c r="I22" s="377"/>
      <c r="J22" s="377"/>
      <c r="K22" s="377"/>
      <c r="L22" s="377">
        <f>L3</f>
        <v>245067.56699999998</v>
      </c>
      <c r="M22" s="377">
        <f>M3</f>
        <v>63036.539999999994</v>
      </c>
      <c r="N22" s="377"/>
      <c r="O22" s="377">
        <f>O3</f>
        <v>106288.14199999999</v>
      </c>
      <c r="P22" s="377">
        <f>P3</f>
        <v>6094.3490000000002</v>
      </c>
      <c r="Q22" s="377"/>
      <c r="R22" s="377"/>
      <c r="S22" s="377"/>
      <c r="T22" s="377">
        <f>T3</f>
        <v>55886.477000000006</v>
      </c>
      <c r="U22" s="377">
        <f>U3</f>
        <v>83219.668000000005</v>
      </c>
      <c r="V22" s="377"/>
      <c r="W22" s="377"/>
      <c r="X22" s="377">
        <f>[49]Equipements!N74*1.021</f>
        <v>91889.999999999985</v>
      </c>
      <c r="Y22" s="377"/>
      <c r="Z22" s="377">
        <f>SUM(C22:Y22)</f>
        <v>693082.36699999997</v>
      </c>
      <c r="AA22" s="372"/>
      <c r="AB22" s="376">
        <f t="shared" si="5"/>
        <v>131850.00885142857</v>
      </c>
      <c r="AC22" s="379">
        <f t="shared" si="1"/>
        <v>-561232.35814857134</v>
      </c>
      <c r="AD22" s="376">
        <f t="shared" si="4"/>
        <v>524833.96193999983</v>
      </c>
      <c r="AF22" s="376">
        <f t="shared" si="6"/>
        <v>16650.876400000001</v>
      </c>
      <c r="AG22" s="376">
        <f>Z22/15</f>
        <v>46205.491133333329</v>
      </c>
      <c r="AH22" s="378"/>
      <c r="AI22" s="305"/>
      <c r="AK22" s="376">
        <f t="shared" si="7"/>
        <v>62856.36753333333</v>
      </c>
    </row>
    <row r="23" spans="1:37">
      <c r="B23" s="375">
        <f t="shared" si="2"/>
        <v>2035</v>
      </c>
      <c r="C23" s="375"/>
      <c r="D23" s="376"/>
      <c r="E23" s="377"/>
      <c r="F23" s="377"/>
      <c r="G23" s="377"/>
      <c r="H23" s="377"/>
      <c r="I23" s="377"/>
      <c r="J23" s="377"/>
      <c r="K23" s="377"/>
      <c r="L23" s="377"/>
      <c r="M23" s="377"/>
      <c r="N23" s="377"/>
      <c r="O23" s="377"/>
      <c r="P23" s="377"/>
      <c r="Q23" s="377"/>
      <c r="R23" s="377"/>
      <c r="S23" s="377"/>
      <c r="T23" s="377"/>
      <c r="U23" s="377"/>
      <c r="V23" s="377"/>
      <c r="W23" s="377"/>
      <c r="X23" s="377"/>
      <c r="Y23" s="377"/>
      <c r="Z23" s="377"/>
      <c r="AA23" s="372"/>
      <c r="AB23" s="376">
        <f t="shared" si="5"/>
        <v>131850.00885142857</v>
      </c>
      <c r="AC23" s="379">
        <f t="shared" si="1"/>
        <v>131850.00885142857</v>
      </c>
      <c r="AD23" s="376">
        <f t="shared" si="4"/>
        <v>656683.97079142835</v>
      </c>
      <c r="AF23" s="376">
        <f t="shared" si="6"/>
        <v>16650.876400000001</v>
      </c>
      <c r="AG23" s="376">
        <f t="shared" si="6"/>
        <v>46205.491133333329</v>
      </c>
      <c r="AH23" s="378"/>
      <c r="AI23" s="305"/>
      <c r="AK23" s="376">
        <f t="shared" si="7"/>
        <v>62856.36753333333</v>
      </c>
    </row>
    <row r="24" spans="1:37">
      <c r="B24" s="375">
        <f t="shared" si="2"/>
        <v>2036</v>
      </c>
      <c r="C24" s="375"/>
      <c r="D24" s="376"/>
      <c r="E24" s="377"/>
      <c r="F24" s="377"/>
      <c r="G24" s="377"/>
      <c r="H24" s="377"/>
      <c r="I24" s="377"/>
      <c r="J24" s="377"/>
      <c r="K24" s="377"/>
      <c r="L24" s="377"/>
      <c r="M24" s="377"/>
      <c r="N24" s="377"/>
      <c r="O24" s="377"/>
      <c r="P24" s="377"/>
      <c r="Q24" s="377"/>
      <c r="R24" s="377"/>
      <c r="S24" s="377"/>
      <c r="T24" s="377"/>
      <c r="U24" s="377"/>
      <c r="V24" s="377"/>
      <c r="W24" s="377"/>
      <c r="X24" s="377"/>
      <c r="Y24" s="377"/>
      <c r="Z24" s="377"/>
      <c r="AA24" s="372"/>
      <c r="AB24" s="376">
        <f t="shared" si="5"/>
        <v>131850.00885142857</v>
      </c>
      <c r="AC24" s="379">
        <f t="shared" si="1"/>
        <v>131850.00885142857</v>
      </c>
      <c r="AD24" s="376">
        <f t="shared" si="4"/>
        <v>788533.97964285687</v>
      </c>
      <c r="AF24" s="376">
        <f t="shared" si="6"/>
        <v>16650.876400000001</v>
      </c>
      <c r="AG24" s="376">
        <f t="shared" si="6"/>
        <v>46205.491133333329</v>
      </c>
      <c r="AH24" s="376"/>
      <c r="AI24" s="372"/>
      <c r="AJ24" s="372"/>
      <c r="AK24" s="376">
        <f t="shared" si="7"/>
        <v>62856.36753333333</v>
      </c>
    </row>
    <row r="25" spans="1:37">
      <c r="B25" s="375">
        <f t="shared" si="2"/>
        <v>2037</v>
      </c>
      <c r="C25" s="375"/>
      <c r="D25" s="376"/>
      <c r="E25" s="377"/>
      <c r="F25" s="377"/>
      <c r="G25" s="377"/>
      <c r="H25" s="377"/>
      <c r="I25" s="377"/>
      <c r="J25" s="377"/>
      <c r="K25" s="377"/>
      <c r="L25" s="377"/>
      <c r="M25" s="377"/>
      <c r="N25" s="377"/>
      <c r="O25" s="377"/>
      <c r="P25" s="377"/>
      <c r="Q25" s="377"/>
      <c r="R25" s="377"/>
      <c r="S25" s="377"/>
      <c r="T25" s="377"/>
      <c r="U25" s="377"/>
      <c r="V25" s="377"/>
      <c r="W25" s="377"/>
      <c r="X25" s="377"/>
      <c r="Y25" s="377"/>
      <c r="Z25" s="377"/>
      <c r="AA25" s="372"/>
      <c r="AB25" s="376">
        <f t="shared" si="5"/>
        <v>131850.00885142857</v>
      </c>
      <c r="AC25" s="379">
        <f t="shared" si="1"/>
        <v>131850.00885142857</v>
      </c>
      <c r="AD25" s="376">
        <f t="shared" si="4"/>
        <v>920383.98849428538</v>
      </c>
      <c r="AF25" s="376">
        <f t="shared" si="6"/>
        <v>16650.876400000001</v>
      </c>
      <c r="AG25" s="376">
        <f t="shared" si="6"/>
        <v>46205.491133333329</v>
      </c>
      <c r="AH25" s="376"/>
      <c r="AI25" s="372"/>
      <c r="AJ25" s="372"/>
      <c r="AK25" s="376">
        <f t="shared" si="7"/>
        <v>62856.36753333333</v>
      </c>
    </row>
    <row r="26" spans="1:37">
      <c r="B26" s="375">
        <f t="shared" si="2"/>
        <v>2038</v>
      </c>
      <c r="C26" s="379"/>
      <c r="D26" s="376"/>
      <c r="E26" s="377"/>
      <c r="F26" s="377"/>
      <c r="G26" s="377"/>
      <c r="H26" s="377"/>
      <c r="I26" s="377"/>
      <c r="J26" s="377"/>
      <c r="K26" s="377"/>
      <c r="L26" s="377"/>
      <c r="M26" s="377"/>
      <c r="N26" s="377"/>
      <c r="O26" s="377"/>
      <c r="P26" s="377"/>
      <c r="Q26" s="377"/>
      <c r="R26" s="377"/>
      <c r="S26" s="377"/>
      <c r="T26" s="377"/>
      <c r="U26" s="377"/>
      <c r="V26" s="377"/>
      <c r="W26" s="377"/>
      <c r="X26" s="377"/>
      <c r="Y26" s="377"/>
      <c r="Z26" s="377"/>
      <c r="AA26" s="372"/>
      <c r="AB26" s="376">
        <f t="shared" si="5"/>
        <v>131850.00885142857</v>
      </c>
      <c r="AC26" s="379">
        <f t="shared" si="1"/>
        <v>131850.00885142857</v>
      </c>
      <c r="AD26" s="376">
        <f t="shared" si="4"/>
        <v>1052233.9973457139</v>
      </c>
      <c r="AF26" s="376">
        <f t="shared" si="6"/>
        <v>16650.876400000001</v>
      </c>
      <c r="AG26" s="376">
        <f t="shared" si="6"/>
        <v>46205.491133333329</v>
      </c>
      <c r="AH26" s="376"/>
      <c r="AI26" s="372"/>
      <c r="AJ26" s="372"/>
      <c r="AK26" s="376">
        <f t="shared" si="7"/>
        <v>62856.36753333333</v>
      </c>
    </row>
    <row r="27" spans="1:37">
      <c r="A27" s="14">
        <v>20</v>
      </c>
      <c r="B27" s="375">
        <f t="shared" si="2"/>
        <v>2039</v>
      </c>
      <c r="C27" s="379"/>
      <c r="D27" s="376"/>
      <c r="E27" s="377"/>
      <c r="F27" s="377"/>
      <c r="G27" s="377"/>
      <c r="H27" s="377">
        <f>H3</f>
        <v>89929.68</v>
      </c>
      <c r="I27" s="377"/>
      <c r="J27" s="377"/>
      <c r="K27" s="377"/>
      <c r="L27" s="377"/>
      <c r="M27" s="377"/>
      <c r="N27" s="378"/>
      <c r="O27" s="377"/>
      <c r="P27" s="377"/>
      <c r="Q27" s="377"/>
      <c r="R27" s="377"/>
      <c r="S27" s="377"/>
      <c r="T27" s="377"/>
      <c r="U27" s="377"/>
      <c r="V27" s="377">
        <f>V3</f>
        <v>165998.26400000002</v>
      </c>
      <c r="W27" s="377">
        <f>W3</f>
        <v>61259.999999999993</v>
      </c>
      <c r="X27" s="377">
        <f>[49]Equipements!O74*1.021+X17</f>
        <v>51233.78</v>
      </c>
      <c r="Y27" s="377"/>
      <c r="Z27" s="377">
        <f>SUM(C27:Y27)</f>
        <v>368421.72400000005</v>
      </c>
      <c r="AA27" s="372"/>
      <c r="AB27" s="376">
        <f>$Z$49/35</f>
        <v>131850.00885142857</v>
      </c>
      <c r="AC27" s="379">
        <f t="shared" si="1"/>
        <v>-236571.71514857147</v>
      </c>
      <c r="AD27" s="376">
        <f t="shared" si="4"/>
        <v>815662.28219714249</v>
      </c>
      <c r="AF27" s="376">
        <f t="shared" si="6"/>
        <v>16650.876400000001</v>
      </c>
      <c r="AG27" s="376">
        <f t="shared" si="6"/>
        <v>46205.491133333329</v>
      </c>
      <c r="AH27" s="376">
        <f>(Z27-Z17)/20</f>
        <v>10095.648000000001</v>
      </c>
      <c r="AI27" s="372"/>
      <c r="AJ27" s="372"/>
      <c r="AK27" s="376">
        <f t="shared" si="7"/>
        <v>72952.015533333324</v>
      </c>
    </row>
    <row r="28" spans="1:37">
      <c r="B28" s="375">
        <f t="shared" si="2"/>
        <v>2040</v>
      </c>
      <c r="C28" s="375"/>
      <c r="D28" s="376"/>
      <c r="E28" s="377"/>
      <c r="F28" s="377"/>
      <c r="G28" s="377"/>
      <c r="H28" s="377"/>
      <c r="I28" s="377"/>
      <c r="J28" s="377"/>
      <c r="K28" s="377"/>
      <c r="L28" s="377"/>
      <c r="M28" s="377"/>
      <c r="N28" s="377"/>
      <c r="O28" s="377"/>
      <c r="P28" s="377"/>
      <c r="Q28" s="377"/>
      <c r="R28" s="377"/>
      <c r="S28" s="377"/>
      <c r="T28" s="377"/>
      <c r="U28" s="377"/>
      <c r="V28" s="377"/>
      <c r="W28" s="377"/>
      <c r="X28" s="377"/>
      <c r="Y28" s="377"/>
      <c r="Z28" s="377"/>
      <c r="AA28" s="372"/>
      <c r="AB28" s="376">
        <f t="shared" si="5"/>
        <v>131850.00885142857</v>
      </c>
      <c r="AC28" s="379">
        <f t="shared" si="1"/>
        <v>131850.00885142857</v>
      </c>
      <c r="AD28" s="376">
        <f t="shared" si="4"/>
        <v>947512.291048571</v>
      </c>
      <c r="AF28" s="376">
        <f t="shared" si="6"/>
        <v>16650.876400000001</v>
      </c>
      <c r="AG28" s="376">
        <f t="shared" si="6"/>
        <v>46205.491133333329</v>
      </c>
      <c r="AH28" s="376">
        <f t="shared" si="6"/>
        <v>10095.648000000001</v>
      </c>
      <c r="AI28" s="372"/>
      <c r="AJ28" s="372"/>
      <c r="AK28" s="376">
        <f t="shared" si="7"/>
        <v>72952.015533333324</v>
      </c>
    </row>
    <row r="29" spans="1:37">
      <c r="B29" s="375">
        <f t="shared" si="2"/>
        <v>2041</v>
      </c>
      <c r="C29" s="375"/>
      <c r="D29" s="376"/>
      <c r="E29" s="377"/>
      <c r="F29" s="377"/>
      <c r="G29" s="377"/>
      <c r="H29" s="377"/>
      <c r="I29" s="377"/>
      <c r="J29" s="377"/>
      <c r="K29" s="377"/>
      <c r="L29" s="377"/>
      <c r="M29" s="377"/>
      <c r="N29" s="377"/>
      <c r="O29" s="377"/>
      <c r="P29" s="377"/>
      <c r="Q29" s="377"/>
      <c r="R29" s="377"/>
      <c r="S29" s="377"/>
      <c r="T29" s="377"/>
      <c r="U29" s="377"/>
      <c r="V29" s="377"/>
      <c r="W29" s="377"/>
      <c r="X29" s="377"/>
      <c r="Y29" s="377"/>
      <c r="Z29" s="377"/>
      <c r="AA29" s="372"/>
      <c r="AB29" s="376">
        <f t="shared" si="5"/>
        <v>131850.00885142857</v>
      </c>
      <c r="AC29" s="379">
        <f t="shared" si="1"/>
        <v>131850.00885142857</v>
      </c>
      <c r="AD29" s="376">
        <f t="shared" si="4"/>
        <v>1079362.2998999995</v>
      </c>
      <c r="AF29" s="376">
        <f t="shared" si="6"/>
        <v>16650.876400000001</v>
      </c>
      <c r="AG29" s="376">
        <f t="shared" si="6"/>
        <v>46205.491133333329</v>
      </c>
      <c r="AH29" s="376">
        <f t="shared" si="6"/>
        <v>10095.648000000001</v>
      </c>
      <c r="AI29" s="372"/>
      <c r="AJ29" s="372"/>
      <c r="AK29" s="376">
        <f t="shared" si="7"/>
        <v>72952.015533333324</v>
      </c>
    </row>
    <row r="30" spans="1:37">
      <c r="B30" s="375">
        <f t="shared" si="2"/>
        <v>2042</v>
      </c>
      <c r="C30" s="375"/>
      <c r="D30" s="376"/>
      <c r="E30" s="377"/>
      <c r="F30" s="377"/>
      <c r="G30" s="377"/>
      <c r="H30" s="377"/>
      <c r="I30" s="377"/>
      <c r="J30" s="377"/>
      <c r="K30" s="377"/>
      <c r="L30" s="377"/>
      <c r="M30" s="377"/>
      <c r="N30" s="377"/>
      <c r="O30" s="377"/>
      <c r="P30" s="377"/>
      <c r="Q30" s="377"/>
      <c r="R30" s="377"/>
      <c r="S30" s="377"/>
      <c r="T30" s="377"/>
      <c r="U30" s="377"/>
      <c r="V30" s="377"/>
      <c r="W30" s="377"/>
      <c r="X30" s="377"/>
      <c r="Y30" s="377"/>
      <c r="Z30" s="377"/>
      <c r="AA30" s="372"/>
      <c r="AB30" s="376">
        <f t="shared" si="5"/>
        <v>131850.00885142857</v>
      </c>
      <c r="AC30" s="379">
        <f t="shared" si="1"/>
        <v>131850.00885142857</v>
      </c>
      <c r="AD30" s="376">
        <f t="shared" si="4"/>
        <v>1211212.308751428</v>
      </c>
      <c r="AF30" s="376">
        <f t="shared" si="6"/>
        <v>16650.876400000001</v>
      </c>
      <c r="AG30" s="376">
        <f t="shared" si="6"/>
        <v>46205.491133333329</v>
      </c>
      <c r="AH30" s="376">
        <f t="shared" si="6"/>
        <v>10095.648000000001</v>
      </c>
      <c r="AI30" s="372"/>
      <c r="AJ30" s="372"/>
      <c r="AK30" s="376">
        <f t="shared" si="7"/>
        <v>72952.015533333324</v>
      </c>
    </row>
    <row r="31" spans="1:37">
      <c r="B31" s="375">
        <f t="shared" si="2"/>
        <v>2043</v>
      </c>
      <c r="C31" s="376"/>
      <c r="D31" s="376"/>
      <c r="E31" s="377"/>
      <c r="F31" s="377"/>
      <c r="G31" s="377"/>
      <c r="H31" s="377"/>
      <c r="I31" s="377"/>
      <c r="J31" s="377"/>
      <c r="K31" s="377"/>
      <c r="L31" s="377"/>
      <c r="M31" s="377"/>
      <c r="N31" s="377"/>
      <c r="O31" s="377"/>
      <c r="P31" s="377"/>
      <c r="Q31" s="377"/>
      <c r="R31" s="377"/>
      <c r="S31" s="377"/>
      <c r="T31" s="377"/>
      <c r="U31" s="377"/>
      <c r="V31" s="377"/>
      <c r="W31" s="377"/>
      <c r="X31" s="377"/>
      <c r="Y31" s="377"/>
      <c r="Z31" s="377"/>
      <c r="AA31" s="372"/>
      <c r="AB31" s="376">
        <f t="shared" si="5"/>
        <v>131850.00885142857</v>
      </c>
      <c r="AC31" s="379">
        <f t="shared" si="1"/>
        <v>131850.00885142857</v>
      </c>
      <c r="AD31" s="376">
        <f t="shared" si="4"/>
        <v>1343062.3176028566</v>
      </c>
      <c r="AF31" s="376">
        <f t="shared" si="6"/>
        <v>16650.876400000001</v>
      </c>
      <c r="AG31" s="376">
        <f t="shared" si="6"/>
        <v>46205.491133333329</v>
      </c>
      <c r="AH31" s="376">
        <f t="shared" si="6"/>
        <v>10095.648000000001</v>
      </c>
      <c r="AI31" s="372"/>
      <c r="AJ31" s="372"/>
      <c r="AK31" s="376">
        <f t="shared" si="7"/>
        <v>72952.015533333324</v>
      </c>
    </row>
    <row r="32" spans="1:37">
      <c r="A32" s="14">
        <v>25</v>
      </c>
      <c r="B32" s="375">
        <f t="shared" si="2"/>
        <v>2044</v>
      </c>
      <c r="C32" s="375"/>
      <c r="D32" s="376"/>
      <c r="E32" s="377"/>
      <c r="F32" s="377"/>
      <c r="G32" s="377"/>
      <c r="H32" s="377"/>
      <c r="I32" s="377">
        <f>I3</f>
        <v>513541.35479999997</v>
      </c>
      <c r="J32" s="377">
        <f>J3</f>
        <v>54888.959999999999</v>
      </c>
      <c r="K32" s="377">
        <f>K3</f>
        <v>358077.973</v>
      </c>
      <c r="L32" s="377"/>
      <c r="M32" s="377"/>
      <c r="N32" s="377">
        <f>N3</f>
        <v>235195.51800000001</v>
      </c>
      <c r="O32" s="377"/>
      <c r="P32" s="377"/>
      <c r="Q32" s="377"/>
      <c r="R32" s="377">
        <f>R3</f>
        <v>255249.99999999997</v>
      </c>
      <c r="S32" s="377"/>
      <c r="T32" s="377"/>
      <c r="U32" s="377"/>
      <c r="V32" s="377"/>
      <c r="W32" s="377"/>
      <c r="X32" s="377">
        <f>[49]Equipements!P74*1.021</f>
        <v>212807.02999999997</v>
      </c>
      <c r="Y32" s="377"/>
      <c r="Z32" s="377">
        <f>SUM(C32:Y32)</f>
        <v>1629760.8358</v>
      </c>
      <c r="AA32" s="372"/>
      <c r="AB32" s="376">
        <f t="shared" si="5"/>
        <v>131850.00885142857</v>
      </c>
      <c r="AC32" s="379">
        <f t="shared" si="1"/>
        <v>-1497910.8269485715</v>
      </c>
      <c r="AD32" s="376">
        <f t="shared" si="4"/>
        <v>-154848.50934571493</v>
      </c>
      <c r="AF32" s="376">
        <f t="shared" si="6"/>
        <v>16650.876400000001</v>
      </c>
      <c r="AG32" s="376">
        <f t="shared" si="6"/>
        <v>46205.491133333329</v>
      </c>
      <c r="AH32" s="376">
        <f t="shared" si="6"/>
        <v>10095.648000000001</v>
      </c>
      <c r="AI32" s="372">
        <f>Z32/16</f>
        <v>101860.0522375</v>
      </c>
      <c r="AJ32" s="372"/>
      <c r="AK32" s="376">
        <f t="shared" si="7"/>
        <v>174812.06777083332</v>
      </c>
    </row>
    <row r="33" spans="1:37">
      <c r="B33" s="375">
        <f t="shared" si="2"/>
        <v>2045</v>
      </c>
      <c r="C33" s="375"/>
      <c r="D33" s="376"/>
      <c r="E33" s="377"/>
      <c r="F33" s="377"/>
      <c r="G33" s="377"/>
      <c r="H33" s="377"/>
      <c r="I33" s="377"/>
      <c r="J33" s="377"/>
      <c r="K33" s="377"/>
      <c r="L33" s="377"/>
      <c r="M33" s="377"/>
      <c r="N33" s="377"/>
      <c r="O33" s="377"/>
      <c r="P33" s="377"/>
      <c r="Q33" s="377"/>
      <c r="R33" s="377"/>
      <c r="S33" s="377"/>
      <c r="T33" s="377"/>
      <c r="U33" s="377"/>
      <c r="V33" s="377"/>
      <c r="W33" s="377"/>
      <c r="X33" s="377"/>
      <c r="Y33" s="377"/>
      <c r="Z33" s="377"/>
      <c r="AA33" s="372"/>
      <c r="AB33" s="376">
        <f>$Z$49/35</f>
        <v>131850.00885142857</v>
      </c>
      <c r="AC33" s="379">
        <f t="shared" si="1"/>
        <v>131850.00885142857</v>
      </c>
      <c r="AD33" s="376">
        <f>AD32+AC33</f>
        <v>-22998.50049428636</v>
      </c>
      <c r="AF33" s="376">
        <f t="shared" si="6"/>
        <v>16650.876400000001</v>
      </c>
      <c r="AG33" s="376">
        <f t="shared" si="6"/>
        <v>46205.491133333329</v>
      </c>
      <c r="AH33" s="376">
        <f t="shared" si="6"/>
        <v>10095.648000000001</v>
      </c>
      <c r="AI33" s="372">
        <f t="shared" si="6"/>
        <v>101860.0522375</v>
      </c>
      <c r="AJ33" s="372"/>
      <c r="AK33" s="376">
        <f t="shared" si="7"/>
        <v>174812.06777083332</v>
      </c>
    </row>
    <row r="34" spans="1:37">
      <c r="B34" s="375">
        <f t="shared" si="2"/>
        <v>2046</v>
      </c>
      <c r="C34" s="375"/>
      <c r="D34" s="376"/>
      <c r="E34" s="377"/>
      <c r="F34" s="377"/>
      <c r="G34" s="377"/>
      <c r="H34" s="377"/>
      <c r="I34" s="377"/>
      <c r="J34" s="377"/>
      <c r="K34" s="377"/>
      <c r="L34" s="377"/>
      <c r="M34" s="377"/>
      <c r="N34" s="377"/>
      <c r="O34" s="377"/>
      <c r="P34" s="377"/>
      <c r="Q34" s="377"/>
      <c r="R34" s="377"/>
      <c r="S34" s="377"/>
      <c r="T34" s="377"/>
      <c r="U34" s="377"/>
      <c r="V34" s="377"/>
      <c r="W34" s="377"/>
      <c r="X34" s="377"/>
      <c r="Y34" s="377"/>
      <c r="Z34" s="377"/>
      <c r="AA34" s="372"/>
      <c r="AB34" s="376">
        <f t="shared" si="5"/>
        <v>131850.00885142857</v>
      </c>
      <c r="AC34" s="379">
        <f t="shared" si="1"/>
        <v>131850.00885142857</v>
      </c>
      <c r="AD34" s="376">
        <f t="shared" ref="AD34:AD46" si="8">AD33+AC34</f>
        <v>108851.50835714221</v>
      </c>
      <c r="AF34" s="376">
        <f t="shared" ref="AF34:AJ47" si="9">AF33</f>
        <v>16650.876400000001</v>
      </c>
      <c r="AG34" s="376">
        <f t="shared" si="9"/>
        <v>46205.491133333329</v>
      </c>
      <c r="AH34" s="376">
        <f t="shared" si="9"/>
        <v>10095.648000000001</v>
      </c>
      <c r="AI34" s="372">
        <f t="shared" si="9"/>
        <v>101860.0522375</v>
      </c>
      <c r="AJ34" s="372"/>
      <c r="AK34" s="376">
        <f t="shared" si="7"/>
        <v>174812.06777083332</v>
      </c>
    </row>
    <row r="35" spans="1:37">
      <c r="B35" s="375">
        <f t="shared" si="2"/>
        <v>2047</v>
      </c>
      <c r="C35" s="375"/>
      <c r="D35" s="376"/>
      <c r="E35" s="377"/>
      <c r="F35" s="377"/>
      <c r="G35" s="377"/>
      <c r="H35" s="377"/>
      <c r="I35" s="377"/>
      <c r="J35" s="377"/>
      <c r="K35" s="377"/>
      <c r="L35" s="377"/>
      <c r="M35" s="377"/>
      <c r="N35" s="377"/>
      <c r="O35" s="377"/>
      <c r="P35" s="377"/>
      <c r="Q35" s="377"/>
      <c r="R35" s="377"/>
      <c r="S35" s="377"/>
      <c r="T35" s="377"/>
      <c r="U35" s="377"/>
      <c r="V35" s="377"/>
      <c r="W35" s="377"/>
      <c r="X35" s="377"/>
      <c r="Y35" s="377"/>
      <c r="Z35" s="377"/>
      <c r="AA35" s="372"/>
      <c r="AB35" s="376">
        <f t="shared" si="5"/>
        <v>131850.00885142857</v>
      </c>
      <c r="AC35" s="379">
        <f t="shared" si="1"/>
        <v>131850.00885142857</v>
      </c>
      <c r="AD35" s="376">
        <f t="shared" si="8"/>
        <v>240701.51720857079</v>
      </c>
      <c r="AF35" s="376">
        <f t="shared" si="9"/>
        <v>16650.876400000001</v>
      </c>
      <c r="AG35" s="376">
        <f t="shared" si="9"/>
        <v>46205.491133333329</v>
      </c>
      <c r="AH35" s="376">
        <f t="shared" si="9"/>
        <v>10095.648000000001</v>
      </c>
      <c r="AI35" s="372">
        <f t="shared" si="9"/>
        <v>101860.0522375</v>
      </c>
      <c r="AJ35" s="372"/>
      <c r="AK35" s="376">
        <f t="shared" si="7"/>
        <v>174812.06777083332</v>
      </c>
    </row>
    <row r="36" spans="1:37">
      <c r="B36" s="375">
        <f t="shared" si="2"/>
        <v>2048</v>
      </c>
      <c r="C36" s="376"/>
      <c r="D36" s="376"/>
      <c r="E36" s="377"/>
      <c r="F36" s="377"/>
      <c r="G36" s="377"/>
      <c r="H36" s="377"/>
      <c r="I36" s="377"/>
      <c r="J36" s="377"/>
      <c r="K36" s="377"/>
      <c r="L36" s="377"/>
      <c r="M36" s="377"/>
      <c r="N36" s="377"/>
      <c r="O36" s="377"/>
      <c r="P36" s="377"/>
      <c r="Q36" s="377"/>
      <c r="R36" s="377"/>
      <c r="S36" s="377"/>
      <c r="T36" s="377"/>
      <c r="U36" s="377"/>
      <c r="V36" s="377"/>
      <c r="W36" s="377"/>
      <c r="X36" s="377"/>
      <c r="Y36" s="377"/>
      <c r="Z36" s="377"/>
      <c r="AA36" s="372"/>
      <c r="AB36" s="376">
        <f t="shared" si="5"/>
        <v>131850.00885142857</v>
      </c>
      <c r="AC36" s="379">
        <f t="shared" si="1"/>
        <v>131850.00885142857</v>
      </c>
      <c r="AD36" s="376">
        <f t="shared" si="8"/>
        <v>372551.52605999936</v>
      </c>
      <c r="AF36" s="376">
        <f t="shared" si="9"/>
        <v>16650.876400000001</v>
      </c>
      <c r="AG36" s="376">
        <f>AG35</f>
        <v>46205.491133333329</v>
      </c>
      <c r="AH36" s="376">
        <f t="shared" si="9"/>
        <v>10095.648000000001</v>
      </c>
      <c r="AI36" s="372">
        <f t="shared" si="9"/>
        <v>101860.0522375</v>
      </c>
      <c r="AJ36" s="372"/>
      <c r="AK36" s="376">
        <f t="shared" si="7"/>
        <v>174812.06777083332</v>
      </c>
    </row>
    <row r="37" spans="1:37">
      <c r="A37" s="14">
        <v>30</v>
      </c>
      <c r="B37" s="375">
        <f t="shared" si="2"/>
        <v>2049</v>
      </c>
      <c r="C37" s="379">
        <f>C3</f>
        <v>150106.399</v>
      </c>
      <c r="D37" s="376">
        <f>D3</f>
        <v>31389.624</v>
      </c>
      <c r="E37" s="376">
        <f>E3</f>
        <v>15314.999999999998</v>
      </c>
      <c r="F37" s="377">
        <f>F3</f>
        <v>10209.999999999998</v>
      </c>
      <c r="G37" s="377">
        <f>G3</f>
        <v>35734.999999999993</v>
      </c>
      <c r="H37" s="377"/>
      <c r="I37" s="377"/>
      <c r="J37" s="377"/>
      <c r="K37" s="377"/>
      <c r="L37" s="377">
        <f>L3</f>
        <v>245067.56699999998</v>
      </c>
      <c r="M37" s="377">
        <f>M3</f>
        <v>63036.539999999994</v>
      </c>
      <c r="N37" s="378"/>
      <c r="O37" s="377">
        <f>O3</f>
        <v>106288.14199999999</v>
      </c>
      <c r="P37" s="377">
        <f>P3</f>
        <v>6094.3490000000002</v>
      </c>
      <c r="Q37" s="377">
        <f>Q3</f>
        <v>144877.85800000001</v>
      </c>
      <c r="R37" s="377"/>
      <c r="S37" s="377">
        <f>S3</f>
        <v>157404.50699999998</v>
      </c>
      <c r="T37" s="377">
        <f>T3</f>
        <v>55886.477000000006</v>
      </c>
      <c r="U37" s="377">
        <f>U3</f>
        <v>83219.668000000005</v>
      </c>
      <c r="V37" s="377">
        <f>V3</f>
        <v>165998.26400000002</v>
      </c>
      <c r="W37" s="377"/>
      <c r="X37" s="377">
        <f>X22+X17</f>
        <v>92400.499999999985</v>
      </c>
      <c r="Y37" s="377">
        <f>Y3</f>
        <v>25524.999999999996</v>
      </c>
      <c r="Z37" s="377">
        <f>SUM(C37:Y37)</f>
        <v>1388554.895</v>
      </c>
      <c r="AA37" s="372"/>
      <c r="AB37" s="376">
        <f t="shared" si="5"/>
        <v>131850.00885142857</v>
      </c>
      <c r="AC37" s="379">
        <f t="shared" si="1"/>
        <v>-1256704.8861485715</v>
      </c>
      <c r="AD37" s="376">
        <f t="shared" si="8"/>
        <v>-884153.36008857214</v>
      </c>
      <c r="AF37" s="376">
        <f t="shared" si="9"/>
        <v>16650.876400000001</v>
      </c>
      <c r="AG37" s="376">
        <f>Z22/11</f>
        <v>63007.487909090909</v>
      </c>
      <c r="AH37" s="376">
        <f t="shared" si="9"/>
        <v>10095.648000000001</v>
      </c>
      <c r="AI37" s="372">
        <f t="shared" si="9"/>
        <v>101860.0522375</v>
      </c>
      <c r="AJ37" s="372">
        <f>(Z37-Z22-Z17)/11</f>
        <v>48087.614909090909</v>
      </c>
      <c r="AK37" s="376">
        <f t="shared" si="7"/>
        <v>239701.67945568182</v>
      </c>
    </row>
    <row r="38" spans="1:37">
      <c r="B38" s="375">
        <f t="shared" si="2"/>
        <v>2050</v>
      </c>
      <c r="C38" s="375"/>
      <c r="D38" s="376"/>
      <c r="E38" s="377"/>
      <c r="F38" s="377"/>
      <c r="G38" s="377"/>
      <c r="H38" s="377"/>
      <c r="I38" s="377"/>
      <c r="J38" s="377"/>
      <c r="K38" s="377"/>
      <c r="L38" s="377"/>
      <c r="M38" s="377"/>
      <c r="N38" s="377"/>
      <c r="O38" s="377"/>
      <c r="P38" s="377"/>
      <c r="Q38" s="377"/>
      <c r="R38" s="377"/>
      <c r="S38" s="377"/>
      <c r="T38" s="377"/>
      <c r="U38" s="377"/>
      <c r="V38" s="377"/>
      <c r="W38" s="377"/>
      <c r="X38" s="377"/>
      <c r="Y38" s="377"/>
      <c r="Z38" s="377"/>
      <c r="AA38" s="372"/>
      <c r="AB38" s="376">
        <f t="shared" si="5"/>
        <v>131850.00885142857</v>
      </c>
      <c r="AC38" s="379">
        <f t="shared" si="1"/>
        <v>131850.00885142857</v>
      </c>
      <c r="AD38" s="376">
        <f t="shared" si="8"/>
        <v>-752303.35123714362</v>
      </c>
      <c r="AF38" s="376">
        <f>AF37</f>
        <v>16650.876400000001</v>
      </c>
      <c r="AG38" s="376">
        <f>AG37</f>
        <v>63007.487909090909</v>
      </c>
      <c r="AH38" s="376">
        <f t="shared" si="9"/>
        <v>10095.648000000001</v>
      </c>
      <c r="AI38" s="372">
        <f t="shared" si="9"/>
        <v>101860.0522375</v>
      </c>
      <c r="AJ38" s="372">
        <f>AJ37</f>
        <v>48087.614909090909</v>
      </c>
      <c r="AK38" s="376">
        <f t="shared" si="7"/>
        <v>239701.67945568182</v>
      </c>
    </row>
    <row r="39" spans="1:37">
      <c r="B39" s="375">
        <f t="shared" si="2"/>
        <v>2051</v>
      </c>
      <c r="C39" s="375"/>
      <c r="D39" s="376"/>
      <c r="E39" s="377"/>
      <c r="F39" s="377"/>
      <c r="G39" s="377"/>
      <c r="H39" s="377"/>
      <c r="I39" s="377"/>
      <c r="J39" s="377"/>
      <c r="K39" s="377"/>
      <c r="L39" s="377"/>
      <c r="M39" s="377"/>
      <c r="N39" s="377"/>
      <c r="O39" s="377"/>
      <c r="P39" s="377"/>
      <c r="Q39" s="377"/>
      <c r="R39" s="377"/>
      <c r="S39" s="377"/>
      <c r="T39" s="377"/>
      <c r="U39" s="377"/>
      <c r="V39" s="377"/>
      <c r="W39" s="377"/>
      <c r="X39" s="377"/>
      <c r="Y39" s="377"/>
      <c r="Z39" s="377"/>
      <c r="AA39" s="372"/>
      <c r="AB39" s="376">
        <f t="shared" si="5"/>
        <v>131850.00885142857</v>
      </c>
      <c r="AC39" s="379">
        <f t="shared" si="1"/>
        <v>131850.00885142857</v>
      </c>
      <c r="AD39" s="376">
        <f t="shared" si="8"/>
        <v>-620453.34238571511</v>
      </c>
      <c r="AF39" s="376">
        <f t="shared" si="9"/>
        <v>16650.876400000001</v>
      </c>
      <c r="AG39" s="376">
        <f t="shared" si="9"/>
        <v>63007.487909090909</v>
      </c>
      <c r="AH39" s="376">
        <f t="shared" si="9"/>
        <v>10095.648000000001</v>
      </c>
      <c r="AI39" s="372">
        <f t="shared" si="9"/>
        <v>101860.0522375</v>
      </c>
      <c r="AJ39" s="372">
        <f t="shared" si="9"/>
        <v>48087.614909090909</v>
      </c>
      <c r="AK39" s="376">
        <f t="shared" si="7"/>
        <v>239701.67945568182</v>
      </c>
    </row>
    <row r="40" spans="1:37">
      <c r="B40" s="375">
        <f t="shared" si="2"/>
        <v>2052</v>
      </c>
      <c r="C40" s="375"/>
      <c r="D40" s="376"/>
      <c r="E40" s="377"/>
      <c r="F40" s="377"/>
      <c r="G40" s="377"/>
      <c r="H40" s="377"/>
      <c r="I40" s="377"/>
      <c r="J40" s="377"/>
      <c r="K40" s="377"/>
      <c r="L40" s="377"/>
      <c r="M40" s="377"/>
      <c r="N40" s="377"/>
      <c r="O40" s="377"/>
      <c r="P40" s="377"/>
      <c r="Q40" s="377"/>
      <c r="R40" s="377"/>
      <c r="S40" s="377"/>
      <c r="T40" s="377"/>
      <c r="U40" s="377"/>
      <c r="V40" s="377"/>
      <c r="W40" s="377"/>
      <c r="X40" s="377"/>
      <c r="Y40" s="377"/>
      <c r="Z40" s="377"/>
      <c r="AA40" s="372"/>
      <c r="AB40" s="376">
        <f t="shared" si="5"/>
        <v>131850.00885142857</v>
      </c>
      <c r="AC40" s="379">
        <f t="shared" si="1"/>
        <v>131850.00885142857</v>
      </c>
      <c r="AD40" s="376">
        <f t="shared" si="8"/>
        <v>-488603.33353428653</v>
      </c>
      <c r="AF40" s="376">
        <f t="shared" si="9"/>
        <v>16650.876400000001</v>
      </c>
      <c r="AG40" s="376">
        <f t="shared" si="9"/>
        <v>63007.487909090909</v>
      </c>
      <c r="AH40" s="376">
        <f t="shared" si="9"/>
        <v>10095.648000000001</v>
      </c>
      <c r="AI40" s="372">
        <f t="shared" si="9"/>
        <v>101860.0522375</v>
      </c>
      <c r="AJ40" s="372">
        <f t="shared" si="9"/>
        <v>48087.614909090909</v>
      </c>
      <c r="AK40" s="376">
        <f>SUM(AF40:AJ40)</f>
        <v>239701.67945568182</v>
      </c>
    </row>
    <row r="41" spans="1:37">
      <c r="B41" s="375">
        <f t="shared" si="2"/>
        <v>2053</v>
      </c>
      <c r="C41" s="376"/>
      <c r="D41" s="376"/>
      <c r="E41" s="377"/>
      <c r="F41" s="377"/>
      <c r="G41" s="377"/>
      <c r="H41" s="377"/>
      <c r="I41" s="377"/>
      <c r="J41" s="377"/>
      <c r="K41" s="377"/>
      <c r="L41" s="377"/>
      <c r="M41" s="377"/>
      <c r="N41" s="377"/>
      <c r="O41" s="377"/>
      <c r="P41" s="377"/>
      <c r="Q41" s="377"/>
      <c r="R41" s="377"/>
      <c r="S41" s="377"/>
      <c r="T41" s="377"/>
      <c r="U41" s="377"/>
      <c r="V41" s="377"/>
      <c r="W41" s="377"/>
      <c r="X41" s="377"/>
      <c r="Y41" s="377"/>
      <c r="Z41" s="377"/>
      <c r="AA41" s="372"/>
      <c r="AB41" s="376">
        <f t="shared" si="5"/>
        <v>131850.00885142857</v>
      </c>
      <c r="AC41" s="379">
        <f t="shared" si="1"/>
        <v>131850.00885142857</v>
      </c>
      <c r="AD41" s="376">
        <f t="shared" si="8"/>
        <v>-356753.32468285796</v>
      </c>
      <c r="AF41" s="376">
        <f t="shared" si="9"/>
        <v>16650.876400000001</v>
      </c>
      <c r="AG41" s="376">
        <f t="shared" si="9"/>
        <v>63007.487909090909</v>
      </c>
      <c r="AH41" s="376">
        <f t="shared" si="9"/>
        <v>10095.648000000001</v>
      </c>
      <c r="AI41" s="372">
        <f t="shared" si="9"/>
        <v>101860.0522375</v>
      </c>
      <c r="AJ41" s="372">
        <f t="shared" si="9"/>
        <v>48087.614909090909</v>
      </c>
      <c r="AK41" s="376">
        <f t="shared" si="7"/>
        <v>239701.67945568182</v>
      </c>
    </row>
    <row r="42" spans="1:37">
      <c r="A42" s="14">
        <v>35</v>
      </c>
      <c r="B42" s="375">
        <f t="shared" si="2"/>
        <v>2054</v>
      </c>
      <c r="C42" s="375"/>
      <c r="D42" s="376"/>
      <c r="E42" s="377"/>
      <c r="F42" s="377"/>
      <c r="G42" s="377"/>
      <c r="H42" s="377"/>
      <c r="I42" s="377"/>
      <c r="J42" s="377"/>
      <c r="K42" s="377"/>
      <c r="L42" s="377"/>
      <c r="M42" s="377"/>
      <c r="N42" s="377"/>
      <c r="O42" s="377"/>
      <c r="P42" s="377"/>
      <c r="Q42" s="377"/>
      <c r="R42" s="377"/>
      <c r="S42" s="377"/>
      <c r="T42" s="377"/>
      <c r="U42" s="377"/>
      <c r="V42" s="377"/>
      <c r="W42" s="377"/>
      <c r="X42" s="377"/>
      <c r="Y42" s="377"/>
      <c r="Z42" s="377">
        <f>SUM(C42:Y42)</f>
        <v>0</v>
      </c>
      <c r="AA42" s="372"/>
      <c r="AB42" s="376">
        <f t="shared" si="5"/>
        <v>131850.00885142857</v>
      </c>
      <c r="AC42" s="379">
        <f t="shared" si="1"/>
        <v>131850.00885142857</v>
      </c>
      <c r="AD42" s="376">
        <f t="shared" si="8"/>
        <v>-224903.31583142938</v>
      </c>
      <c r="AF42" s="376">
        <f t="shared" si="9"/>
        <v>16650.876400000001</v>
      </c>
      <c r="AG42" s="376">
        <f t="shared" si="9"/>
        <v>63007.487909090909</v>
      </c>
      <c r="AH42" s="376">
        <f>AH41</f>
        <v>10095.648000000001</v>
      </c>
      <c r="AI42" s="372">
        <f t="shared" si="9"/>
        <v>101860.0522375</v>
      </c>
      <c r="AJ42" s="372">
        <f t="shared" si="9"/>
        <v>48087.614909090909</v>
      </c>
      <c r="AK42" s="376">
        <f t="shared" si="7"/>
        <v>239701.67945568182</v>
      </c>
    </row>
    <row r="43" spans="1:37">
      <c r="B43" s="375">
        <f t="shared" si="2"/>
        <v>2055</v>
      </c>
      <c r="C43" s="375"/>
      <c r="D43" s="376"/>
      <c r="E43" s="377"/>
      <c r="F43" s="377"/>
      <c r="G43" s="377"/>
      <c r="H43" s="377"/>
      <c r="I43" s="377"/>
      <c r="J43" s="377"/>
      <c r="K43" s="377"/>
      <c r="L43" s="377"/>
      <c r="M43" s="377"/>
      <c r="N43" s="377"/>
      <c r="O43" s="377"/>
      <c r="P43" s="377"/>
      <c r="Q43" s="377"/>
      <c r="R43" s="377"/>
      <c r="S43" s="377"/>
      <c r="T43" s="377"/>
      <c r="U43" s="377"/>
      <c r="V43" s="377"/>
      <c r="W43" s="377"/>
      <c r="X43" s="377"/>
      <c r="Y43" s="377"/>
      <c r="Z43" s="377"/>
      <c r="AA43" s="372"/>
      <c r="AB43" s="376">
        <f t="shared" si="5"/>
        <v>131850.00885142857</v>
      </c>
      <c r="AC43" s="379">
        <f t="shared" si="1"/>
        <v>131850.00885142857</v>
      </c>
      <c r="AD43" s="376">
        <f t="shared" si="8"/>
        <v>-93053.306980000809</v>
      </c>
      <c r="AF43" s="376">
        <f t="shared" si="9"/>
        <v>16650.876400000001</v>
      </c>
      <c r="AG43" s="376">
        <f t="shared" si="9"/>
        <v>63007.487909090909</v>
      </c>
      <c r="AH43" s="376">
        <f t="shared" si="9"/>
        <v>10095.648000000001</v>
      </c>
      <c r="AI43" s="372">
        <f t="shared" si="9"/>
        <v>101860.0522375</v>
      </c>
      <c r="AJ43" s="372">
        <f t="shared" si="9"/>
        <v>48087.614909090909</v>
      </c>
      <c r="AK43" s="376">
        <f t="shared" si="7"/>
        <v>239701.67945568182</v>
      </c>
    </row>
    <row r="44" spans="1:37">
      <c r="B44" s="375">
        <f t="shared" si="2"/>
        <v>2056</v>
      </c>
      <c r="C44" s="375"/>
      <c r="D44" s="376"/>
      <c r="E44" s="377"/>
      <c r="F44" s="377"/>
      <c r="G44" s="377"/>
      <c r="H44" s="377"/>
      <c r="I44" s="377"/>
      <c r="J44" s="377"/>
      <c r="K44" s="377"/>
      <c r="L44" s="377"/>
      <c r="M44" s="377"/>
      <c r="N44" s="377"/>
      <c r="O44" s="377"/>
      <c r="P44" s="377"/>
      <c r="Q44" s="377"/>
      <c r="R44" s="377"/>
      <c r="S44" s="377"/>
      <c r="T44" s="377"/>
      <c r="U44" s="377"/>
      <c r="V44" s="377"/>
      <c r="W44" s="377"/>
      <c r="X44" s="377"/>
      <c r="Y44" s="377"/>
      <c r="Z44" s="377"/>
      <c r="AA44" s="372"/>
      <c r="AB44" s="376">
        <f t="shared" si="5"/>
        <v>131850.00885142857</v>
      </c>
      <c r="AC44" s="379">
        <f t="shared" si="1"/>
        <v>131850.00885142857</v>
      </c>
      <c r="AD44" s="376">
        <f t="shared" si="8"/>
        <v>38796.701871427766</v>
      </c>
      <c r="AF44" s="376">
        <f t="shared" si="9"/>
        <v>16650.876400000001</v>
      </c>
      <c r="AG44" s="376">
        <f t="shared" si="9"/>
        <v>63007.487909090909</v>
      </c>
      <c r="AH44" s="376">
        <f t="shared" si="9"/>
        <v>10095.648000000001</v>
      </c>
      <c r="AI44" s="372">
        <f t="shared" si="9"/>
        <v>101860.0522375</v>
      </c>
      <c r="AJ44" s="372">
        <f t="shared" si="9"/>
        <v>48087.614909090909</v>
      </c>
      <c r="AK44" s="376">
        <f t="shared" si="7"/>
        <v>239701.67945568182</v>
      </c>
    </row>
    <row r="45" spans="1:37">
      <c r="B45" s="375">
        <f t="shared" si="2"/>
        <v>2057</v>
      </c>
      <c r="C45" s="375"/>
      <c r="D45" s="376"/>
      <c r="E45" s="377"/>
      <c r="F45" s="377"/>
      <c r="G45" s="377"/>
      <c r="H45" s="377"/>
      <c r="I45" s="377"/>
      <c r="J45" s="377"/>
      <c r="K45" s="377"/>
      <c r="L45" s="377"/>
      <c r="M45" s="377"/>
      <c r="N45" s="377"/>
      <c r="O45" s="377"/>
      <c r="P45" s="377"/>
      <c r="Q45" s="377"/>
      <c r="R45" s="377"/>
      <c r="S45" s="377"/>
      <c r="T45" s="377"/>
      <c r="U45" s="377"/>
      <c r="V45" s="377"/>
      <c r="W45" s="377"/>
      <c r="X45" s="377"/>
      <c r="Y45" s="377"/>
      <c r="Z45" s="377"/>
      <c r="AA45" s="372"/>
      <c r="AB45" s="376">
        <f t="shared" si="5"/>
        <v>131850.00885142857</v>
      </c>
      <c r="AC45" s="379">
        <f t="shared" si="1"/>
        <v>131850.00885142857</v>
      </c>
      <c r="AD45" s="376">
        <f t="shared" si="8"/>
        <v>170646.71072285634</v>
      </c>
      <c r="AF45" s="376">
        <f t="shared" si="9"/>
        <v>16650.876400000001</v>
      </c>
      <c r="AG45" s="376">
        <f t="shared" si="9"/>
        <v>63007.487909090909</v>
      </c>
      <c r="AH45" s="376">
        <f t="shared" si="9"/>
        <v>10095.648000000001</v>
      </c>
      <c r="AI45" s="372">
        <f t="shared" si="9"/>
        <v>101860.0522375</v>
      </c>
      <c r="AJ45" s="372">
        <f t="shared" si="9"/>
        <v>48087.614909090909</v>
      </c>
      <c r="AK45" s="376">
        <f t="shared" si="7"/>
        <v>239701.67945568182</v>
      </c>
    </row>
    <row r="46" spans="1:37">
      <c r="B46" s="375">
        <f t="shared" si="2"/>
        <v>2058</v>
      </c>
      <c r="C46" s="379"/>
      <c r="D46" s="376"/>
      <c r="E46" s="377"/>
      <c r="F46" s="377"/>
      <c r="G46" s="376"/>
      <c r="H46" s="376"/>
      <c r="I46" s="377"/>
      <c r="J46" s="376"/>
      <c r="K46" s="377"/>
      <c r="L46" s="377"/>
      <c r="M46" s="377"/>
      <c r="N46" s="377"/>
      <c r="O46" s="377"/>
      <c r="P46" s="377"/>
      <c r="Q46" s="377"/>
      <c r="R46" s="377"/>
      <c r="S46" s="377"/>
      <c r="T46" s="377"/>
      <c r="U46" s="377"/>
      <c r="V46" s="377"/>
      <c r="W46" s="377"/>
      <c r="X46" s="377"/>
      <c r="Y46" s="377"/>
      <c r="Z46" s="377"/>
      <c r="AA46" s="372"/>
      <c r="AB46" s="376">
        <f t="shared" si="5"/>
        <v>131850.00885142857</v>
      </c>
      <c r="AC46" s="379">
        <f t="shared" si="1"/>
        <v>131850.00885142857</v>
      </c>
      <c r="AD46" s="376">
        <f t="shared" si="8"/>
        <v>302496.71957428491</v>
      </c>
      <c r="AF46" s="376">
        <f t="shared" si="9"/>
        <v>16650.876400000001</v>
      </c>
      <c r="AG46" s="376">
        <f t="shared" si="9"/>
        <v>63007.487909090909</v>
      </c>
      <c r="AH46" s="376">
        <f t="shared" si="9"/>
        <v>10095.648000000001</v>
      </c>
      <c r="AI46" s="372">
        <f t="shared" si="9"/>
        <v>101860.0522375</v>
      </c>
      <c r="AJ46" s="372">
        <f t="shared" si="9"/>
        <v>48087.614909090909</v>
      </c>
      <c r="AK46" s="376">
        <f t="shared" si="7"/>
        <v>239701.67945568182</v>
      </c>
    </row>
    <row r="47" spans="1:37">
      <c r="A47" s="14">
        <v>40</v>
      </c>
      <c r="B47" s="375">
        <f t="shared" si="2"/>
        <v>2059</v>
      </c>
      <c r="C47" s="379"/>
      <c r="D47" s="376"/>
      <c r="E47" s="377"/>
      <c r="F47" s="377"/>
      <c r="G47" s="377"/>
      <c r="H47" s="377">
        <f>H3</f>
        <v>89929.68</v>
      </c>
      <c r="I47" s="377"/>
      <c r="J47" s="377"/>
      <c r="K47" s="377"/>
      <c r="L47" s="377"/>
      <c r="M47" s="377"/>
      <c r="N47" s="377"/>
      <c r="O47" s="377"/>
      <c r="P47" s="377"/>
      <c r="Q47" s="377"/>
      <c r="R47" s="377"/>
      <c r="S47" s="377"/>
      <c r="T47" s="377"/>
      <c r="U47" s="377"/>
      <c r="V47" s="377">
        <f>V3</f>
        <v>165998.26400000002</v>
      </c>
      <c r="W47" s="377">
        <f>W3</f>
        <v>61259.999999999993</v>
      </c>
      <c r="X47" s="377">
        <f>X27</f>
        <v>51233.78</v>
      </c>
      <c r="Y47" s="377"/>
      <c r="Z47" s="377">
        <f>SUM(C47:Y47)</f>
        <v>368421.72400000005</v>
      </c>
      <c r="AA47" s="372"/>
      <c r="AB47" s="376">
        <f>$Z$49/35/2</f>
        <v>65925.004425714287</v>
      </c>
      <c r="AC47" s="379">
        <f t="shared" si="1"/>
        <v>-302496.71957428579</v>
      </c>
      <c r="AD47" s="376">
        <f>AD46+AC47</f>
        <v>-8.7311491370201111E-10</v>
      </c>
      <c r="AF47" s="376">
        <f>Z17</f>
        <v>166508.76400000002</v>
      </c>
      <c r="AG47" s="376">
        <f t="shared" si="9"/>
        <v>63007.487909090909</v>
      </c>
      <c r="AH47" s="376">
        <f>AH27*20</f>
        <v>201912.96000000002</v>
      </c>
      <c r="AI47" s="372">
        <f t="shared" si="9"/>
        <v>101860.0522375</v>
      </c>
      <c r="AJ47" s="372">
        <f t="shared" si="9"/>
        <v>48087.614909090909</v>
      </c>
      <c r="AK47" s="376">
        <f t="shared" si="7"/>
        <v>581376.87905568187</v>
      </c>
    </row>
    <row r="48" spans="1:37">
      <c r="B48" s="375"/>
      <c r="C48" s="379"/>
      <c r="D48" s="376"/>
      <c r="E48" s="377"/>
      <c r="F48" s="377"/>
      <c r="G48" s="377"/>
      <c r="H48" s="377"/>
      <c r="I48" s="377"/>
      <c r="J48" s="377"/>
      <c r="K48" s="377"/>
      <c r="L48" s="377"/>
      <c r="M48" s="377"/>
      <c r="N48" s="377"/>
      <c r="O48" s="377"/>
      <c r="P48" s="377"/>
      <c r="Q48" s="377"/>
      <c r="R48" s="377"/>
      <c r="S48" s="377"/>
      <c r="T48" s="377"/>
      <c r="U48" s="377"/>
      <c r="V48" s="377"/>
      <c r="W48" s="377"/>
      <c r="X48" s="377"/>
      <c r="Y48" s="377"/>
      <c r="Z48" s="377"/>
      <c r="AA48" s="372"/>
      <c r="AB48" s="376"/>
      <c r="AC48" s="379">
        <f>AB48-Z48</f>
        <v>0</v>
      </c>
      <c r="AD48" s="376">
        <f>AD47+AC48</f>
        <v>-8.7311491370201111E-10</v>
      </c>
      <c r="AF48" s="376"/>
      <c r="AG48" s="376"/>
      <c r="AH48" s="376"/>
      <c r="AI48" s="372"/>
      <c r="AJ48" s="372"/>
      <c r="AK48" s="376"/>
    </row>
    <row r="49" spans="2:37" s="387" customFormat="1" ht="27" customHeight="1">
      <c r="B49" s="298"/>
      <c r="C49" s="383">
        <f>SUM(C7:C48)</f>
        <v>150106.399</v>
      </c>
      <c r="D49" s="383">
        <f>SUM(D7:D48)</f>
        <v>62779.248</v>
      </c>
      <c r="E49" s="383">
        <f t="shared" ref="E49:Y49" si="10">SUM(E7:E48)</f>
        <v>15314.999999999998</v>
      </c>
      <c r="F49" s="383">
        <f t="shared" si="10"/>
        <v>20419.999999999996</v>
      </c>
      <c r="G49" s="383">
        <f t="shared" si="10"/>
        <v>35734.999999999993</v>
      </c>
      <c r="H49" s="383">
        <f t="shared" si="10"/>
        <v>179859.36</v>
      </c>
      <c r="I49" s="383">
        <f t="shared" si="10"/>
        <v>513541.35479999997</v>
      </c>
      <c r="J49" s="383">
        <f t="shared" si="10"/>
        <v>54888.959999999999</v>
      </c>
      <c r="K49" s="383">
        <f t="shared" si="10"/>
        <v>358077.973</v>
      </c>
      <c r="L49" s="383">
        <f t="shared" si="10"/>
        <v>490135.13399999996</v>
      </c>
      <c r="M49" s="383">
        <f t="shared" si="10"/>
        <v>126073.07999999999</v>
      </c>
      <c r="N49" s="383">
        <f t="shared" si="10"/>
        <v>235195.51800000001</v>
      </c>
      <c r="O49" s="383">
        <f t="shared" si="10"/>
        <v>212576.28399999999</v>
      </c>
      <c r="P49" s="383">
        <f t="shared" si="10"/>
        <v>12188.698</v>
      </c>
      <c r="Q49" s="383">
        <f t="shared" si="10"/>
        <v>144877.85800000001</v>
      </c>
      <c r="R49" s="383">
        <f t="shared" si="10"/>
        <v>255249.99999999997</v>
      </c>
      <c r="S49" s="383">
        <f t="shared" si="10"/>
        <v>157404.50699999998</v>
      </c>
      <c r="T49" s="383">
        <f t="shared" si="10"/>
        <v>111772.95400000001</v>
      </c>
      <c r="U49" s="383">
        <f t="shared" si="10"/>
        <v>166439.33600000001</v>
      </c>
      <c r="V49" s="383">
        <f t="shared" si="10"/>
        <v>663993.0560000001</v>
      </c>
      <c r="W49" s="383">
        <f t="shared" si="10"/>
        <v>122519.99999999999</v>
      </c>
      <c r="X49" s="383">
        <f>SUM(X7:X48)</f>
        <v>500075.58999999997</v>
      </c>
      <c r="Y49" s="383">
        <f t="shared" si="10"/>
        <v>25524.999999999996</v>
      </c>
      <c r="Z49" s="384">
        <f>SUM(C49:Y49)</f>
        <v>4614750.3097999999</v>
      </c>
      <c r="AA49" s="385"/>
      <c r="AB49" s="384">
        <f>SUM(AB6:AB48)</f>
        <v>4614750.309799999</v>
      </c>
      <c r="AC49" s="386">
        <f>SUM(AC6:AC48)</f>
        <v>-8.7311491370201111E-10</v>
      </c>
      <c r="AD49" s="384">
        <f>AD47</f>
        <v>-8.7311491370201111E-10</v>
      </c>
      <c r="AF49" s="384">
        <f t="shared" ref="AF49:AK49" si="11">SUM(AF6:AF48)</f>
        <v>666035.05600000022</v>
      </c>
      <c r="AG49" s="384">
        <f t="shared" si="11"/>
        <v>1386164.7339999999</v>
      </c>
      <c r="AH49" s="384">
        <f t="shared" si="11"/>
        <v>403825.91999999993</v>
      </c>
      <c r="AI49" s="384">
        <f t="shared" si="11"/>
        <v>1629760.8357999998</v>
      </c>
      <c r="AJ49" s="384">
        <f t="shared" si="11"/>
        <v>528963.76399999997</v>
      </c>
      <c r="AK49" s="384">
        <f t="shared" si="11"/>
        <v>4614750.309799999</v>
      </c>
    </row>
    <row r="50" spans="2:37">
      <c r="D50" s="366"/>
      <c r="E50" s="366"/>
      <c r="F50" s="366"/>
      <c r="G50" s="366"/>
      <c r="H50" s="366"/>
      <c r="I50" s="366"/>
      <c r="J50" s="366"/>
      <c r="K50" s="366"/>
      <c r="L50" s="366"/>
      <c r="M50" s="366"/>
      <c r="N50" s="366"/>
      <c r="O50" s="366"/>
      <c r="P50" s="366"/>
      <c r="Q50" s="366"/>
      <c r="R50" s="366"/>
      <c r="S50" s="366"/>
      <c r="T50" s="366"/>
      <c r="U50" s="366"/>
      <c r="V50" s="366"/>
      <c r="W50" s="366"/>
      <c r="X50" s="366"/>
      <c r="Y50" s="366"/>
      <c r="Z50" s="366"/>
      <c r="AA50" s="372"/>
    </row>
    <row r="51" spans="2:37" s="392" customFormat="1" ht="38.25">
      <c r="B51" s="388" t="s">
        <v>114</v>
      </c>
      <c r="C51" s="389"/>
      <c r="D51" s="389"/>
      <c r="E51" s="388" t="s">
        <v>200</v>
      </c>
      <c r="F51" s="390" t="s">
        <v>201</v>
      </c>
      <c r="G51" s="391" t="s">
        <v>202</v>
      </c>
      <c r="H51" s="388" t="s">
        <v>203</v>
      </c>
      <c r="Z51" s="393"/>
      <c r="AA51" s="394"/>
    </row>
    <row r="52" spans="2:37">
      <c r="B52" s="395" t="s">
        <v>204</v>
      </c>
      <c r="C52" s="396" t="str">
        <f>'[49]Remplacement de composants'!D6</f>
        <v>Toiture</v>
      </c>
      <c r="D52" s="397"/>
      <c r="E52" s="398">
        <f>'[49]Remplacement de composants'!G6*0.8*1.021</f>
        <v>120085.1192</v>
      </c>
      <c r="F52" s="399">
        <f>'[49]Remplacement de composants'!J6</f>
        <v>1.25</v>
      </c>
      <c r="G52" s="400">
        <f>F52*E52</f>
        <v>150106.399</v>
      </c>
      <c r="H52" s="401" t="str">
        <f>'[49]Remplacement de composants'!E6&amp;" ans"</f>
        <v>30 ans</v>
      </c>
      <c r="I52" s="366"/>
      <c r="X52" s="366"/>
    </row>
    <row r="53" spans="2:37">
      <c r="B53" s="402" t="s">
        <v>48</v>
      </c>
      <c r="C53" s="403" t="str">
        <f>'[49]Remplacement de composants'!D7</f>
        <v>Terrasses entières</v>
      </c>
      <c r="D53" s="305"/>
      <c r="E53" s="404">
        <f>'[49]Remplacement de composants'!G7*0.8*1.021</f>
        <v>25111.699199999999</v>
      </c>
      <c r="F53" s="405">
        <f>'[49]Remplacement de composants'!J7</f>
        <v>1.25</v>
      </c>
      <c r="G53" s="406">
        <f t="shared" ref="G53:G74" si="12">F53*E53</f>
        <v>31389.624</v>
      </c>
      <c r="H53" s="407" t="str">
        <f>'[49]Remplacement de composants'!E7&amp;" ans"</f>
        <v>15 ans</v>
      </c>
      <c r="I53" s="366"/>
    </row>
    <row r="54" spans="2:37">
      <c r="B54" s="402"/>
      <c r="C54" s="403" t="str">
        <f>'[49]Remplacement de composants'!D8</f>
        <v>Accessoires (Chenaux…)</v>
      </c>
      <c r="D54" s="305"/>
      <c r="E54" s="404">
        <f>'[49]Remplacement de composants'!G8*0.8*1.021</f>
        <v>12251.999999999998</v>
      </c>
      <c r="F54" s="405">
        <f>'[49]Remplacement de composants'!J8</f>
        <v>1.25</v>
      </c>
      <c r="G54" s="406">
        <f t="shared" si="12"/>
        <v>15314.999999999998</v>
      </c>
      <c r="H54" s="408" t="str">
        <f>'[49]Remplacement de composants'!E8&amp;" ans"</f>
        <v>30 ans</v>
      </c>
      <c r="I54" s="366"/>
    </row>
    <row r="55" spans="2:37">
      <c r="B55" s="402" t="s">
        <v>205</v>
      </c>
      <c r="C55" s="403" t="str">
        <f>'[49]Remplacement de composants'!D9</f>
        <v>Joints Silicone + Dégarnissage</v>
      </c>
      <c r="D55" s="305"/>
      <c r="E55" s="404">
        <f>'[49]Remplacement de composants'!G9*0.8*1.021</f>
        <v>8167.9999999999991</v>
      </c>
      <c r="F55" s="405">
        <f>'[49]Remplacement de composants'!J9</f>
        <v>1.25</v>
      </c>
      <c r="G55" s="406">
        <f t="shared" si="12"/>
        <v>10209.999999999998</v>
      </c>
      <c r="H55" s="408" t="str">
        <f>'[49]Remplacement de composants'!E9&amp;" ans"</f>
        <v>15 ans</v>
      </c>
      <c r="I55" s="366"/>
    </row>
    <row r="56" spans="2:37">
      <c r="B56" s="402" t="s">
        <v>206</v>
      </c>
      <c r="C56" s="403" t="str">
        <f>'[49]Remplacement de composants'!D10</f>
        <v>Refection couche de roulement</v>
      </c>
      <c r="D56" s="305"/>
      <c r="E56" s="404">
        <f>'[49]Remplacement de composants'!G10*0.8*1.021</f>
        <v>28587.999999999996</v>
      </c>
      <c r="F56" s="405">
        <f>'[49]Remplacement de composants'!J10</f>
        <v>1.25</v>
      </c>
      <c r="G56" s="406">
        <f t="shared" si="12"/>
        <v>35734.999999999993</v>
      </c>
      <c r="H56" s="408" t="str">
        <f>'[49]Remplacement de composants'!E10&amp;" ans"</f>
        <v>30 ans</v>
      </c>
      <c r="I56" s="366"/>
    </row>
    <row r="57" spans="2:37">
      <c r="B57" s="402" t="s">
        <v>207</v>
      </c>
      <c r="C57" s="403" t="str">
        <f>'[49]Remplacement de composants'!D11</f>
        <v>Ravalement complet</v>
      </c>
      <c r="D57" s="305"/>
      <c r="E57" s="404">
        <f>'[49]Remplacement de composants'!G11*0.8*1.021</f>
        <v>179859.36</v>
      </c>
      <c r="F57" s="405">
        <f>'[49]Remplacement de composants'!J11</f>
        <v>0.5</v>
      </c>
      <c r="G57" s="406">
        <f t="shared" si="12"/>
        <v>89929.68</v>
      </c>
      <c r="H57" s="408" t="str">
        <f>'[49]Remplacement de composants'!E11&amp;" ans"</f>
        <v>20 ans</v>
      </c>
      <c r="I57" s="366"/>
    </row>
    <row r="58" spans="2:37">
      <c r="B58" s="409" t="s">
        <v>208</v>
      </c>
      <c r="C58" s="403" t="str">
        <f>'[49]Remplacement de composants'!D12</f>
        <v>Remplacement sols (Collectifs et studios)</v>
      </c>
      <c r="D58" s="305"/>
      <c r="E58" s="404">
        <f>'[49]Remplacement de composants'!G12*0.8*1.021</f>
        <v>342360.9032</v>
      </c>
      <c r="F58" s="405">
        <f>'[49]Remplacement de composants'!J12</f>
        <v>1.5</v>
      </c>
      <c r="G58" s="406">
        <f t="shared" si="12"/>
        <v>513541.35479999997</v>
      </c>
      <c r="H58" s="408" t="str">
        <f>'[49]Remplacement de composants'!E12&amp;" ans"</f>
        <v>25 ans</v>
      </c>
      <c r="I58" s="366"/>
    </row>
    <row r="59" spans="2:37">
      <c r="B59" s="402" t="s">
        <v>44</v>
      </c>
      <c r="C59" s="403" t="str">
        <f>'[49]Remplacement de composants'!D13</f>
        <v>Remplacement</v>
      </c>
      <c r="D59" s="305"/>
      <c r="E59" s="404">
        <f>'[49]Remplacement de composants'!G13*0.8*1.021</f>
        <v>36592.639999999999</v>
      </c>
      <c r="F59" s="405">
        <f>'[49]Remplacement de composants'!J13</f>
        <v>1.5</v>
      </c>
      <c r="G59" s="406">
        <f t="shared" si="12"/>
        <v>54888.959999999999</v>
      </c>
      <c r="H59" s="408" t="str">
        <f>'[49]Remplacement de composants'!E13&amp;" ans"</f>
        <v>25 ans</v>
      </c>
      <c r="I59" s="366"/>
    </row>
    <row r="60" spans="2:37">
      <c r="B60" s="409" t="s">
        <v>209</v>
      </c>
      <c r="C60" s="403" t="str">
        <f>'[49]Remplacement de composants'!D14</f>
        <v>Menuiserie alu</v>
      </c>
      <c r="D60" s="305"/>
      <c r="E60" s="404">
        <f>'[49]Remplacement de composants'!G14*0.8*1.021</f>
        <v>286462.37839999999</v>
      </c>
      <c r="F60" s="405">
        <f>'[49]Remplacement de composants'!J14</f>
        <v>1.25</v>
      </c>
      <c r="G60" s="406">
        <f t="shared" si="12"/>
        <v>358077.973</v>
      </c>
      <c r="H60" s="408" t="str">
        <f>'[49]Remplacement de composants'!E14&amp;" ans"</f>
        <v>25 ans</v>
      </c>
      <c r="I60" s="366"/>
    </row>
    <row r="61" spans="2:37">
      <c r="B61" s="409"/>
      <c r="C61" s="403" t="str">
        <f>'[49]Remplacement de composants'!D15</f>
        <v>Menuiserie Jalousie</v>
      </c>
      <c r="D61" s="305"/>
      <c r="E61" s="404">
        <f>'[49]Remplacement de composants'!G15*0.8*1.021</f>
        <v>196054.05359999998</v>
      </c>
      <c r="F61" s="405">
        <f>'[49]Remplacement de composants'!J15</f>
        <v>1.25</v>
      </c>
      <c r="G61" s="406">
        <f t="shared" si="12"/>
        <v>245067.56699999998</v>
      </c>
      <c r="H61" s="408" t="str">
        <f>'[49]Remplacement de composants'!E15&amp;" ans"</f>
        <v>15 ans</v>
      </c>
      <c r="I61" s="366"/>
    </row>
    <row r="62" spans="2:37">
      <c r="B62" s="402"/>
      <c r="C62" s="403" t="str">
        <f>'[49]Remplacement de composants'!D16</f>
        <v>Fermetures alu yc portes d'accès</v>
      </c>
      <c r="D62" s="305"/>
      <c r="E62" s="404">
        <f>'[49]Remplacement de composants'!G16*0.8*1.021</f>
        <v>50429.231999999996</v>
      </c>
      <c r="F62" s="405">
        <f>'[49]Remplacement de composants'!J16</f>
        <v>1.25</v>
      </c>
      <c r="G62" s="406">
        <f t="shared" si="12"/>
        <v>63036.539999999994</v>
      </c>
      <c r="H62" s="408" t="str">
        <f>'[49]Remplacement de composants'!E16&amp;" ans"</f>
        <v>15 ans</v>
      </c>
      <c r="I62" s="366"/>
    </row>
    <row r="63" spans="2:37">
      <c r="B63" s="402" t="s">
        <v>210</v>
      </c>
      <c r="C63" s="403" t="str">
        <f>'[49]Remplacement de composants'!D17</f>
        <v>Gardes-corps</v>
      </c>
      <c r="D63" s="305"/>
      <c r="E63" s="404">
        <f>'[49]Remplacement de composants'!G17*0.8*1.021</f>
        <v>188156.41440000001</v>
      </c>
      <c r="F63" s="405">
        <f>'[49]Remplacement de composants'!J17</f>
        <v>1.25</v>
      </c>
      <c r="G63" s="406">
        <f t="shared" si="12"/>
        <v>235195.51800000001</v>
      </c>
      <c r="H63" s="408" t="str">
        <f>'[49]Remplacement de composants'!E17&amp;" ans"</f>
        <v>25 ans</v>
      </c>
      <c r="I63" s="366"/>
    </row>
    <row r="64" spans="2:37">
      <c r="B64" s="409" t="s">
        <v>211</v>
      </c>
      <c r="C64" s="403" t="str">
        <f>'[49]Remplacement de composants'!D18</f>
        <v>Canalisation yc AEP (EC+EF)</v>
      </c>
      <c r="D64" s="305"/>
      <c r="E64" s="404">
        <f>'[49]Remplacement de composants'!G18*0.8*1.021</f>
        <v>85030.513599999991</v>
      </c>
      <c r="F64" s="405">
        <f>'[49]Remplacement de composants'!J18</f>
        <v>1.25</v>
      </c>
      <c r="G64" s="406">
        <f t="shared" si="12"/>
        <v>106288.14199999999</v>
      </c>
      <c r="H64" s="408" t="str">
        <f>'[49]Remplacement de composants'!E18&amp;" ans"</f>
        <v>15 ans</v>
      </c>
      <c r="I64" s="366"/>
    </row>
    <row r="65" spans="2:9">
      <c r="B65" s="402"/>
      <c r="C65" s="403" t="str">
        <f>'[49]Remplacement de composants'!D19</f>
        <v>Evacuation yc EU</v>
      </c>
      <c r="D65" s="305"/>
      <c r="E65" s="404">
        <f>'[49]Remplacement de composants'!G19*0.8*1.021</f>
        <v>4875.4791999999998</v>
      </c>
      <c r="F65" s="405">
        <f>'[49]Remplacement de composants'!J19</f>
        <v>1.25</v>
      </c>
      <c r="G65" s="406">
        <f t="shared" si="12"/>
        <v>6094.3490000000002</v>
      </c>
      <c r="H65" s="408" t="str">
        <f>'[49]Remplacement de composants'!E19&amp;" ans"</f>
        <v>15 ans</v>
      </c>
      <c r="I65" s="366"/>
    </row>
    <row r="66" spans="2:9">
      <c r="B66" s="402"/>
      <c r="C66" s="403" t="str">
        <f>'[49]Remplacement de composants'!D20</f>
        <v>Canalisation</v>
      </c>
      <c r="D66" s="305"/>
      <c r="E66" s="404">
        <f>'[49]Remplacement de composants'!G20*0.8*1.021</f>
        <v>115902.2864</v>
      </c>
      <c r="F66" s="405">
        <f>'[49]Remplacement de composants'!J20</f>
        <v>1.25</v>
      </c>
      <c r="G66" s="406">
        <f t="shared" si="12"/>
        <v>144877.85800000001</v>
      </c>
      <c r="H66" s="408" t="str">
        <f>'[49]Remplacement de composants'!E20&amp;" ans"</f>
        <v>30 ans</v>
      </c>
      <c r="I66" s="366"/>
    </row>
    <row r="67" spans="2:9">
      <c r="B67" s="409" t="s">
        <v>212</v>
      </c>
      <c r="C67" s="403" t="str">
        <f>'[49]Remplacement de composants'!D21</f>
        <v>réfection (cablage)</v>
      </c>
      <c r="D67" s="305"/>
      <c r="E67" s="404">
        <f>'[49]Remplacement de composants'!G21*0.8*1.021</f>
        <v>204199.99999999997</v>
      </c>
      <c r="F67" s="405">
        <f>'[49]Remplacement de composants'!J21</f>
        <v>1.25</v>
      </c>
      <c r="G67" s="406">
        <f t="shared" si="12"/>
        <v>255249.99999999997</v>
      </c>
      <c r="H67" s="408" t="str">
        <f>'[49]Remplacement de composants'!E21&amp;" ans"</f>
        <v>25 ans</v>
      </c>
      <c r="I67" s="366"/>
    </row>
    <row r="68" spans="2:9">
      <c r="B68" s="402" t="s">
        <v>213</v>
      </c>
      <c r="C68" s="403" t="str">
        <f>'[49]Remplacement de composants'!D22</f>
        <v>Huisseries / Portes palières</v>
      </c>
      <c r="D68" s="305"/>
      <c r="E68" s="404">
        <f>'[49]Remplacement de composants'!G22*0.8*1.021</f>
        <v>125923.6056</v>
      </c>
      <c r="F68" s="405">
        <f>'[49]Remplacement de composants'!J22</f>
        <v>1.25</v>
      </c>
      <c r="G68" s="406">
        <f t="shared" si="12"/>
        <v>157404.50699999998</v>
      </c>
      <c r="H68" s="408" t="str">
        <f>'[49]Remplacement de composants'!E22&amp;" ans"</f>
        <v>30 ans</v>
      </c>
      <c r="I68" s="366"/>
    </row>
    <row r="69" spans="2:9">
      <c r="B69" s="402"/>
      <c r="C69" s="403" t="str">
        <f>'[49]Remplacement de composants'!D23</f>
        <v>Huisseries / Portes isoplanes</v>
      </c>
      <c r="D69" s="305"/>
      <c r="E69" s="404">
        <f>'[49]Remplacement de composants'!G23*0.8*1.021</f>
        <v>44709.181600000004</v>
      </c>
      <c r="F69" s="405">
        <f>'[49]Remplacement de composants'!J23</f>
        <v>1.25</v>
      </c>
      <c r="G69" s="406">
        <f t="shared" si="12"/>
        <v>55886.477000000006</v>
      </c>
      <c r="H69" s="408" t="str">
        <f>'[49]Remplacement de composants'!E23&amp;" ans"</f>
        <v>15 ans</v>
      </c>
      <c r="I69" s="366"/>
    </row>
    <row r="70" spans="2:9">
      <c r="B70" s="409" t="s">
        <v>38</v>
      </c>
      <c r="C70" s="403" t="str">
        <f>'[49]Remplacement de composants'!D24</f>
        <v>Appareillage citerne ECS</v>
      </c>
      <c r="D70" s="305"/>
      <c r="E70" s="404">
        <f>'[49]Remplacement de composants'!G24*0.8*1.021</f>
        <v>66575.734400000001</v>
      </c>
      <c r="F70" s="405">
        <f>'[49]Remplacement de composants'!J24</f>
        <v>1.25</v>
      </c>
      <c r="G70" s="406">
        <f t="shared" si="12"/>
        <v>83219.668000000005</v>
      </c>
      <c r="H70" s="408" t="str">
        <f>'[49]Remplacement de composants'!E24&amp;" ans"</f>
        <v>15 ans</v>
      </c>
      <c r="I70" s="366"/>
    </row>
    <row r="71" spans="2:9">
      <c r="B71" s="409"/>
      <c r="C71" s="403" t="str">
        <f>'[49]Remplacement de composants'!D25</f>
        <v>Appareillage pompe ECS</v>
      </c>
      <c r="D71" s="305"/>
      <c r="E71" s="404">
        <f>'[49]Remplacement de composants'!G25*0.8*1.021</f>
        <v>132798.61120000001</v>
      </c>
      <c r="F71" s="405">
        <f>'[49]Remplacement de composants'!J25</f>
        <v>1.25</v>
      </c>
      <c r="G71" s="406">
        <f t="shared" si="12"/>
        <v>165998.26400000002</v>
      </c>
      <c r="H71" s="408" t="str">
        <f>'[49]Remplacement de composants'!E25&amp;" ans"</f>
        <v>10 ans</v>
      </c>
      <c r="I71" s="366"/>
    </row>
    <row r="72" spans="2:9">
      <c r="B72" s="409"/>
      <c r="C72" s="403" t="str">
        <f>'[49]Remplacement de composants'!D26</f>
        <v>Appareillage panneaux solaires</v>
      </c>
      <c r="D72" s="305"/>
      <c r="E72" s="404">
        <f>'[49]Remplacement de composants'!G26*0.8*1.021</f>
        <v>49007.999999999993</v>
      </c>
      <c r="F72" s="405">
        <f>'[49]Remplacement de composants'!J26</f>
        <v>1.25</v>
      </c>
      <c r="G72" s="406">
        <f t="shared" si="12"/>
        <v>61259.999999999993</v>
      </c>
      <c r="H72" s="408" t="str">
        <f>'[49]Remplacement de composants'!E26&amp;" ans"</f>
        <v>20 ans</v>
      </c>
      <c r="I72" s="366"/>
    </row>
    <row r="73" spans="2:9">
      <c r="B73" s="410"/>
      <c r="C73" s="403" t="str">
        <f>'[49]Remplacement de composants'!D27</f>
        <v>Equipements (annexe 1)</v>
      </c>
      <c r="D73" s="305"/>
      <c r="E73" s="404">
        <f>'[49]Remplacement de composants'!G27*0.8*1.021</f>
        <v>400060.47199999995</v>
      </c>
      <c r="F73" s="405">
        <f>'[49]Remplacement de composants'!J27</f>
        <v>1.25</v>
      </c>
      <c r="G73" s="406">
        <f>F73*E73</f>
        <v>500075.58999999997</v>
      </c>
      <c r="H73" s="408"/>
      <c r="I73" s="366"/>
    </row>
    <row r="74" spans="2:9">
      <c r="B74" s="411" t="s">
        <v>214</v>
      </c>
      <c r="C74" s="412" t="str">
        <f>'[49]Remplacement de composants'!D28</f>
        <v>Equipements</v>
      </c>
      <c r="D74" s="413"/>
      <c r="E74" s="414">
        <f>'[49]Remplacement de composants'!G28*0.8*1.021</f>
        <v>20419.999999999996</v>
      </c>
      <c r="F74" s="415">
        <f>'[49]Remplacement de composants'!J28</f>
        <v>1.25</v>
      </c>
      <c r="G74" s="416">
        <f t="shared" si="12"/>
        <v>25524.999999999996</v>
      </c>
      <c r="H74" s="417" t="str">
        <f>'[49]Remplacement de composants'!E28&amp;" ans"</f>
        <v>30 ans</v>
      </c>
      <c r="I74" s="366"/>
    </row>
    <row r="76" spans="2:9">
      <c r="F76" s="14" t="s">
        <v>10</v>
      </c>
      <c r="G76" s="366">
        <f>SUM(G52:G74)</f>
        <v>3364373.4707999993</v>
      </c>
    </row>
  </sheetData>
  <mergeCells count="8">
    <mergeCell ref="AK1:AK2"/>
    <mergeCell ref="AC3:AC5"/>
    <mergeCell ref="AD3:AD5"/>
    <mergeCell ref="B1:B2"/>
    <mergeCell ref="C1:Z1"/>
    <mergeCell ref="AB1:AB5"/>
    <mergeCell ref="AC1:AD2"/>
    <mergeCell ref="AF1:AJ2"/>
  </mergeCells>
  <printOptions horizontalCentered="1"/>
  <pageMargins left="0.78740157480314965" right="0.78740157480314965" top="0.98425196850393704" bottom="0.98425196850393704" header="0.51181102362204722" footer="0.51181102362204722"/>
  <pageSetup paperSize="8" scale="48" orientation="landscape" r:id="rId1"/>
  <headerFooter alignWithMargins="0">
    <oddHeader>&amp;LSODEGIS&amp;CPROGRAMME DE GROS ENTRETIEN ET RENOUVELLEMENT
RESIDENCE UNIVERSITAIRE
CAMPUS UNIVERSITAIRE DE SAINT-PIERRE&amp;RPLS
VD</oddHeader>
  </headerFooter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F0"/>
    <pageSetUpPr fitToPage="1"/>
  </sheetPr>
  <dimension ref="A1:Q80"/>
  <sheetViews>
    <sheetView showGridLines="0" zoomScale="70" zoomScaleNormal="70" workbookViewId="0">
      <selection activeCell="G9" sqref="G9"/>
    </sheetView>
  </sheetViews>
  <sheetFormatPr baseColWidth="10" defaultRowHeight="12.75"/>
  <cols>
    <col min="1" max="1" width="3" style="1" bestFit="1" customWidth="1"/>
    <col min="2" max="2" width="29.42578125" style="1" bestFit="1" customWidth="1"/>
    <col min="3" max="3" width="27.28515625" style="1" bestFit="1" customWidth="1"/>
    <col min="4" max="4" width="7.5703125" style="1" customWidth="1"/>
    <col min="5" max="5" width="11.5703125" style="1" bestFit="1" customWidth="1"/>
    <col min="6" max="6" width="11.5703125" style="418" bestFit="1" customWidth="1"/>
    <col min="7" max="7" width="9.28515625" style="1" bestFit="1" customWidth="1"/>
    <col min="8" max="8" width="6.7109375" style="6" customWidth="1"/>
    <col min="9" max="9" width="18" style="1" bestFit="1" customWidth="1"/>
    <col min="10" max="10" width="16" style="419" customWidth="1"/>
    <col min="11" max="11" width="11.5703125" style="419" bestFit="1" customWidth="1"/>
    <col min="12" max="13" width="11.7109375" style="1" bestFit="1" customWidth="1"/>
    <col min="14" max="17" width="12.85546875" style="1" bestFit="1" customWidth="1"/>
    <col min="18" max="256" width="11.42578125" style="1"/>
    <col min="257" max="257" width="3" style="1" bestFit="1" customWidth="1"/>
    <col min="258" max="258" width="29.42578125" style="1" bestFit="1" customWidth="1"/>
    <col min="259" max="259" width="27.28515625" style="1" bestFit="1" customWidth="1"/>
    <col min="260" max="260" width="7.5703125" style="1" customWidth="1"/>
    <col min="261" max="262" width="11.5703125" style="1" bestFit="1" customWidth="1"/>
    <col min="263" max="263" width="9.28515625" style="1" bestFit="1" customWidth="1"/>
    <col min="264" max="264" width="6.7109375" style="1" customWidth="1"/>
    <col min="265" max="265" width="18" style="1" bestFit="1" customWidth="1"/>
    <col min="266" max="266" width="16" style="1" customWidth="1"/>
    <col min="267" max="267" width="11.5703125" style="1" bestFit="1" customWidth="1"/>
    <col min="268" max="269" width="11.7109375" style="1" bestFit="1" customWidth="1"/>
    <col min="270" max="273" width="12.85546875" style="1" bestFit="1" customWidth="1"/>
    <col min="274" max="512" width="11.42578125" style="1"/>
    <col min="513" max="513" width="3" style="1" bestFit="1" customWidth="1"/>
    <col min="514" max="514" width="29.42578125" style="1" bestFit="1" customWidth="1"/>
    <col min="515" max="515" width="27.28515625" style="1" bestFit="1" customWidth="1"/>
    <col min="516" max="516" width="7.5703125" style="1" customWidth="1"/>
    <col min="517" max="518" width="11.5703125" style="1" bestFit="1" customWidth="1"/>
    <col min="519" max="519" width="9.28515625" style="1" bestFit="1" customWidth="1"/>
    <col min="520" max="520" width="6.7109375" style="1" customWidth="1"/>
    <col min="521" max="521" width="18" style="1" bestFit="1" customWidth="1"/>
    <col min="522" max="522" width="16" style="1" customWidth="1"/>
    <col min="523" max="523" width="11.5703125" style="1" bestFit="1" customWidth="1"/>
    <col min="524" max="525" width="11.7109375" style="1" bestFit="1" customWidth="1"/>
    <col min="526" max="529" width="12.85546875" style="1" bestFit="1" customWidth="1"/>
    <col min="530" max="768" width="11.42578125" style="1"/>
    <col min="769" max="769" width="3" style="1" bestFit="1" customWidth="1"/>
    <col min="770" max="770" width="29.42578125" style="1" bestFit="1" customWidth="1"/>
    <col min="771" max="771" width="27.28515625" style="1" bestFit="1" customWidth="1"/>
    <col min="772" max="772" width="7.5703125" style="1" customWidth="1"/>
    <col min="773" max="774" width="11.5703125" style="1" bestFit="1" customWidth="1"/>
    <col min="775" max="775" width="9.28515625" style="1" bestFit="1" customWidth="1"/>
    <col min="776" max="776" width="6.7109375" style="1" customWidth="1"/>
    <col min="777" max="777" width="18" style="1" bestFit="1" customWidth="1"/>
    <col min="778" max="778" width="16" style="1" customWidth="1"/>
    <col min="779" max="779" width="11.5703125" style="1" bestFit="1" customWidth="1"/>
    <col min="780" max="781" width="11.7109375" style="1" bestFit="1" customWidth="1"/>
    <col min="782" max="785" width="12.85546875" style="1" bestFit="1" customWidth="1"/>
    <col min="786" max="1024" width="11.42578125" style="1"/>
    <col min="1025" max="1025" width="3" style="1" bestFit="1" customWidth="1"/>
    <col min="1026" max="1026" width="29.42578125" style="1" bestFit="1" customWidth="1"/>
    <col min="1027" max="1027" width="27.28515625" style="1" bestFit="1" customWidth="1"/>
    <col min="1028" max="1028" width="7.5703125" style="1" customWidth="1"/>
    <col min="1029" max="1030" width="11.5703125" style="1" bestFit="1" customWidth="1"/>
    <col min="1031" max="1031" width="9.28515625" style="1" bestFit="1" customWidth="1"/>
    <col min="1032" max="1032" width="6.7109375" style="1" customWidth="1"/>
    <col min="1033" max="1033" width="18" style="1" bestFit="1" customWidth="1"/>
    <col min="1034" max="1034" width="16" style="1" customWidth="1"/>
    <col min="1035" max="1035" width="11.5703125" style="1" bestFit="1" customWidth="1"/>
    <col min="1036" max="1037" width="11.7109375" style="1" bestFit="1" customWidth="1"/>
    <col min="1038" max="1041" width="12.85546875" style="1" bestFit="1" customWidth="1"/>
    <col min="1042" max="1280" width="11.42578125" style="1"/>
    <col min="1281" max="1281" width="3" style="1" bestFit="1" customWidth="1"/>
    <col min="1282" max="1282" width="29.42578125" style="1" bestFit="1" customWidth="1"/>
    <col min="1283" max="1283" width="27.28515625" style="1" bestFit="1" customWidth="1"/>
    <col min="1284" max="1284" width="7.5703125" style="1" customWidth="1"/>
    <col min="1285" max="1286" width="11.5703125" style="1" bestFit="1" customWidth="1"/>
    <col min="1287" max="1287" width="9.28515625" style="1" bestFit="1" customWidth="1"/>
    <col min="1288" max="1288" width="6.7109375" style="1" customWidth="1"/>
    <col min="1289" max="1289" width="18" style="1" bestFit="1" customWidth="1"/>
    <col min="1290" max="1290" width="16" style="1" customWidth="1"/>
    <col min="1291" max="1291" width="11.5703125" style="1" bestFit="1" customWidth="1"/>
    <col min="1292" max="1293" width="11.7109375" style="1" bestFit="1" customWidth="1"/>
    <col min="1294" max="1297" width="12.85546875" style="1" bestFit="1" customWidth="1"/>
    <col min="1298" max="1536" width="11.42578125" style="1"/>
    <col min="1537" max="1537" width="3" style="1" bestFit="1" customWidth="1"/>
    <col min="1538" max="1538" width="29.42578125" style="1" bestFit="1" customWidth="1"/>
    <col min="1539" max="1539" width="27.28515625" style="1" bestFit="1" customWidth="1"/>
    <col min="1540" max="1540" width="7.5703125" style="1" customWidth="1"/>
    <col min="1541" max="1542" width="11.5703125" style="1" bestFit="1" customWidth="1"/>
    <col min="1543" max="1543" width="9.28515625" style="1" bestFit="1" customWidth="1"/>
    <col min="1544" max="1544" width="6.7109375" style="1" customWidth="1"/>
    <col min="1545" max="1545" width="18" style="1" bestFit="1" customWidth="1"/>
    <col min="1546" max="1546" width="16" style="1" customWidth="1"/>
    <col min="1547" max="1547" width="11.5703125" style="1" bestFit="1" customWidth="1"/>
    <col min="1548" max="1549" width="11.7109375" style="1" bestFit="1" customWidth="1"/>
    <col min="1550" max="1553" width="12.85546875" style="1" bestFit="1" customWidth="1"/>
    <col min="1554" max="1792" width="11.42578125" style="1"/>
    <col min="1793" max="1793" width="3" style="1" bestFit="1" customWidth="1"/>
    <col min="1794" max="1794" width="29.42578125" style="1" bestFit="1" customWidth="1"/>
    <col min="1795" max="1795" width="27.28515625" style="1" bestFit="1" customWidth="1"/>
    <col min="1796" max="1796" width="7.5703125" style="1" customWidth="1"/>
    <col min="1797" max="1798" width="11.5703125" style="1" bestFit="1" customWidth="1"/>
    <col min="1799" max="1799" width="9.28515625" style="1" bestFit="1" customWidth="1"/>
    <col min="1800" max="1800" width="6.7109375" style="1" customWidth="1"/>
    <col min="1801" max="1801" width="18" style="1" bestFit="1" customWidth="1"/>
    <col min="1802" max="1802" width="16" style="1" customWidth="1"/>
    <col min="1803" max="1803" width="11.5703125" style="1" bestFit="1" customWidth="1"/>
    <col min="1804" max="1805" width="11.7109375" style="1" bestFit="1" customWidth="1"/>
    <col min="1806" max="1809" width="12.85546875" style="1" bestFit="1" customWidth="1"/>
    <col min="1810" max="2048" width="11.42578125" style="1"/>
    <col min="2049" max="2049" width="3" style="1" bestFit="1" customWidth="1"/>
    <col min="2050" max="2050" width="29.42578125" style="1" bestFit="1" customWidth="1"/>
    <col min="2051" max="2051" width="27.28515625" style="1" bestFit="1" customWidth="1"/>
    <col min="2052" max="2052" width="7.5703125" style="1" customWidth="1"/>
    <col min="2053" max="2054" width="11.5703125" style="1" bestFit="1" customWidth="1"/>
    <col min="2055" max="2055" width="9.28515625" style="1" bestFit="1" customWidth="1"/>
    <col min="2056" max="2056" width="6.7109375" style="1" customWidth="1"/>
    <col min="2057" max="2057" width="18" style="1" bestFit="1" customWidth="1"/>
    <col min="2058" max="2058" width="16" style="1" customWidth="1"/>
    <col min="2059" max="2059" width="11.5703125" style="1" bestFit="1" customWidth="1"/>
    <col min="2060" max="2061" width="11.7109375" style="1" bestFit="1" customWidth="1"/>
    <col min="2062" max="2065" width="12.85546875" style="1" bestFit="1" customWidth="1"/>
    <col min="2066" max="2304" width="11.42578125" style="1"/>
    <col min="2305" max="2305" width="3" style="1" bestFit="1" customWidth="1"/>
    <col min="2306" max="2306" width="29.42578125" style="1" bestFit="1" customWidth="1"/>
    <col min="2307" max="2307" width="27.28515625" style="1" bestFit="1" customWidth="1"/>
    <col min="2308" max="2308" width="7.5703125" style="1" customWidth="1"/>
    <col min="2309" max="2310" width="11.5703125" style="1" bestFit="1" customWidth="1"/>
    <col min="2311" max="2311" width="9.28515625" style="1" bestFit="1" customWidth="1"/>
    <col min="2312" max="2312" width="6.7109375" style="1" customWidth="1"/>
    <col min="2313" max="2313" width="18" style="1" bestFit="1" customWidth="1"/>
    <col min="2314" max="2314" width="16" style="1" customWidth="1"/>
    <col min="2315" max="2315" width="11.5703125" style="1" bestFit="1" customWidth="1"/>
    <col min="2316" max="2317" width="11.7109375" style="1" bestFit="1" customWidth="1"/>
    <col min="2318" max="2321" width="12.85546875" style="1" bestFit="1" customWidth="1"/>
    <col min="2322" max="2560" width="11.42578125" style="1"/>
    <col min="2561" max="2561" width="3" style="1" bestFit="1" customWidth="1"/>
    <col min="2562" max="2562" width="29.42578125" style="1" bestFit="1" customWidth="1"/>
    <col min="2563" max="2563" width="27.28515625" style="1" bestFit="1" customWidth="1"/>
    <col min="2564" max="2564" width="7.5703125" style="1" customWidth="1"/>
    <col min="2565" max="2566" width="11.5703125" style="1" bestFit="1" customWidth="1"/>
    <col min="2567" max="2567" width="9.28515625" style="1" bestFit="1" customWidth="1"/>
    <col min="2568" max="2568" width="6.7109375" style="1" customWidth="1"/>
    <col min="2569" max="2569" width="18" style="1" bestFit="1" customWidth="1"/>
    <col min="2570" max="2570" width="16" style="1" customWidth="1"/>
    <col min="2571" max="2571" width="11.5703125" style="1" bestFit="1" customWidth="1"/>
    <col min="2572" max="2573" width="11.7109375" style="1" bestFit="1" customWidth="1"/>
    <col min="2574" max="2577" width="12.85546875" style="1" bestFit="1" customWidth="1"/>
    <col min="2578" max="2816" width="11.42578125" style="1"/>
    <col min="2817" max="2817" width="3" style="1" bestFit="1" customWidth="1"/>
    <col min="2818" max="2818" width="29.42578125" style="1" bestFit="1" customWidth="1"/>
    <col min="2819" max="2819" width="27.28515625" style="1" bestFit="1" customWidth="1"/>
    <col min="2820" max="2820" width="7.5703125" style="1" customWidth="1"/>
    <col min="2821" max="2822" width="11.5703125" style="1" bestFit="1" customWidth="1"/>
    <col min="2823" max="2823" width="9.28515625" style="1" bestFit="1" customWidth="1"/>
    <col min="2824" max="2824" width="6.7109375" style="1" customWidth="1"/>
    <col min="2825" max="2825" width="18" style="1" bestFit="1" customWidth="1"/>
    <col min="2826" max="2826" width="16" style="1" customWidth="1"/>
    <col min="2827" max="2827" width="11.5703125" style="1" bestFit="1" customWidth="1"/>
    <col min="2828" max="2829" width="11.7109375" style="1" bestFit="1" customWidth="1"/>
    <col min="2830" max="2833" width="12.85546875" style="1" bestFit="1" customWidth="1"/>
    <col min="2834" max="3072" width="11.42578125" style="1"/>
    <col min="3073" max="3073" width="3" style="1" bestFit="1" customWidth="1"/>
    <col min="3074" max="3074" width="29.42578125" style="1" bestFit="1" customWidth="1"/>
    <col min="3075" max="3075" width="27.28515625" style="1" bestFit="1" customWidth="1"/>
    <col min="3076" max="3076" width="7.5703125" style="1" customWidth="1"/>
    <col min="3077" max="3078" width="11.5703125" style="1" bestFit="1" customWidth="1"/>
    <col min="3079" max="3079" width="9.28515625" style="1" bestFit="1" customWidth="1"/>
    <col min="3080" max="3080" width="6.7109375" style="1" customWidth="1"/>
    <col min="3081" max="3081" width="18" style="1" bestFit="1" customWidth="1"/>
    <col min="3082" max="3082" width="16" style="1" customWidth="1"/>
    <col min="3083" max="3083" width="11.5703125" style="1" bestFit="1" customWidth="1"/>
    <col min="3084" max="3085" width="11.7109375" style="1" bestFit="1" customWidth="1"/>
    <col min="3086" max="3089" width="12.85546875" style="1" bestFit="1" customWidth="1"/>
    <col min="3090" max="3328" width="11.42578125" style="1"/>
    <col min="3329" max="3329" width="3" style="1" bestFit="1" customWidth="1"/>
    <col min="3330" max="3330" width="29.42578125" style="1" bestFit="1" customWidth="1"/>
    <col min="3331" max="3331" width="27.28515625" style="1" bestFit="1" customWidth="1"/>
    <col min="3332" max="3332" width="7.5703125" style="1" customWidth="1"/>
    <col min="3333" max="3334" width="11.5703125" style="1" bestFit="1" customWidth="1"/>
    <col min="3335" max="3335" width="9.28515625" style="1" bestFit="1" customWidth="1"/>
    <col min="3336" max="3336" width="6.7109375" style="1" customWidth="1"/>
    <col min="3337" max="3337" width="18" style="1" bestFit="1" customWidth="1"/>
    <col min="3338" max="3338" width="16" style="1" customWidth="1"/>
    <col min="3339" max="3339" width="11.5703125" style="1" bestFit="1" customWidth="1"/>
    <col min="3340" max="3341" width="11.7109375" style="1" bestFit="1" customWidth="1"/>
    <col min="3342" max="3345" width="12.85546875" style="1" bestFit="1" customWidth="1"/>
    <col min="3346" max="3584" width="11.42578125" style="1"/>
    <col min="3585" max="3585" width="3" style="1" bestFit="1" customWidth="1"/>
    <col min="3586" max="3586" width="29.42578125" style="1" bestFit="1" customWidth="1"/>
    <col min="3587" max="3587" width="27.28515625" style="1" bestFit="1" customWidth="1"/>
    <col min="3588" max="3588" width="7.5703125" style="1" customWidth="1"/>
    <col min="3589" max="3590" width="11.5703125" style="1" bestFit="1" customWidth="1"/>
    <col min="3591" max="3591" width="9.28515625" style="1" bestFit="1" customWidth="1"/>
    <col min="3592" max="3592" width="6.7109375" style="1" customWidth="1"/>
    <col min="3593" max="3593" width="18" style="1" bestFit="1" customWidth="1"/>
    <col min="3594" max="3594" width="16" style="1" customWidth="1"/>
    <col min="3595" max="3595" width="11.5703125" style="1" bestFit="1" customWidth="1"/>
    <col min="3596" max="3597" width="11.7109375" style="1" bestFit="1" customWidth="1"/>
    <col min="3598" max="3601" width="12.85546875" style="1" bestFit="1" customWidth="1"/>
    <col min="3602" max="3840" width="11.42578125" style="1"/>
    <col min="3841" max="3841" width="3" style="1" bestFit="1" customWidth="1"/>
    <col min="3842" max="3842" width="29.42578125" style="1" bestFit="1" customWidth="1"/>
    <col min="3843" max="3843" width="27.28515625" style="1" bestFit="1" customWidth="1"/>
    <col min="3844" max="3844" width="7.5703125" style="1" customWidth="1"/>
    <col min="3845" max="3846" width="11.5703125" style="1" bestFit="1" customWidth="1"/>
    <col min="3847" max="3847" width="9.28515625" style="1" bestFit="1" customWidth="1"/>
    <col min="3848" max="3848" width="6.7109375" style="1" customWidth="1"/>
    <col min="3849" max="3849" width="18" style="1" bestFit="1" customWidth="1"/>
    <col min="3850" max="3850" width="16" style="1" customWidth="1"/>
    <col min="3851" max="3851" width="11.5703125" style="1" bestFit="1" customWidth="1"/>
    <col min="3852" max="3853" width="11.7109375" style="1" bestFit="1" customWidth="1"/>
    <col min="3854" max="3857" width="12.85546875" style="1" bestFit="1" customWidth="1"/>
    <col min="3858" max="4096" width="11.42578125" style="1"/>
    <col min="4097" max="4097" width="3" style="1" bestFit="1" customWidth="1"/>
    <col min="4098" max="4098" width="29.42578125" style="1" bestFit="1" customWidth="1"/>
    <col min="4099" max="4099" width="27.28515625" style="1" bestFit="1" customWidth="1"/>
    <col min="4100" max="4100" width="7.5703125" style="1" customWidth="1"/>
    <col min="4101" max="4102" width="11.5703125" style="1" bestFit="1" customWidth="1"/>
    <col min="4103" max="4103" width="9.28515625" style="1" bestFit="1" customWidth="1"/>
    <col min="4104" max="4104" width="6.7109375" style="1" customWidth="1"/>
    <col min="4105" max="4105" width="18" style="1" bestFit="1" customWidth="1"/>
    <col min="4106" max="4106" width="16" style="1" customWidth="1"/>
    <col min="4107" max="4107" width="11.5703125" style="1" bestFit="1" customWidth="1"/>
    <col min="4108" max="4109" width="11.7109375" style="1" bestFit="1" customWidth="1"/>
    <col min="4110" max="4113" width="12.85546875" style="1" bestFit="1" customWidth="1"/>
    <col min="4114" max="4352" width="11.42578125" style="1"/>
    <col min="4353" max="4353" width="3" style="1" bestFit="1" customWidth="1"/>
    <col min="4354" max="4354" width="29.42578125" style="1" bestFit="1" customWidth="1"/>
    <col min="4355" max="4355" width="27.28515625" style="1" bestFit="1" customWidth="1"/>
    <col min="4356" max="4356" width="7.5703125" style="1" customWidth="1"/>
    <col min="4357" max="4358" width="11.5703125" style="1" bestFit="1" customWidth="1"/>
    <col min="4359" max="4359" width="9.28515625" style="1" bestFit="1" customWidth="1"/>
    <col min="4360" max="4360" width="6.7109375" style="1" customWidth="1"/>
    <col min="4361" max="4361" width="18" style="1" bestFit="1" customWidth="1"/>
    <col min="4362" max="4362" width="16" style="1" customWidth="1"/>
    <col min="4363" max="4363" width="11.5703125" style="1" bestFit="1" customWidth="1"/>
    <col min="4364" max="4365" width="11.7109375" style="1" bestFit="1" customWidth="1"/>
    <col min="4366" max="4369" width="12.85546875" style="1" bestFit="1" customWidth="1"/>
    <col min="4370" max="4608" width="11.42578125" style="1"/>
    <col min="4609" max="4609" width="3" style="1" bestFit="1" customWidth="1"/>
    <col min="4610" max="4610" width="29.42578125" style="1" bestFit="1" customWidth="1"/>
    <col min="4611" max="4611" width="27.28515625" style="1" bestFit="1" customWidth="1"/>
    <col min="4612" max="4612" width="7.5703125" style="1" customWidth="1"/>
    <col min="4613" max="4614" width="11.5703125" style="1" bestFit="1" customWidth="1"/>
    <col min="4615" max="4615" width="9.28515625" style="1" bestFit="1" customWidth="1"/>
    <col min="4616" max="4616" width="6.7109375" style="1" customWidth="1"/>
    <col min="4617" max="4617" width="18" style="1" bestFit="1" customWidth="1"/>
    <col min="4618" max="4618" width="16" style="1" customWidth="1"/>
    <col min="4619" max="4619" width="11.5703125" style="1" bestFit="1" customWidth="1"/>
    <col min="4620" max="4621" width="11.7109375" style="1" bestFit="1" customWidth="1"/>
    <col min="4622" max="4625" width="12.85546875" style="1" bestFit="1" customWidth="1"/>
    <col min="4626" max="4864" width="11.42578125" style="1"/>
    <col min="4865" max="4865" width="3" style="1" bestFit="1" customWidth="1"/>
    <col min="4866" max="4866" width="29.42578125" style="1" bestFit="1" customWidth="1"/>
    <col min="4867" max="4867" width="27.28515625" style="1" bestFit="1" customWidth="1"/>
    <col min="4868" max="4868" width="7.5703125" style="1" customWidth="1"/>
    <col min="4869" max="4870" width="11.5703125" style="1" bestFit="1" customWidth="1"/>
    <col min="4871" max="4871" width="9.28515625" style="1" bestFit="1" customWidth="1"/>
    <col min="4872" max="4872" width="6.7109375" style="1" customWidth="1"/>
    <col min="4873" max="4873" width="18" style="1" bestFit="1" customWidth="1"/>
    <col min="4874" max="4874" width="16" style="1" customWidth="1"/>
    <col min="4875" max="4875" width="11.5703125" style="1" bestFit="1" customWidth="1"/>
    <col min="4876" max="4877" width="11.7109375" style="1" bestFit="1" customWidth="1"/>
    <col min="4878" max="4881" width="12.85546875" style="1" bestFit="1" customWidth="1"/>
    <col min="4882" max="5120" width="11.42578125" style="1"/>
    <col min="5121" max="5121" width="3" style="1" bestFit="1" customWidth="1"/>
    <col min="5122" max="5122" width="29.42578125" style="1" bestFit="1" customWidth="1"/>
    <col min="5123" max="5123" width="27.28515625" style="1" bestFit="1" customWidth="1"/>
    <col min="5124" max="5124" width="7.5703125" style="1" customWidth="1"/>
    <col min="5125" max="5126" width="11.5703125" style="1" bestFit="1" customWidth="1"/>
    <col min="5127" max="5127" width="9.28515625" style="1" bestFit="1" customWidth="1"/>
    <col min="5128" max="5128" width="6.7109375" style="1" customWidth="1"/>
    <col min="5129" max="5129" width="18" style="1" bestFit="1" customWidth="1"/>
    <col min="5130" max="5130" width="16" style="1" customWidth="1"/>
    <col min="5131" max="5131" width="11.5703125" style="1" bestFit="1" customWidth="1"/>
    <col min="5132" max="5133" width="11.7109375" style="1" bestFit="1" customWidth="1"/>
    <col min="5134" max="5137" width="12.85546875" style="1" bestFit="1" customWidth="1"/>
    <col min="5138" max="5376" width="11.42578125" style="1"/>
    <col min="5377" max="5377" width="3" style="1" bestFit="1" customWidth="1"/>
    <col min="5378" max="5378" width="29.42578125" style="1" bestFit="1" customWidth="1"/>
    <col min="5379" max="5379" width="27.28515625" style="1" bestFit="1" customWidth="1"/>
    <col min="5380" max="5380" width="7.5703125" style="1" customWidth="1"/>
    <col min="5381" max="5382" width="11.5703125" style="1" bestFit="1" customWidth="1"/>
    <col min="5383" max="5383" width="9.28515625" style="1" bestFit="1" customWidth="1"/>
    <col min="5384" max="5384" width="6.7109375" style="1" customWidth="1"/>
    <col min="5385" max="5385" width="18" style="1" bestFit="1" customWidth="1"/>
    <col min="5386" max="5386" width="16" style="1" customWidth="1"/>
    <col min="5387" max="5387" width="11.5703125" style="1" bestFit="1" customWidth="1"/>
    <col min="5388" max="5389" width="11.7109375" style="1" bestFit="1" customWidth="1"/>
    <col min="5390" max="5393" width="12.85546875" style="1" bestFit="1" customWidth="1"/>
    <col min="5394" max="5632" width="11.42578125" style="1"/>
    <col min="5633" max="5633" width="3" style="1" bestFit="1" customWidth="1"/>
    <col min="5634" max="5634" width="29.42578125" style="1" bestFit="1" customWidth="1"/>
    <col min="5635" max="5635" width="27.28515625" style="1" bestFit="1" customWidth="1"/>
    <col min="5636" max="5636" width="7.5703125" style="1" customWidth="1"/>
    <col min="5637" max="5638" width="11.5703125" style="1" bestFit="1" customWidth="1"/>
    <col min="5639" max="5639" width="9.28515625" style="1" bestFit="1" customWidth="1"/>
    <col min="5640" max="5640" width="6.7109375" style="1" customWidth="1"/>
    <col min="5641" max="5641" width="18" style="1" bestFit="1" customWidth="1"/>
    <col min="5642" max="5642" width="16" style="1" customWidth="1"/>
    <col min="5643" max="5643" width="11.5703125" style="1" bestFit="1" customWidth="1"/>
    <col min="5644" max="5645" width="11.7109375" style="1" bestFit="1" customWidth="1"/>
    <col min="5646" max="5649" width="12.85546875" style="1" bestFit="1" customWidth="1"/>
    <col min="5650" max="5888" width="11.42578125" style="1"/>
    <col min="5889" max="5889" width="3" style="1" bestFit="1" customWidth="1"/>
    <col min="5890" max="5890" width="29.42578125" style="1" bestFit="1" customWidth="1"/>
    <col min="5891" max="5891" width="27.28515625" style="1" bestFit="1" customWidth="1"/>
    <col min="5892" max="5892" width="7.5703125" style="1" customWidth="1"/>
    <col min="5893" max="5894" width="11.5703125" style="1" bestFit="1" customWidth="1"/>
    <col min="5895" max="5895" width="9.28515625" style="1" bestFit="1" customWidth="1"/>
    <col min="5896" max="5896" width="6.7109375" style="1" customWidth="1"/>
    <col min="5897" max="5897" width="18" style="1" bestFit="1" customWidth="1"/>
    <col min="5898" max="5898" width="16" style="1" customWidth="1"/>
    <col min="5899" max="5899" width="11.5703125" style="1" bestFit="1" customWidth="1"/>
    <col min="5900" max="5901" width="11.7109375" style="1" bestFit="1" customWidth="1"/>
    <col min="5902" max="5905" width="12.85546875" style="1" bestFit="1" customWidth="1"/>
    <col min="5906" max="6144" width="11.42578125" style="1"/>
    <col min="6145" max="6145" width="3" style="1" bestFit="1" customWidth="1"/>
    <col min="6146" max="6146" width="29.42578125" style="1" bestFit="1" customWidth="1"/>
    <col min="6147" max="6147" width="27.28515625" style="1" bestFit="1" customWidth="1"/>
    <col min="6148" max="6148" width="7.5703125" style="1" customWidth="1"/>
    <col min="6149" max="6150" width="11.5703125" style="1" bestFit="1" customWidth="1"/>
    <col min="6151" max="6151" width="9.28515625" style="1" bestFit="1" customWidth="1"/>
    <col min="6152" max="6152" width="6.7109375" style="1" customWidth="1"/>
    <col min="6153" max="6153" width="18" style="1" bestFit="1" customWidth="1"/>
    <col min="6154" max="6154" width="16" style="1" customWidth="1"/>
    <col min="6155" max="6155" width="11.5703125" style="1" bestFit="1" customWidth="1"/>
    <col min="6156" max="6157" width="11.7109375" style="1" bestFit="1" customWidth="1"/>
    <col min="6158" max="6161" width="12.85546875" style="1" bestFit="1" customWidth="1"/>
    <col min="6162" max="6400" width="11.42578125" style="1"/>
    <col min="6401" max="6401" width="3" style="1" bestFit="1" customWidth="1"/>
    <col min="6402" max="6402" width="29.42578125" style="1" bestFit="1" customWidth="1"/>
    <col min="6403" max="6403" width="27.28515625" style="1" bestFit="1" customWidth="1"/>
    <col min="6404" max="6404" width="7.5703125" style="1" customWidth="1"/>
    <col min="6405" max="6406" width="11.5703125" style="1" bestFit="1" customWidth="1"/>
    <col min="6407" max="6407" width="9.28515625" style="1" bestFit="1" customWidth="1"/>
    <col min="6408" max="6408" width="6.7109375" style="1" customWidth="1"/>
    <col min="6409" max="6409" width="18" style="1" bestFit="1" customWidth="1"/>
    <col min="6410" max="6410" width="16" style="1" customWidth="1"/>
    <col min="6411" max="6411" width="11.5703125" style="1" bestFit="1" customWidth="1"/>
    <col min="6412" max="6413" width="11.7109375" style="1" bestFit="1" customWidth="1"/>
    <col min="6414" max="6417" width="12.85546875" style="1" bestFit="1" customWidth="1"/>
    <col min="6418" max="6656" width="11.42578125" style="1"/>
    <col min="6657" max="6657" width="3" style="1" bestFit="1" customWidth="1"/>
    <col min="6658" max="6658" width="29.42578125" style="1" bestFit="1" customWidth="1"/>
    <col min="6659" max="6659" width="27.28515625" style="1" bestFit="1" customWidth="1"/>
    <col min="6660" max="6660" width="7.5703125" style="1" customWidth="1"/>
    <col min="6661" max="6662" width="11.5703125" style="1" bestFit="1" customWidth="1"/>
    <col min="6663" max="6663" width="9.28515625" style="1" bestFit="1" customWidth="1"/>
    <col min="6664" max="6664" width="6.7109375" style="1" customWidth="1"/>
    <col min="6665" max="6665" width="18" style="1" bestFit="1" customWidth="1"/>
    <col min="6666" max="6666" width="16" style="1" customWidth="1"/>
    <col min="6667" max="6667" width="11.5703125" style="1" bestFit="1" customWidth="1"/>
    <col min="6668" max="6669" width="11.7109375" style="1" bestFit="1" customWidth="1"/>
    <col min="6670" max="6673" width="12.85546875" style="1" bestFit="1" customWidth="1"/>
    <col min="6674" max="6912" width="11.42578125" style="1"/>
    <col min="6913" max="6913" width="3" style="1" bestFit="1" customWidth="1"/>
    <col min="6914" max="6914" width="29.42578125" style="1" bestFit="1" customWidth="1"/>
    <col min="6915" max="6915" width="27.28515625" style="1" bestFit="1" customWidth="1"/>
    <col min="6916" max="6916" width="7.5703125" style="1" customWidth="1"/>
    <col min="6917" max="6918" width="11.5703125" style="1" bestFit="1" customWidth="1"/>
    <col min="6919" max="6919" width="9.28515625" style="1" bestFit="1" customWidth="1"/>
    <col min="6920" max="6920" width="6.7109375" style="1" customWidth="1"/>
    <col min="6921" max="6921" width="18" style="1" bestFit="1" customWidth="1"/>
    <col min="6922" max="6922" width="16" style="1" customWidth="1"/>
    <col min="6923" max="6923" width="11.5703125" style="1" bestFit="1" customWidth="1"/>
    <col min="6924" max="6925" width="11.7109375" style="1" bestFit="1" customWidth="1"/>
    <col min="6926" max="6929" width="12.85546875" style="1" bestFit="1" customWidth="1"/>
    <col min="6930" max="7168" width="11.42578125" style="1"/>
    <col min="7169" max="7169" width="3" style="1" bestFit="1" customWidth="1"/>
    <col min="7170" max="7170" width="29.42578125" style="1" bestFit="1" customWidth="1"/>
    <col min="7171" max="7171" width="27.28515625" style="1" bestFit="1" customWidth="1"/>
    <col min="7172" max="7172" width="7.5703125" style="1" customWidth="1"/>
    <col min="7173" max="7174" width="11.5703125" style="1" bestFit="1" customWidth="1"/>
    <col min="7175" max="7175" width="9.28515625" style="1" bestFit="1" customWidth="1"/>
    <col min="7176" max="7176" width="6.7109375" style="1" customWidth="1"/>
    <col min="7177" max="7177" width="18" style="1" bestFit="1" customWidth="1"/>
    <col min="7178" max="7178" width="16" style="1" customWidth="1"/>
    <col min="7179" max="7179" width="11.5703125" style="1" bestFit="1" customWidth="1"/>
    <col min="7180" max="7181" width="11.7109375" style="1" bestFit="1" customWidth="1"/>
    <col min="7182" max="7185" width="12.85546875" style="1" bestFit="1" customWidth="1"/>
    <col min="7186" max="7424" width="11.42578125" style="1"/>
    <col min="7425" max="7425" width="3" style="1" bestFit="1" customWidth="1"/>
    <col min="7426" max="7426" width="29.42578125" style="1" bestFit="1" customWidth="1"/>
    <col min="7427" max="7427" width="27.28515625" style="1" bestFit="1" customWidth="1"/>
    <col min="7428" max="7428" width="7.5703125" style="1" customWidth="1"/>
    <col min="7429" max="7430" width="11.5703125" style="1" bestFit="1" customWidth="1"/>
    <col min="7431" max="7431" width="9.28515625" style="1" bestFit="1" customWidth="1"/>
    <col min="7432" max="7432" width="6.7109375" style="1" customWidth="1"/>
    <col min="7433" max="7433" width="18" style="1" bestFit="1" customWidth="1"/>
    <col min="7434" max="7434" width="16" style="1" customWidth="1"/>
    <col min="7435" max="7435" width="11.5703125" style="1" bestFit="1" customWidth="1"/>
    <col min="7436" max="7437" width="11.7109375" style="1" bestFit="1" customWidth="1"/>
    <col min="7438" max="7441" width="12.85546875" style="1" bestFit="1" customWidth="1"/>
    <col min="7442" max="7680" width="11.42578125" style="1"/>
    <col min="7681" max="7681" width="3" style="1" bestFit="1" customWidth="1"/>
    <col min="7682" max="7682" width="29.42578125" style="1" bestFit="1" customWidth="1"/>
    <col min="7683" max="7683" width="27.28515625" style="1" bestFit="1" customWidth="1"/>
    <col min="7684" max="7684" width="7.5703125" style="1" customWidth="1"/>
    <col min="7685" max="7686" width="11.5703125" style="1" bestFit="1" customWidth="1"/>
    <col min="7687" max="7687" width="9.28515625" style="1" bestFit="1" customWidth="1"/>
    <col min="7688" max="7688" width="6.7109375" style="1" customWidth="1"/>
    <col min="7689" max="7689" width="18" style="1" bestFit="1" customWidth="1"/>
    <col min="7690" max="7690" width="16" style="1" customWidth="1"/>
    <col min="7691" max="7691" width="11.5703125" style="1" bestFit="1" customWidth="1"/>
    <col min="7692" max="7693" width="11.7109375" style="1" bestFit="1" customWidth="1"/>
    <col min="7694" max="7697" width="12.85546875" style="1" bestFit="1" customWidth="1"/>
    <col min="7698" max="7936" width="11.42578125" style="1"/>
    <col min="7937" max="7937" width="3" style="1" bestFit="1" customWidth="1"/>
    <col min="7938" max="7938" width="29.42578125" style="1" bestFit="1" customWidth="1"/>
    <col min="7939" max="7939" width="27.28515625" style="1" bestFit="1" customWidth="1"/>
    <col min="7940" max="7940" width="7.5703125" style="1" customWidth="1"/>
    <col min="7941" max="7942" width="11.5703125" style="1" bestFit="1" customWidth="1"/>
    <col min="7943" max="7943" width="9.28515625" style="1" bestFit="1" customWidth="1"/>
    <col min="7944" max="7944" width="6.7109375" style="1" customWidth="1"/>
    <col min="7945" max="7945" width="18" style="1" bestFit="1" customWidth="1"/>
    <col min="7946" max="7946" width="16" style="1" customWidth="1"/>
    <col min="7947" max="7947" width="11.5703125" style="1" bestFit="1" customWidth="1"/>
    <col min="7948" max="7949" width="11.7109375" style="1" bestFit="1" customWidth="1"/>
    <col min="7950" max="7953" width="12.85546875" style="1" bestFit="1" customWidth="1"/>
    <col min="7954" max="8192" width="11.42578125" style="1"/>
    <col min="8193" max="8193" width="3" style="1" bestFit="1" customWidth="1"/>
    <col min="8194" max="8194" width="29.42578125" style="1" bestFit="1" customWidth="1"/>
    <col min="8195" max="8195" width="27.28515625" style="1" bestFit="1" customWidth="1"/>
    <col min="8196" max="8196" width="7.5703125" style="1" customWidth="1"/>
    <col min="8197" max="8198" width="11.5703125" style="1" bestFit="1" customWidth="1"/>
    <col min="8199" max="8199" width="9.28515625" style="1" bestFit="1" customWidth="1"/>
    <col min="8200" max="8200" width="6.7109375" style="1" customWidth="1"/>
    <col min="8201" max="8201" width="18" style="1" bestFit="1" customWidth="1"/>
    <col min="8202" max="8202" width="16" style="1" customWidth="1"/>
    <col min="8203" max="8203" width="11.5703125" style="1" bestFit="1" customWidth="1"/>
    <col min="8204" max="8205" width="11.7109375" style="1" bestFit="1" customWidth="1"/>
    <col min="8206" max="8209" width="12.85546875" style="1" bestFit="1" customWidth="1"/>
    <col min="8210" max="8448" width="11.42578125" style="1"/>
    <col min="8449" max="8449" width="3" style="1" bestFit="1" customWidth="1"/>
    <col min="8450" max="8450" width="29.42578125" style="1" bestFit="1" customWidth="1"/>
    <col min="8451" max="8451" width="27.28515625" style="1" bestFit="1" customWidth="1"/>
    <col min="8452" max="8452" width="7.5703125" style="1" customWidth="1"/>
    <col min="8453" max="8454" width="11.5703125" style="1" bestFit="1" customWidth="1"/>
    <col min="8455" max="8455" width="9.28515625" style="1" bestFit="1" customWidth="1"/>
    <col min="8456" max="8456" width="6.7109375" style="1" customWidth="1"/>
    <col min="8457" max="8457" width="18" style="1" bestFit="1" customWidth="1"/>
    <col min="8458" max="8458" width="16" style="1" customWidth="1"/>
    <col min="8459" max="8459" width="11.5703125" style="1" bestFit="1" customWidth="1"/>
    <col min="8460" max="8461" width="11.7109375" style="1" bestFit="1" customWidth="1"/>
    <col min="8462" max="8465" width="12.85546875" style="1" bestFit="1" customWidth="1"/>
    <col min="8466" max="8704" width="11.42578125" style="1"/>
    <col min="8705" max="8705" width="3" style="1" bestFit="1" customWidth="1"/>
    <col min="8706" max="8706" width="29.42578125" style="1" bestFit="1" customWidth="1"/>
    <col min="8707" max="8707" width="27.28515625" style="1" bestFit="1" customWidth="1"/>
    <col min="8708" max="8708" width="7.5703125" style="1" customWidth="1"/>
    <col min="8709" max="8710" width="11.5703125" style="1" bestFit="1" customWidth="1"/>
    <col min="8711" max="8711" width="9.28515625" style="1" bestFit="1" customWidth="1"/>
    <col min="8712" max="8712" width="6.7109375" style="1" customWidth="1"/>
    <col min="8713" max="8713" width="18" style="1" bestFit="1" customWidth="1"/>
    <col min="8714" max="8714" width="16" style="1" customWidth="1"/>
    <col min="8715" max="8715" width="11.5703125" style="1" bestFit="1" customWidth="1"/>
    <col min="8716" max="8717" width="11.7109375" style="1" bestFit="1" customWidth="1"/>
    <col min="8718" max="8721" width="12.85546875" style="1" bestFit="1" customWidth="1"/>
    <col min="8722" max="8960" width="11.42578125" style="1"/>
    <col min="8961" max="8961" width="3" style="1" bestFit="1" customWidth="1"/>
    <col min="8962" max="8962" width="29.42578125" style="1" bestFit="1" customWidth="1"/>
    <col min="8963" max="8963" width="27.28515625" style="1" bestFit="1" customWidth="1"/>
    <col min="8964" max="8964" width="7.5703125" style="1" customWidth="1"/>
    <col min="8965" max="8966" width="11.5703125" style="1" bestFit="1" customWidth="1"/>
    <col min="8967" max="8967" width="9.28515625" style="1" bestFit="1" customWidth="1"/>
    <col min="8968" max="8968" width="6.7109375" style="1" customWidth="1"/>
    <col min="8969" max="8969" width="18" style="1" bestFit="1" customWidth="1"/>
    <col min="8970" max="8970" width="16" style="1" customWidth="1"/>
    <col min="8971" max="8971" width="11.5703125" style="1" bestFit="1" customWidth="1"/>
    <col min="8972" max="8973" width="11.7109375" style="1" bestFit="1" customWidth="1"/>
    <col min="8974" max="8977" width="12.85546875" style="1" bestFit="1" customWidth="1"/>
    <col min="8978" max="9216" width="11.42578125" style="1"/>
    <col min="9217" max="9217" width="3" style="1" bestFit="1" customWidth="1"/>
    <col min="9218" max="9218" width="29.42578125" style="1" bestFit="1" customWidth="1"/>
    <col min="9219" max="9219" width="27.28515625" style="1" bestFit="1" customWidth="1"/>
    <col min="9220" max="9220" width="7.5703125" style="1" customWidth="1"/>
    <col min="9221" max="9222" width="11.5703125" style="1" bestFit="1" customWidth="1"/>
    <col min="9223" max="9223" width="9.28515625" style="1" bestFit="1" customWidth="1"/>
    <col min="9224" max="9224" width="6.7109375" style="1" customWidth="1"/>
    <col min="9225" max="9225" width="18" style="1" bestFit="1" customWidth="1"/>
    <col min="9226" max="9226" width="16" style="1" customWidth="1"/>
    <col min="9227" max="9227" width="11.5703125" style="1" bestFit="1" customWidth="1"/>
    <col min="9228" max="9229" width="11.7109375" style="1" bestFit="1" customWidth="1"/>
    <col min="9230" max="9233" width="12.85546875" style="1" bestFit="1" customWidth="1"/>
    <col min="9234" max="9472" width="11.42578125" style="1"/>
    <col min="9473" max="9473" width="3" style="1" bestFit="1" customWidth="1"/>
    <col min="9474" max="9474" width="29.42578125" style="1" bestFit="1" customWidth="1"/>
    <col min="9475" max="9475" width="27.28515625" style="1" bestFit="1" customWidth="1"/>
    <col min="9476" max="9476" width="7.5703125" style="1" customWidth="1"/>
    <col min="9477" max="9478" width="11.5703125" style="1" bestFit="1" customWidth="1"/>
    <col min="9479" max="9479" width="9.28515625" style="1" bestFit="1" customWidth="1"/>
    <col min="9480" max="9480" width="6.7109375" style="1" customWidth="1"/>
    <col min="9481" max="9481" width="18" style="1" bestFit="1" customWidth="1"/>
    <col min="9482" max="9482" width="16" style="1" customWidth="1"/>
    <col min="9483" max="9483" width="11.5703125" style="1" bestFit="1" customWidth="1"/>
    <col min="9484" max="9485" width="11.7109375" style="1" bestFit="1" customWidth="1"/>
    <col min="9486" max="9489" width="12.85546875" style="1" bestFit="1" customWidth="1"/>
    <col min="9490" max="9728" width="11.42578125" style="1"/>
    <col min="9729" max="9729" width="3" style="1" bestFit="1" customWidth="1"/>
    <col min="9730" max="9730" width="29.42578125" style="1" bestFit="1" customWidth="1"/>
    <col min="9731" max="9731" width="27.28515625" style="1" bestFit="1" customWidth="1"/>
    <col min="9732" max="9732" width="7.5703125" style="1" customWidth="1"/>
    <col min="9733" max="9734" width="11.5703125" style="1" bestFit="1" customWidth="1"/>
    <col min="9735" max="9735" width="9.28515625" style="1" bestFit="1" customWidth="1"/>
    <col min="9736" max="9736" width="6.7109375" style="1" customWidth="1"/>
    <col min="9737" max="9737" width="18" style="1" bestFit="1" customWidth="1"/>
    <col min="9738" max="9738" width="16" style="1" customWidth="1"/>
    <col min="9739" max="9739" width="11.5703125" style="1" bestFit="1" customWidth="1"/>
    <col min="9740" max="9741" width="11.7109375" style="1" bestFit="1" customWidth="1"/>
    <col min="9742" max="9745" width="12.85546875" style="1" bestFit="1" customWidth="1"/>
    <col min="9746" max="9984" width="11.42578125" style="1"/>
    <col min="9985" max="9985" width="3" style="1" bestFit="1" customWidth="1"/>
    <col min="9986" max="9986" width="29.42578125" style="1" bestFit="1" customWidth="1"/>
    <col min="9987" max="9987" width="27.28515625" style="1" bestFit="1" customWidth="1"/>
    <col min="9988" max="9988" width="7.5703125" style="1" customWidth="1"/>
    <col min="9989" max="9990" width="11.5703125" style="1" bestFit="1" customWidth="1"/>
    <col min="9991" max="9991" width="9.28515625" style="1" bestFit="1" customWidth="1"/>
    <col min="9992" max="9992" width="6.7109375" style="1" customWidth="1"/>
    <col min="9993" max="9993" width="18" style="1" bestFit="1" customWidth="1"/>
    <col min="9994" max="9994" width="16" style="1" customWidth="1"/>
    <col min="9995" max="9995" width="11.5703125" style="1" bestFit="1" customWidth="1"/>
    <col min="9996" max="9997" width="11.7109375" style="1" bestFit="1" customWidth="1"/>
    <col min="9998" max="10001" width="12.85546875" style="1" bestFit="1" customWidth="1"/>
    <col min="10002" max="10240" width="11.42578125" style="1"/>
    <col min="10241" max="10241" width="3" style="1" bestFit="1" customWidth="1"/>
    <col min="10242" max="10242" width="29.42578125" style="1" bestFit="1" customWidth="1"/>
    <col min="10243" max="10243" width="27.28515625" style="1" bestFit="1" customWidth="1"/>
    <col min="10244" max="10244" width="7.5703125" style="1" customWidth="1"/>
    <col min="10245" max="10246" width="11.5703125" style="1" bestFit="1" customWidth="1"/>
    <col min="10247" max="10247" width="9.28515625" style="1" bestFit="1" customWidth="1"/>
    <col min="10248" max="10248" width="6.7109375" style="1" customWidth="1"/>
    <col min="10249" max="10249" width="18" style="1" bestFit="1" customWidth="1"/>
    <col min="10250" max="10250" width="16" style="1" customWidth="1"/>
    <col min="10251" max="10251" width="11.5703125" style="1" bestFit="1" customWidth="1"/>
    <col min="10252" max="10253" width="11.7109375" style="1" bestFit="1" customWidth="1"/>
    <col min="10254" max="10257" width="12.85546875" style="1" bestFit="1" customWidth="1"/>
    <col min="10258" max="10496" width="11.42578125" style="1"/>
    <col min="10497" max="10497" width="3" style="1" bestFit="1" customWidth="1"/>
    <col min="10498" max="10498" width="29.42578125" style="1" bestFit="1" customWidth="1"/>
    <col min="10499" max="10499" width="27.28515625" style="1" bestFit="1" customWidth="1"/>
    <col min="10500" max="10500" width="7.5703125" style="1" customWidth="1"/>
    <col min="10501" max="10502" width="11.5703125" style="1" bestFit="1" customWidth="1"/>
    <col min="10503" max="10503" width="9.28515625" style="1" bestFit="1" customWidth="1"/>
    <col min="10504" max="10504" width="6.7109375" style="1" customWidth="1"/>
    <col min="10505" max="10505" width="18" style="1" bestFit="1" customWidth="1"/>
    <col min="10506" max="10506" width="16" style="1" customWidth="1"/>
    <col min="10507" max="10507" width="11.5703125" style="1" bestFit="1" customWidth="1"/>
    <col min="10508" max="10509" width="11.7109375" style="1" bestFit="1" customWidth="1"/>
    <col min="10510" max="10513" width="12.85546875" style="1" bestFit="1" customWidth="1"/>
    <col min="10514" max="10752" width="11.42578125" style="1"/>
    <col min="10753" max="10753" width="3" style="1" bestFit="1" customWidth="1"/>
    <col min="10754" max="10754" width="29.42578125" style="1" bestFit="1" customWidth="1"/>
    <col min="10755" max="10755" width="27.28515625" style="1" bestFit="1" customWidth="1"/>
    <col min="10756" max="10756" width="7.5703125" style="1" customWidth="1"/>
    <col min="10757" max="10758" width="11.5703125" style="1" bestFit="1" customWidth="1"/>
    <col min="10759" max="10759" width="9.28515625" style="1" bestFit="1" customWidth="1"/>
    <col min="10760" max="10760" width="6.7109375" style="1" customWidth="1"/>
    <col min="10761" max="10761" width="18" style="1" bestFit="1" customWidth="1"/>
    <col min="10762" max="10762" width="16" style="1" customWidth="1"/>
    <col min="10763" max="10763" width="11.5703125" style="1" bestFit="1" customWidth="1"/>
    <col min="10764" max="10765" width="11.7109375" style="1" bestFit="1" customWidth="1"/>
    <col min="10766" max="10769" width="12.85546875" style="1" bestFit="1" customWidth="1"/>
    <col min="10770" max="11008" width="11.42578125" style="1"/>
    <col min="11009" max="11009" width="3" style="1" bestFit="1" customWidth="1"/>
    <col min="11010" max="11010" width="29.42578125" style="1" bestFit="1" customWidth="1"/>
    <col min="11011" max="11011" width="27.28515625" style="1" bestFit="1" customWidth="1"/>
    <col min="11012" max="11012" width="7.5703125" style="1" customWidth="1"/>
    <col min="11013" max="11014" width="11.5703125" style="1" bestFit="1" customWidth="1"/>
    <col min="11015" max="11015" width="9.28515625" style="1" bestFit="1" customWidth="1"/>
    <col min="11016" max="11016" width="6.7109375" style="1" customWidth="1"/>
    <col min="11017" max="11017" width="18" style="1" bestFit="1" customWidth="1"/>
    <col min="11018" max="11018" width="16" style="1" customWidth="1"/>
    <col min="11019" max="11019" width="11.5703125" style="1" bestFit="1" customWidth="1"/>
    <col min="11020" max="11021" width="11.7109375" style="1" bestFit="1" customWidth="1"/>
    <col min="11022" max="11025" width="12.85546875" style="1" bestFit="1" customWidth="1"/>
    <col min="11026" max="11264" width="11.42578125" style="1"/>
    <col min="11265" max="11265" width="3" style="1" bestFit="1" customWidth="1"/>
    <col min="11266" max="11266" width="29.42578125" style="1" bestFit="1" customWidth="1"/>
    <col min="11267" max="11267" width="27.28515625" style="1" bestFit="1" customWidth="1"/>
    <col min="11268" max="11268" width="7.5703125" style="1" customWidth="1"/>
    <col min="11269" max="11270" width="11.5703125" style="1" bestFit="1" customWidth="1"/>
    <col min="11271" max="11271" width="9.28515625" style="1" bestFit="1" customWidth="1"/>
    <col min="11272" max="11272" width="6.7109375" style="1" customWidth="1"/>
    <col min="11273" max="11273" width="18" style="1" bestFit="1" customWidth="1"/>
    <col min="11274" max="11274" width="16" style="1" customWidth="1"/>
    <col min="11275" max="11275" width="11.5703125" style="1" bestFit="1" customWidth="1"/>
    <col min="11276" max="11277" width="11.7109375" style="1" bestFit="1" customWidth="1"/>
    <col min="11278" max="11281" width="12.85546875" style="1" bestFit="1" customWidth="1"/>
    <col min="11282" max="11520" width="11.42578125" style="1"/>
    <col min="11521" max="11521" width="3" style="1" bestFit="1" customWidth="1"/>
    <col min="11522" max="11522" width="29.42578125" style="1" bestFit="1" customWidth="1"/>
    <col min="11523" max="11523" width="27.28515625" style="1" bestFit="1" customWidth="1"/>
    <col min="11524" max="11524" width="7.5703125" style="1" customWidth="1"/>
    <col min="11525" max="11526" width="11.5703125" style="1" bestFit="1" customWidth="1"/>
    <col min="11527" max="11527" width="9.28515625" style="1" bestFit="1" customWidth="1"/>
    <col min="11528" max="11528" width="6.7109375" style="1" customWidth="1"/>
    <col min="11529" max="11529" width="18" style="1" bestFit="1" customWidth="1"/>
    <col min="11530" max="11530" width="16" style="1" customWidth="1"/>
    <col min="11531" max="11531" width="11.5703125" style="1" bestFit="1" customWidth="1"/>
    <col min="11532" max="11533" width="11.7109375" style="1" bestFit="1" customWidth="1"/>
    <col min="11534" max="11537" width="12.85546875" style="1" bestFit="1" customWidth="1"/>
    <col min="11538" max="11776" width="11.42578125" style="1"/>
    <col min="11777" max="11777" width="3" style="1" bestFit="1" customWidth="1"/>
    <col min="11778" max="11778" width="29.42578125" style="1" bestFit="1" customWidth="1"/>
    <col min="11779" max="11779" width="27.28515625" style="1" bestFit="1" customWidth="1"/>
    <col min="11780" max="11780" width="7.5703125" style="1" customWidth="1"/>
    <col min="11781" max="11782" width="11.5703125" style="1" bestFit="1" customWidth="1"/>
    <col min="11783" max="11783" width="9.28515625" style="1" bestFit="1" customWidth="1"/>
    <col min="11784" max="11784" width="6.7109375" style="1" customWidth="1"/>
    <col min="11785" max="11785" width="18" style="1" bestFit="1" customWidth="1"/>
    <col min="11786" max="11786" width="16" style="1" customWidth="1"/>
    <col min="11787" max="11787" width="11.5703125" style="1" bestFit="1" customWidth="1"/>
    <col min="11788" max="11789" width="11.7109375" style="1" bestFit="1" customWidth="1"/>
    <col min="11790" max="11793" width="12.85546875" style="1" bestFit="1" customWidth="1"/>
    <col min="11794" max="12032" width="11.42578125" style="1"/>
    <col min="12033" max="12033" width="3" style="1" bestFit="1" customWidth="1"/>
    <col min="12034" max="12034" width="29.42578125" style="1" bestFit="1" customWidth="1"/>
    <col min="12035" max="12035" width="27.28515625" style="1" bestFit="1" customWidth="1"/>
    <col min="12036" max="12036" width="7.5703125" style="1" customWidth="1"/>
    <col min="12037" max="12038" width="11.5703125" style="1" bestFit="1" customWidth="1"/>
    <col min="12039" max="12039" width="9.28515625" style="1" bestFit="1" customWidth="1"/>
    <col min="12040" max="12040" width="6.7109375" style="1" customWidth="1"/>
    <col min="12041" max="12041" width="18" style="1" bestFit="1" customWidth="1"/>
    <col min="12042" max="12042" width="16" style="1" customWidth="1"/>
    <col min="12043" max="12043" width="11.5703125" style="1" bestFit="1" customWidth="1"/>
    <col min="12044" max="12045" width="11.7109375" style="1" bestFit="1" customWidth="1"/>
    <col min="12046" max="12049" width="12.85546875" style="1" bestFit="1" customWidth="1"/>
    <col min="12050" max="12288" width="11.42578125" style="1"/>
    <col min="12289" max="12289" width="3" style="1" bestFit="1" customWidth="1"/>
    <col min="12290" max="12290" width="29.42578125" style="1" bestFit="1" customWidth="1"/>
    <col min="12291" max="12291" width="27.28515625" style="1" bestFit="1" customWidth="1"/>
    <col min="12292" max="12292" width="7.5703125" style="1" customWidth="1"/>
    <col min="12293" max="12294" width="11.5703125" style="1" bestFit="1" customWidth="1"/>
    <col min="12295" max="12295" width="9.28515625" style="1" bestFit="1" customWidth="1"/>
    <col min="12296" max="12296" width="6.7109375" style="1" customWidth="1"/>
    <col min="12297" max="12297" width="18" style="1" bestFit="1" customWidth="1"/>
    <col min="12298" max="12298" width="16" style="1" customWidth="1"/>
    <col min="12299" max="12299" width="11.5703125" style="1" bestFit="1" customWidth="1"/>
    <col min="12300" max="12301" width="11.7109375" style="1" bestFit="1" customWidth="1"/>
    <col min="12302" max="12305" width="12.85546875" style="1" bestFit="1" customWidth="1"/>
    <col min="12306" max="12544" width="11.42578125" style="1"/>
    <col min="12545" max="12545" width="3" style="1" bestFit="1" customWidth="1"/>
    <col min="12546" max="12546" width="29.42578125" style="1" bestFit="1" customWidth="1"/>
    <col min="12547" max="12547" width="27.28515625" style="1" bestFit="1" customWidth="1"/>
    <col min="12548" max="12548" width="7.5703125" style="1" customWidth="1"/>
    <col min="12549" max="12550" width="11.5703125" style="1" bestFit="1" customWidth="1"/>
    <col min="12551" max="12551" width="9.28515625" style="1" bestFit="1" customWidth="1"/>
    <col min="12552" max="12552" width="6.7109375" style="1" customWidth="1"/>
    <col min="12553" max="12553" width="18" style="1" bestFit="1" customWidth="1"/>
    <col min="12554" max="12554" width="16" style="1" customWidth="1"/>
    <col min="12555" max="12555" width="11.5703125" style="1" bestFit="1" customWidth="1"/>
    <col min="12556" max="12557" width="11.7109375" style="1" bestFit="1" customWidth="1"/>
    <col min="12558" max="12561" width="12.85546875" style="1" bestFit="1" customWidth="1"/>
    <col min="12562" max="12800" width="11.42578125" style="1"/>
    <col min="12801" max="12801" width="3" style="1" bestFit="1" customWidth="1"/>
    <col min="12802" max="12802" width="29.42578125" style="1" bestFit="1" customWidth="1"/>
    <col min="12803" max="12803" width="27.28515625" style="1" bestFit="1" customWidth="1"/>
    <col min="12804" max="12804" width="7.5703125" style="1" customWidth="1"/>
    <col min="12805" max="12806" width="11.5703125" style="1" bestFit="1" customWidth="1"/>
    <col min="12807" max="12807" width="9.28515625" style="1" bestFit="1" customWidth="1"/>
    <col min="12808" max="12808" width="6.7109375" style="1" customWidth="1"/>
    <col min="12809" max="12809" width="18" style="1" bestFit="1" customWidth="1"/>
    <col min="12810" max="12810" width="16" style="1" customWidth="1"/>
    <col min="12811" max="12811" width="11.5703125" style="1" bestFit="1" customWidth="1"/>
    <col min="12812" max="12813" width="11.7109375" style="1" bestFit="1" customWidth="1"/>
    <col min="12814" max="12817" width="12.85546875" style="1" bestFit="1" customWidth="1"/>
    <col min="12818" max="13056" width="11.42578125" style="1"/>
    <col min="13057" max="13057" width="3" style="1" bestFit="1" customWidth="1"/>
    <col min="13058" max="13058" width="29.42578125" style="1" bestFit="1" customWidth="1"/>
    <col min="13059" max="13059" width="27.28515625" style="1" bestFit="1" customWidth="1"/>
    <col min="13060" max="13060" width="7.5703125" style="1" customWidth="1"/>
    <col min="13061" max="13062" width="11.5703125" style="1" bestFit="1" customWidth="1"/>
    <col min="13063" max="13063" width="9.28515625" style="1" bestFit="1" customWidth="1"/>
    <col min="13064" max="13064" width="6.7109375" style="1" customWidth="1"/>
    <col min="13065" max="13065" width="18" style="1" bestFit="1" customWidth="1"/>
    <col min="13066" max="13066" width="16" style="1" customWidth="1"/>
    <col min="13067" max="13067" width="11.5703125" style="1" bestFit="1" customWidth="1"/>
    <col min="13068" max="13069" width="11.7109375" style="1" bestFit="1" customWidth="1"/>
    <col min="13070" max="13073" width="12.85546875" style="1" bestFit="1" customWidth="1"/>
    <col min="13074" max="13312" width="11.42578125" style="1"/>
    <col min="13313" max="13313" width="3" style="1" bestFit="1" customWidth="1"/>
    <col min="13314" max="13314" width="29.42578125" style="1" bestFit="1" customWidth="1"/>
    <col min="13315" max="13315" width="27.28515625" style="1" bestFit="1" customWidth="1"/>
    <col min="13316" max="13316" width="7.5703125" style="1" customWidth="1"/>
    <col min="13317" max="13318" width="11.5703125" style="1" bestFit="1" customWidth="1"/>
    <col min="13319" max="13319" width="9.28515625" style="1" bestFit="1" customWidth="1"/>
    <col min="13320" max="13320" width="6.7109375" style="1" customWidth="1"/>
    <col min="13321" max="13321" width="18" style="1" bestFit="1" customWidth="1"/>
    <col min="13322" max="13322" width="16" style="1" customWidth="1"/>
    <col min="13323" max="13323" width="11.5703125" style="1" bestFit="1" customWidth="1"/>
    <col min="13324" max="13325" width="11.7109375" style="1" bestFit="1" customWidth="1"/>
    <col min="13326" max="13329" width="12.85546875" style="1" bestFit="1" customWidth="1"/>
    <col min="13330" max="13568" width="11.42578125" style="1"/>
    <col min="13569" max="13569" width="3" style="1" bestFit="1" customWidth="1"/>
    <col min="13570" max="13570" width="29.42578125" style="1" bestFit="1" customWidth="1"/>
    <col min="13571" max="13571" width="27.28515625" style="1" bestFit="1" customWidth="1"/>
    <col min="13572" max="13572" width="7.5703125" style="1" customWidth="1"/>
    <col min="13573" max="13574" width="11.5703125" style="1" bestFit="1" customWidth="1"/>
    <col min="13575" max="13575" width="9.28515625" style="1" bestFit="1" customWidth="1"/>
    <col min="13576" max="13576" width="6.7109375" style="1" customWidth="1"/>
    <col min="13577" max="13577" width="18" style="1" bestFit="1" customWidth="1"/>
    <col min="13578" max="13578" width="16" style="1" customWidth="1"/>
    <col min="13579" max="13579" width="11.5703125" style="1" bestFit="1" customWidth="1"/>
    <col min="13580" max="13581" width="11.7109375" style="1" bestFit="1" customWidth="1"/>
    <col min="13582" max="13585" width="12.85546875" style="1" bestFit="1" customWidth="1"/>
    <col min="13586" max="13824" width="11.42578125" style="1"/>
    <col min="13825" max="13825" width="3" style="1" bestFit="1" customWidth="1"/>
    <col min="13826" max="13826" width="29.42578125" style="1" bestFit="1" customWidth="1"/>
    <col min="13827" max="13827" width="27.28515625" style="1" bestFit="1" customWidth="1"/>
    <col min="13828" max="13828" width="7.5703125" style="1" customWidth="1"/>
    <col min="13829" max="13830" width="11.5703125" style="1" bestFit="1" customWidth="1"/>
    <col min="13831" max="13831" width="9.28515625" style="1" bestFit="1" customWidth="1"/>
    <col min="13832" max="13832" width="6.7109375" style="1" customWidth="1"/>
    <col min="13833" max="13833" width="18" style="1" bestFit="1" customWidth="1"/>
    <col min="13834" max="13834" width="16" style="1" customWidth="1"/>
    <col min="13835" max="13835" width="11.5703125" style="1" bestFit="1" customWidth="1"/>
    <col min="13836" max="13837" width="11.7109375" style="1" bestFit="1" customWidth="1"/>
    <col min="13838" max="13841" width="12.85546875" style="1" bestFit="1" customWidth="1"/>
    <col min="13842" max="14080" width="11.42578125" style="1"/>
    <col min="14081" max="14081" width="3" style="1" bestFit="1" customWidth="1"/>
    <col min="14082" max="14082" width="29.42578125" style="1" bestFit="1" customWidth="1"/>
    <col min="14083" max="14083" width="27.28515625" style="1" bestFit="1" customWidth="1"/>
    <col min="14084" max="14084" width="7.5703125" style="1" customWidth="1"/>
    <col min="14085" max="14086" width="11.5703125" style="1" bestFit="1" customWidth="1"/>
    <col min="14087" max="14087" width="9.28515625" style="1" bestFit="1" customWidth="1"/>
    <col min="14088" max="14088" width="6.7109375" style="1" customWidth="1"/>
    <col min="14089" max="14089" width="18" style="1" bestFit="1" customWidth="1"/>
    <col min="14090" max="14090" width="16" style="1" customWidth="1"/>
    <col min="14091" max="14091" width="11.5703125" style="1" bestFit="1" customWidth="1"/>
    <col min="14092" max="14093" width="11.7109375" style="1" bestFit="1" customWidth="1"/>
    <col min="14094" max="14097" width="12.85546875" style="1" bestFit="1" customWidth="1"/>
    <col min="14098" max="14336" width="11.42578125" style="1"/>
    <col min="14337" max="14337" width="3" style="1" bestFit="1" customWidth="1"/>
    <col min="14338" max="14338" width="29.42578125" style="1" bestFit="1" customWidth="1"/>
    <col min="14339" max="14339" width="27.28515625" style="1" bestFit="1" customWidth="1"/>
    <col min="14340" max="14340" width="7.5703125" style="1" customWidth="1"/>
    <col min="14341" max="14342" width="11.5703125" style="1" bestFit="1" customWidth="1"/>
    <col min="14343" max="14343" width="9.28515625" style="1" bestFit="1" customWidth="1"/>
    <col min="14344" max="14344" width="6.7109375" style="1" customWidth="1"/>
    <col min="14345" max="14345" width="18" style="1" bestFit="1" customWidth="1"/>
    <col min="14346" max="14346" width="16" style="1" customWidth="1"/>
    <col min="14347" max="14347" width="11.5703125" style="1" bestFit="1" customWidth="1"/>
    <col min="14348" max="14349" width="11.7109375" style="1" bestFit="1" customWidth="1"/>
    <col min="14350" max="14353" width="12.85546875" style="1" bestFit="1" customWidth="1"/>
    <col min="14354" max="14592" width="11.42578125" style="1"/>
    <col min="14593" max="14593" width="3" style="1" bestFit="1" customWidth="1"/>
    <col min="14594" max="14594" width="29.42578125" style="1" bestFit="1" customWidth="1"/>
    <col min="14595" max="14595" width="27.28515625" style="1" bestFit="1" customWidth="1"/>
    <col min="14596" max="14596" width="7.5703125" style="1" customWidth="1"/>
    <col min="14597" max="14598" width="11.5703125" style="1" bestFit="1" customWidth="1"/>
    <col min="14599" max="14599" width="9.28515625" style="1" bestFit="1" customWidth="1"/>
    <col min="14600" max="14600" width="6.7109375" style="1" customWidth="1"/>
    <col min="14601" max="14601" width="18" style="1" bestFit="1" customWidth="1"/>
    <col min="14602" max="14602" width="16" style="1" customWidth="1"/>
    <col min="14603" max="14603" width="11.5703125" style="1" bestFit="1" customWidth="1"/>
    <col min="14604" max="14605" width="11.7109375" style="1" bestFit="1" customWidth="1"/>
    <col min="14606" max="14609" width="12.85546875" style="1" bestFit="1" customWidth="1"/>
    <col min="14610" max="14848" width="11.42578125" style="1"/>
    <col min="14849" max="14849" width="3" style="1" bestFit="1" customWidth="1"/>
    <col min="14850" max="14850" width="29.42578125" style="1" bestFit="1" customWidth="1"/>
    <col min="14851" max="14851" width="27.28515625" style="1" bestFit="1" customWidth="1"/>
    <col min="14852" max="14852" width="7.5703125" style="1" customWidth="1"/>
    <col min="14853" max="14854" width="11.5703125" style="1" bestFit="1" customWidth="1"/>
    <col min="14855" max="14855" width="9.28515625" style="1" bestFit="1" customWidth="1"/>
    <col min="14856" max="14856" width="6.7109375" style="1" customWidth="1"/>
    <col min="14857" max="14857" width="18" style="1" bestFit="1" customWidth="1"/>
    <col min="14858" max="14858" width="16" style="1" customWidth="1"/>
    <col min="14859" max="14859" width="11.5703125" style="1" bestFit="1" customWidth="1"/>
    <col min="14860" max="14861" width="11.7109375" style="1" bestFit="1" customWidth="1"/>
    <col min="14862" max="14865" width="12.85546875" style="1" bestFit="1" customWidth="1"/>
    <col min="14866" max="15104" width="11.42578125" style="1"/>
    <col min="15105" max="15105" width="3" style="1" bestFit="1" customWidth="1"/>
    <col min="15106" max="15106" width="29.42578125" style="1" bestFit="1" customWidth="1"/>
    <col min="15107" max="15107" width="27.28515625" style="1" bestFit="1" customWidth="1"/>
    <col min="15108" max="15108" width="7.5703125" style="1" customWidth="1"/>
    <col min="15109" max="15110" width="11.5703125" style="1" bestFit="1" customWidth="1"/>
    <col min="15111" max="15111" width="9.28515625" style="1" bestFit="1" customWidth="1"/>
    <col min="15112" max="15112" width="6.7109375" style="1" customWidth="1"/>
    <col min="15113" max="15113" width="18" style="1" bestFit="1" customWidth="1"/>
    <col min="15114" max="15114" width="16" style="1" customWidth="1"/>
    <col min="15115" max="15115" width="11.5703125" style="1" bestFit="1" customWidth="1"/>
    <col min="15116" max="15117" width="11.7109375" style="1" bestFit="1" customWidth="1"/>
    <col min="15118" max="15121" width="12.85546875" style="1" bestFit="1" customWidth="1"/>
    <col min="15122" max="15360" width="11.42578125" style="1"/>
    <col min="15361" max="15361" width="3" style="1" bestFit="1" customWidth="1"/>
    <col min="15362" max="15362" width="29.42578125" style="1" bestFit="1" customWidth="1"/>
    <col min="15363" max="15363" width="27.28515625" style="1" bestFit="1" customWidth="1"/>
    <col min="15364" max="15364" width="7.5703125" style="1" customWidth="1"/>
    <col min="15365" max="15366" width="11.5703125" style="1" bestFit="1" customWidth="1"/>
    <col min="15367" max="15367" width="9.28515625" style="1" bestFit="1" customWidth="1"/>
    <col min="15368" max="15368" width="6.7109375" style="1" customWidth="1"/>
    <col min="15369" max="15369" width="18" style="1" bestFit="1" customWidth="1"/>
    <col min="15370" max="15370" width="16" style="1" customWidth="1"/>
    <col min="15371" max="15371" width="11.5703125" style="1" bestFit="1" customWidth="1"/>
    <col min="15372" max="15373" width="11.7109375" style="1" bestFit="1" customWidth="1"/>
    <col min="15374" max="15377" width="12.85546875" style="1" bestFit="1" customWidth="1"/>
    <col min="15378" max="15616" width="11.42578125" style="1"/>
    <col min="15617" max="15617" width="3" style="1" bestFit="1" customWidth="1"/>
    <col min="15618" max="15618" width="29.42578125" style="1" bestFit="1" customWidth="1"/>
    <col min="15619" max="15619" width="27.28515625" style="1" bestFit="1" customWidth="1"/>
    <col min="15620" max="15620" width="7.5703125" style="1" customWidth="1"/>
    <col min="15621" max="15622" width="11.5703125" style="1" bestFit="1" customWidth="1"/>
    <col min="15623" max="15623" width="9.28515625" style="1" bestFit="1" customWidth="1"/>
    <col min="15624" max="15624" width="6.7109375" style="1" customWidth="1"/>
    <col min="15625" max="15625" width="18" style="1" bestFit="1" customWidth="1"/>
    <col min="15626" max="15626" width="16" style="1" customWidth="1"/>
    <col min="15627" max="15627" width="11.5703125" style="1" bestFit="1" customWidth="1"/>
    <col min="15628" max="15629" width="11.7109375" style="1" bestFit="1" customWidth="1"/>
    <col min="15630" max="15633" width="12.85546875" style="1" bestFit="1" customWidth="1"/>
    <col min="15634" max="15872" width="11.42578125" style="1"/>
    <col min="15873" max="15873" width="3" style="1" bestFit="1" customWidth="1"/>
    <col min="15874" max="15874" width="29.42578125" style="1" bestFit="1" customWidth="1"/>
    <col min="15875" max="15875" width="27.28515625" style="1" bestFit="1" customWidth="1"/>
    <col min="15876" max="15876" width="7.5703125" style="1" customWidth="1"/>
    <col min="15877" max="15878" width="11.5703125" style="1" bestFit="1" customWidth="1"/>
    <col min="15879" max="15879" width="9.28515625" style="1" bestFit="1" customWidth="1"/>
    <col min="15880" max="15880" width="6.7109375" style="1" customWidth="1"/>
    <col min="15881" max="15881" width="18" style="1" bestFit="1" customWidth="1"/>
    <col min="15882" max="15882" width="16" style="1" customWidth="1"/>
    <col min="15883" max="15883" width="11.5703125" style="1" bestFit="1" customWidth="1"/>
    <col min="15884" max="15885" width="11.7109375" style="1" bestFit="1" customWidth="1"/>
    <col min="15886" max="15889" width="12.85546875" style="1" bestFit="1" customWidth="1"/>
    <col min="15890" max="16128" width="11.42578125" style="1"/>
    <col min="16129" max="16129" width="3" style="1" bestFit="1" customWidth="1"/>
    <col min="16130" max="16130" width="29.42578125" style="1" bestFit="1" customWidth="1"/>
    <col min="16131" max="16131" width="27.28515625" style="1" bestFit="1" customWidth="1"/>
    <col min="16132" max="16132" width="7.5703125" style="1" customWidth="1"/>
    <col min="16133" max="16134" width="11.5703125" style="1" bestFit="1" customWidth="1"/>
    <col min="16135" max="16135" width="9.28515625" style="1" bestFit="1" customWidth="1"/>
    <col min="16136" max="16136" width="6.7109375" style="1" customWidth="1"/>
    <col min="16137" max="16137" width="18" style="1" bestFit="1" customWidth="1"/>
    <col min="16138" max="16138" width="16" style="1" customWidth="1"/>
    <col min="16139" max="16139" width="11.5703125" style="1" bestFit="1" customWidth="1"/>
    <col min="16140" max="16141" width="11.7109375" style="1" bestFit="1" customWidth="1"/>
    <col min="16142" max="16145" width="12.85546875" style="1" bestFit="1" customWidth="1"/>
    <col min="16146" max="16384" width="11.42578125" style="1"/>
  </cols>
  <sheetData>
    <row r="1" spans="1:16" ht="58.5" customHeight="1"/>
    <row r="2" spans="1:16" s="425" customFormat="1" ht="38.25">
      <c r="A2" s="420"/>
      <c r="B2" s="421" t="s">
        <v>215</v>
      </c>
      <c r="C2" s="421" t="s">
        <v>38</v>
      </c>
      <c r="D2" s="422" t="s">
        <v>216</v>
      </c>
      <c r="E2" s="422" t="s">
        <v>217</v>
      </c>
      <c r="F2" s="423" t="s">
        <v>218</v>
      </c>
      <c r="G2" s="422" t="s">
        <v>219</v>
      </c>
      <c r="H2" s="422" t="s">
        <v>220</v>
      </c>
      <c r="I2" s="424" t="s">
        <v>221</v>
      </c>
      <c r="J2" s="424" t="s">
        <v>222</v>
      </c>
      <c r="K2" s="424" t="s">
        <v>223</v>
      </c>
      <c r="L2" s="425">
        <v>5</v>
      </c>
      <c r="M2" s="425">
        <v>10</v>
      </c>
      <c r="N2" s="425">
        <v>15</v>
      </c>
      <c r="O2" s="425">
        <v>20</v>
      </c>
      <c r="P2" s="425">
        <v>25</v>
      </c>
    </row>
    <row r="3" spans="1:16">
      <c r="A3" s="426">
        <v>1</v>
      </c>
      <c r="B3" s="427" t="s">
        <v>224</v>
      </c>
      <c r="C3" s="7" t="s">
        <v>225</v>
      </c>
      <c r="D3" s="179">
        <v>200</v>
      </c>
      <c r="E3" s="428">
        <v>25</v>
      </c>
      <c r="F3" s="429">
        <f>80*1</f>
        <v>80</v>
      </c>
      <c r="G3" s="430">
        <f>+D3*F3</f>
        <v>16000</v>
      </c>
      <c r="H3" s="431">
        <f>INT(40/E3)</f>
        <v>1</v>
      </c>
      <c r="I3" s="429">
        <f>H3*G3</f>
        <v>16000</v>
      </c>
      <c r="J3" s="432">
        <f>I3</f>
        <v>16000</v>
      </c>
      <c r="K3" s="432"/>
      <c r="L3" s="10">
        <f>IF(AND($E3=L$2,$J3&lt;&gt;0),$G3,0)</f>
        <v>0</v>
      </c>
      <c r="M3" s="10">
        <f t="shared" ref="M3:P18" si="0">IF(AND($E3=M$2,$J3&lt;&gt;0),$G3,0)</f>
        <v>0</v>
      </c>
      <c r="N3" s="10">
        <f t="shared" si="0"/>
        <v>0</v>
      </c>
      <c r="O3" s="10">
        <f t="shared" si="0"/>
        <v>0</v>
      </c>
      <c r="P3" s="10">
        <f t="shared" si="0"/>
        <v>16000</v>
      </c>
    </row>
    <row r="4" spans="1:16">
      <c r="A4" s="426">
        <v>1</v>
      </c>
      <c r="B4" s="427" t="s">
        <v>224</v>
      </c>
      <c r="C4" s="7" t="s">
        <v>226</v>
      </c>
      <c r="D4" s="433">
        <v>1</v>
      </c>
      <c r="E4" s="434">
        <v>10</v>
      </c>
      <c r="F4" s="429">
        <v>500</v>
      </c>
      <c r="G4" s="435">
        <f t="shared" ref="G4:G67" si="1">+D4*F4</f>
        <v>500</v>
      </c>
      <c r="H4" s="426">
        <f>INT(40/E4)</f>
        <v>4</v>
      </c>
      <c r="I4" s="429">
        <f>H4*G4</f>
        <v>2000</v>
      </c>
      <c r="J4" s="432">
        <f>I4</f>
        <v>2000</v>
      </c>
      <c r="K4" s="432"/>
      <c r="L4" s="10">
        <f>IF(AND($E4=L$2,$J4&lt;&gt;0),$G4,0)</f>
        <v>0</v>
      </c>
      <c r="M4" s="10">
        <f t="shared" si="0"/>
        <v>500</v>
      </c>
      <c r="N4" s="10">
        <f t="shared" si="0"/>
        <v>0</v>
      </c>
      <c r="O4" s="10">
        <f t="shared" si="0"/>
        <v>0</v>
      </c>
      <c r="P4" s="10">
        <f t="shared" si="0"/>
        <v>0</v>
      </c>
    </row>
    <row r="5" spans="1:16">
      <c r="A5" s="426">
        <v>1</v>
      </c>
      <c r="B5" s="427" t="s">
        <v>224</v>
      </c>
      <c r="C5" s="7" t="s">
        <v>227</v>
      </c>
      <c r="D5" s="433">
        <v>200</v>
      </c>
      <c r="E5" s="434">
        <v>10</v>
      </c>
      <c r="F5" s="429">
        <v>60</v>
      </c>
      <c r="G5" s="435">
        <f t="shared" si="1"/>
        <v>12000</v>
      </c>
      <c r="H5" s="426">
        <f t="shared" ref="H5:H67" si="2">INT(40/E5)</f>
        <v>4</v>
      </c>
      <c r="I5" s="429">
        <f t="shared" ref="I5:I68" si="3">H5*G5</f>
        <v>48000</v>
      </c>
      <c r="J5" s="432"/>
      <c r="K5" s="432">
        <f t="shared" ref="K5:K11" si="4">I5</f>
        <v>48000</v>
      </c>
      <c r="L5" s="10">
        <f t="shared" ref="L5:P27" si="5">IF(AND($E5=L$2,$J5&lt;&gt;0),$G5,0)</f>
        <v>0</v>
      </c>
      <c r="M5" s="10">
        <f t="shared" si="0"/>
        <v>0</v>
      </c>
      <c r="N5" s="10">
        <f t="shared" si="0"/>
        <v>0</v>
      </c>
      <c r="O5" s="10">
        <f t="shared" si="0"/>
        <v>0</v>
      </c>
      <c r="P5" s="10">
        <f t="shared" si="0"/>
        <v>0</v>
      </c>
    </row>
    <row r="6" spans="1:16">
      <c r="A6" s="426">
        <v>1</v>
      </c>
      <c r="B6" s="427" t="s">
        <v>224</v>
      </c>
      <c r="C6" s="7" t="s">
        <v>228</v>
      </c>
      <c r="D6" s="433">
        <v>1</v>
      </c>
      <c r="E6" s="434">
        <v>25</v>
      </c>
      <c r="F6" s="429">
        <f>450*1</f>
        <v>450</v>
      </c>
      <c r="G6" s="435">
        <f t="shared" si="1"/>
        <v>450</v>
      </c>
      <c r="H6" s="426">
        <f t="shared" si="2"/>
        <v>1</v>
      </c>
      <c r="I6" s="429">
        <f t="shared" si="3"/>
        <v>450</v>
      </c>
      <c r="J6" s="432"/>
      <c r="K6" s="432">
        <f t="shared" si="4"/>
        <v>450</v>
      </c>
      <c r="L6" s="10">
        <f t="shared" si="5"/>
        <v>0</v>
      </c>
      <c r="M6" s="10">
        <f t="shared" si="0"/>
        <v>0</v>
      </c>
      <c r="N6" s="10">
        <f t="shared" si="0"/>
        <v>0</v>
      </c>
      <c r="O6" s="10">
        <f t="shared" si="0"/>
        <v>0</v>
      </c>
      <c r="P6" s="10">
        <f t="shared" si="0"/>
        <v>0</v>
      </c>
    </row>
    <row r="7" spans="1:16">
      <c r="A7" s="426">
        <v>1</v>
      </c>
      <c r="B7" s="427" t="s">
        <v>224</v>
      </c>
      <c r="C7" s="7" t="s">
        <v>229</v>
      </c>
      <c r="D7" s="433">
        <v>1</v>
      </c>
      <c r="E7" s="434">
        <v>25</v>
      </c>
      <c r="F7" s="429">
        <f>190*1</f>
        <v>190</v>
      </c>
      <c r="G7" s="435">
        <f t="shared" si="1"/>
        <v>190</v>
      </c>
      <c r="H7" s="426">
        <f t="shared" si="2"/>
        <v>1</v>
      </c>
      <c r="I7" s="429">
        <f t="shared" si="3"/>
        <v>190</v>
      </c>
      <c r="J7" s="432"/>
      <c r="K7" s="432">
        <f t="shared" si="4"/>
        <v>190</v>
      </c>
      <c r="L7" s="10">
        <f t="shared" si="5"/>
        <v>0</v>
      </c>
      <c r="M7" s="10">
        <f t="shared" si="0"/>
        <v>0</v>
      </c>
      <c r="N7" s="10">
        <f t="shared" si="0"/>
        <v>0</v>
      </c>
      <c r="O7" s="10">
        <f t="shared" si="0"/>
        <v>0</v>
      </c>
      <c r="P7" s="10">
        <f t="shared" si="0"/>
        <v>0</v>
      </c>
    </row>
    <row r="8" spans="1:16">
      <c r="A8" s="426">
        <v>2</v>
      </c>
      <c r="B8" s="427" t="s">
        <v>230</v>
      </c>
      <c r="C8" s="7" t="s">
        <v>231</v>
      </c>
      <c r="D8" s="433">
        <v>3</v>
      </c>
      <c r="E8" s="434">
        <v>5</v>
      </c>
      <c r="F8" s="429">
        <f>500</f>
        <v>500</v>
      </c>
      <c r="G8" s="435">
        <f>+D8*F8</f>
        <v>1500</v>
      </c>
      <c r="H8" s="426">
        <f>INT(40/E8)</f>
        <v>8</v>
      </c>
      <c r="I8" s="429">
        <f>H8*G8</f>
        <v>12000</v>
      </c>
      <c r="J8" s="432"/>
      <c r="K8" s="432">
        <f t="shared" si="4"/>
        <v>12000</v>
      </c>
      <c r="L8" s="10">
        <f t="shared" si="5"/>
        <v>0</v>
      </c>
      <c r="M8" s="10">
        <f t="shared" si="0"/>
        <v>0</v>
      </c>
      <c r="N8" s="10">
        <f t="shared" si="0"/>
        <v>0</v>
      </c>
      <c r="O8" s="10">
        <f t="shared" si="0"/>
        <v>0</v>
      </c>
      <c r="P8" s="10">
        <f t="shared" si="0"/>
        <v>0</v>
      </c>
    </row>
    <row r="9" spans="1:16">
      <c r="A9" s="426">
        <v>2</v>
      </c>
      <c r="B9" s="427" t="s">
        <v>230</v>
      </c>
      <c r="C9" s="7" t="s">
        <v>232</v>
      </c>
      <c r="D9" s="433">
        <v>3</v>
      </c>
      <c r="E9" s="434">
        <v>5</v>
      </c>
      <c r="F9" s="429">
        <f>300</f>
        <v>300</v>
      </c>
      <c r="G9" s="435">
        <f t="shared" si="1"/>
        <v>900</v>
      </c>
      <c r="H9" s="426">
        <f t="shared" si="2"/>
        <v>8</v>
      </c>
      <c r="I9" s="429">
        <f t="shared" si="3"/>
        <v>7200</v>
      </c>
      <c r="J9" s="432"/>
      <c r="K9" s="432">
        <f t="shared" si="4"/>
        <v>7200</v>
      </c>
      <c r="L9" s="10">
        <f t="shared" si="5"/>
        <v>0</v>
      </c>
      <c r="M9" s="10">
        <f t="shared" si="0"/>
        <v>0</v>
      </c>
      <c r="N9" s="10">
        <f t="shared" si="0"/>
        <v>0</v>
      </c>
      <c r="O9" s="10">
        <f t="shared" si="0"/>
        <v>0</v>
      </c>
      <c r="P9" s="10">
        <f t="shared" si="0"/>
        <v>0</v>
      </c>
    </row>
    <row r="10" spans="1:16">
      <c r="A10" s="426">
        <v>2</v>
      </c>
      <c r="B10" s="427" t="s">
        <v>230</v>
      </c>
      <c r="C10" s="7" t="s">
        <v>233</v>
      </c>
      <c r="D10" s="433">
        <v>1</v>
      </c>
      <c r="E10" s="434">
        <v>20</v>
      </c>
      <c r="F10" s="429">
        <f>200</f>
        <v>200</v>
      </c>
      <c r="G10" s="435">
        <f t="shared" si="1"/>
        <v>200</v>
      </c>
      <c r="H10" s="426">
        <f t="shared" si="2"/>
        <v>2</v>
      </c>
      <c r="I10" s="429">
        <f t="shared" si="3"/>
        <v>400</v>
      </c>
      <c r="J10" s="432"/>
      <c r="K10" s="432">
        <f t="shared" si="4"/>
        <v>400</v>
      </c>
      <c r="L10" s="10">
        <f t="shared" si="5"/>
        <v>0</v>
      </c>
      <c r="M10" s="10">
        <f t="shared" si="0"/>
        <v>0</v>
      </c>
      <c r="N10" s="10">
        <f t="shared" si="0"/>
        <v>0</v>
      </c>
      <c r="O10" s="10">
        <f t="shared" si="0"/>
        <v>0</v>
      </c>
      <c r="P10" s="10">
        <f t="shared" si="0"/>
        <v>0</v>
      </c>
    </row>
    <row r="11" spans="1:16">
      <c r="A11" s="426">
        <v>2</v>
      </c>
      <c r="B11" s="427" t="s">
        <v>230</v>
      </c>
      <c r="C11" s="7" t="s">
        <v>234</v>
      </c>
      <c r="D11" s="433">
        <v>4</v>
      </c>
      <c r="E11" s="434">
        <v>20</v>
      </c>
      <c r="F11" s="429">
        <f>100</f>
        <v>100</v>
      </c>
      <c r="G11" s="435">
        <f t="shared" si="1"/>
        <v>400</v>
      </c>
      <c r="H11" s="426">
        <f t="shared" si="2"/>
        <v>2</v>
      </c>
      <c r="I11" s="429">
        <f t="shared" si="3"/>
        <v>800</v>
      </c>
      <c r="J11" s="432"/>
      <c r="K11" s="432">
        <f t="shared" si="4"/>
        <v>800</v>
      </c>
      <c r="L11" s="10">
        <f t="shared" si="5"/>
        <v>0</v>
      </c>
      <c r="M11" s="10">
        <f t="shared" si="0"/>
        <v>0</v>
      </c>
      <c r="N11" s="10">
        <f t="shared" si="0"/>
        <v>0</v>
      </c>
      <c r="O11" s="10">
        <f t="shared" si="0"/>
        <v>0</v>
      </c>
      <c r="P11" s="10">
        <f t="shared" si="0"/>
        <v>0</v>
      </c>
    </row>
    <row r="12" spans="1:16">
      <c r="A12" s="426">
        <v>3</v>
      </c>
      <c r="B12" s="427" t="s">
        <v>235</v>
      </c>
      <c r="C12" s="7" t="s">
        <v>236</v>
      </c>
      <c r="D12" s="433">
        <v>200</v>
      </c>
      <c r="E12" s="434">
        <v>25</v>
      </c>
      <c r="F12" s="429">
        <v>200</v>
      </c>
      <c r="G12" s="435">
        <f t="shared" si="1"/>
        <v>40000</v>
      </c>
      <c r="H12" s="426">
        <f t="shared" si="2"/>
        <v>1</v>
      </c>
      <c r="I12" s="429">
        <f t="shared" si="3"/>
        <v>40000</v>
      </c>
      <c r="J12" s="432">
        <f>I12</f>
        <v>40000</v>
      </c>
      <c r="K12" s="432"/>
      <c r="L12" s="10">
        <f t="shared" si="5"/>
        <v>0</v>
      </c>
      <c r="M12" s="10">
        <f t="shared" si="0"/>
        <v>0</v>
      </c>
      <c r="N12" s="10">
        <f t="shared" si="0"/>
        <v>0</v>
      </c>
      <c r="O12" s="10">
        <f t="shared" si="0"/>
        <v>0</v>
      </c>
      <c r="P12" s="10">
        <f t="shared" si="0"/>
        <v>40000</v>
      </c>
    </row>
    <row r="13" spans="1:16">
      <c r="A13" s="426">
        <v>3</v>
      </c>
      <c r="B13" s="427" t="s">
        <v>235</v>
      </c>
      <c r="C13" s="7" t="s">
        <v>237</v>
      </c>
      <c r="D13" s="433">
        <v>200</v>
      </c>
      <c r="E13" s="434">
        <v>25</v>
      </c>
      <c r="F13" s="429">
        <v>450</v>
      </c>
      <c r="G13" s="435">
        <f t="shared" si="1"/>
        <v>90000</v>
      </c>
      <c r="H13" s="426">
        <f t="shared" si="2"/>
        <v>1</v>
      </c>
      <c r="I13" s="429">
        <f t="shared" si="3"/>
        <v>90000</v>
      </c>
      <c r="J13" s="432">
        <f>I13</f>
        <v>90000</v>
      </c>
      <c r="K13" s="432"/>
      <c r="L13" s="10">
        <f t="shared" si="5"/>
        <v>0</v>
      </c>
      <c r="M13" s="10">
        <f t="shared" si="0"/>
        <v>0</v>
      </c>
      <c r="N13" s="10">
        <f t="shared" si="0"/>
        <v>0</v>
      </c>
      <c r="O13" s="10">
        <f t="shared" si="0"/>
        <v>0</v>
      </c>
      <c r="P13" s="10">
        <f t="shared" si="0"/>
        <v>90000</v>
      </c>
    </row>
    <row r="14" spans="1:16">
      <c r="A14" s="426">
        <v>3</v>
      </c>
      <c r="B14" s="427" t="s">
        <v>235</v>
      </c>
      <c r="C14" s="7" t="s">
        <v>238</v>
      </c>
      <c r="D14" s="433">
        <v>200</v>
      </c>
      <c r="E14" s="434">
        <v>7</v>
      </c>
      <c r="F14" s="429">
        <v>200</v>
      </c>
      <c r="G14" s="435">
        <f t="shared" si="1"/>
        <v>40000</v>
      </c>
      <c r="H14" s="426">
        <f t="shared" si="2"/>
        <v>5</v>
      </c>
      <c r="I14" s="429">
        <f t="shared" si="3"/>
        <v>200000</v>
      </c>
      <c r="J14" s="432"/>
      <c r="K14" s="432">
        <f>I14</f>
        <v>200000</v>
      </c>
      <c r="L14" s="10">
        <f t="shared" si="5"/>
        <v>0</v>
      </c>
      <c r="M14" s="10">
        <f t="shared" si="0"/>
        <v>0</v>
      </c>
      <c r="N14" s="10">
        <f t="shared" si="0"/>
        <v>0</v>
      </c>
      <c r="O14" s="10">
        <f t="shared" si="0"/>
        <v>0</v>
      </c>
      <c r="P14" s="10">
        <f t="shared" si="0"/>
        <v>0</v>
      </c>
    </row>
    <row r="15" spans="1:16">
      <c r="A15" s="426">
        <v>3</v>
      </c>
      <c r="B15" s="427" t="s">
        <v>235</v>
      </c>
      <c r="C15" s="7" t="s">
        <v>239</v>
      </c>
      <c r="D15" s="433">
        <v>200</v>
      </c>
      <c r="E15" s="434">
        <v>25</v>
      </c>
      <c r="F15" s="429">
        <v>200</v>
      </c>
      <c r="G15" s="435">
        <f t="shared" si="1"/>
        <v>40000</v>
      </c>
      <c r="H15" s="426">
        <f t="shared" si="2"/>
        <v>1</v>
      </c>
      <c r="I15" s="429">
        <f t="shared" si="3"/>
        <v>40000</v>
      </c>
      <c r="J15" s="432"/>
      <c r="K15" s="432">
        <f>I15</f>
        <v>40000</v>
      </c>
      <c r="L15" s="10">
        <f t="shared" si="5"/>
        <v>0</v>
      </c>
      <c r="M15" s="10">
        <f t="shared" si="0"/>
        <v>0</v>
      </c>
      <c r="N15" s="10">
        <f t="shared" si="0"/>
        <v>0</v>
      </c>
      <c r="O15" s="10">
        <f t="shared" si="0"/>
        <v>0</v>
      </c>
      <c r="P15" s="10">
        <f t="shared" si="0"/>
        <v>0</v>
      </c>
    </row>
    <row r="16" spans="1:16">
      <c r="A16" s="426">
        <v>3</v>
      </c>
      <c r="B16" s="427" t="s">
        <v>235</v>
      </c>
      <c r="C16" s="7" t="s">
        <v>240</v>
      </c>
      <c r="D16" s="433">
        <v>200</v>
      </c>
      <c r="E16" s="434">
        <v>25</v>
      </c>
      <c r="F16" s="429">
        <v>300</v>
      </c>
      <c r="G16" s="435">
        <f t="shared" si="1"/>
        <v>60000</v>
      </c>
      <c r="H16" s="426">
        <f t="shared" si="2"/>
        <v>1</v>
      </c>
      <c r="I16" s="429">
        <f t="shared" si="3"/>
        <v>60000</v>
      </c>
      <c r="J16" s="432">
        <f>I16</f>
        <v>60000</v>
      </c>
      <c r="K16" s="432"/>
      <c r="L16" s="10">
        <f t="shared" si="5"/>
        <v>0</v>
      </c>
      <c r="M16" s="10">
        <f t="shared" si="0"/>
        <v>0</v>
      </c>
      <c r="N16" s="10">
        <f t="shared" si="0"/>
        <v>0</v>
      </c>
      <c r="O16" s="10">
        <f t="shared" si="0"/>
        <v>0</v>
      </c>
      <c r="P16" s="10">
        <f t="shared" si="0"/>
        <v>60000</v>
      </c>
    </row>
    <row r="17" spans="1:16">
      <c r="A17" s="426">
        <v>3</v>
      </c>
      <c r="B17" s="427" t="s">
        <v>235</v>
      </c>
      <c r="C17" s="7" t="s">
        <v>241</v>
      </c>
      <c r="D17" s="433">
        <v>200</v>
      </c>
      <c r="E17" s="434">
        <v>15</v>
      </c>
      <c r="F17" s="429">
        <v>450</v>
      </c>
      <c r="G17" s="435">
        <f t="shared" si="1"/>
        <v>90000</v>
      </c>
      <c r="H17" s="426">
        <f t="shared" si="2"/>
        <v>2</v>
      </c>
      <c r="I17" s="429">
        <f t="shared" si="3"/>
        <v>180000</v>
      </c>
      <c r="J17" s="432">
        <f>I17</f>
        <v>180000</v>
      </c>
      <c r="K17" s="432"/>
      <c r="L17" s="10">
        <f t="shared" si="5"/>
        <v>0</v>
      </c>
      <c r="M17" s="10">
        <f t="shared" si="0"/>
        <v>0</v>
      </c>
      <c r="N17" s="10">
        <f t="shared" si="0"/>
        <v>90000</v>
      </c>
      <c r="O17" s="10">
        <f t="shared" si="0"/>
        <v>0</v>
      </c>
      <c r="P17" s="10">
        <f t="shared" si="0"/>
        <v>0</v>
      </c>
    </row>
    <row r="18" spans="1:16">
      <c r="A18" s="426">
        <v>3</v>
      </c>
      <c r="B18" s="427" t="s">
        <v>235</v>
      </c>
      <c r="C18" s="7" t="s">
        <v>242</v>
      </c>
      <c r="D18" s="433">
        <v>200</v>
      </c>
      <c r="E18" s="434">
        <v>20</v>
      </c>
      <c r="F18" s="429">
        <v>220</v>
      </c>
      <c r="G18" s="435">
        <f t="shared" si="1"/>
        <v>44000</v>
      </c>
      <c r="H18" s="426">
        <f t="shared" si="2"/>
        <v>2</v>
      </c>
      <c r="I18" s="429">
        <f t="shared" si="3"/>
        <v>88000</v>
      </c>
      <c r="J18" s="432">
        <f>I18</f>
        <v>88000</v>
      </c>
      <c r="K18" s="432"/>
      <c r="L18" s="10">
        <f t="shared" si="5"/>
        <v>0</v>
      </c>
      <c r="M18" s="10">
        <f t="shared" si="0"/>
        <v>0</v>
      </c>
      <c r="N18" s="10">
        <f t="shared" si="0"/>
        <v>0</v>
      </c>
      <c r="O18" s="10">
        <f t="shared" si="0"/>
        <v>44000</v>
      </c>
      <c r="P18" s="10">
        <f t="shared" si="0"/>
        <v>0</v>
      </c>
    </row>
    <row r="19" spans="1:16">
      <c r="A19" s="426">
        <v>3</v>
      </c>
      <c r="B19" s="427" t="s">
        <v>235</v>
      </c>
      <c r="C19" s="7" t="s">
        <v>243</v>
      </c>
      <c r="D19" s="433">
        <v>200</v>
      </c>
      <c r="E19" s="434">
        <v>5</v>
      </c>
      <c r="F19" s="429">
        <v>50</v>
      </c>
      <c r="G19" s="435">
        <f t="shared" si="1"/>
        <v>10000</v>
      </c>
      <c r="H19" s="426">
        <f t="shared" si="2"/>
        <v>8</v>
      </c>
      <c r="I19" s="429">
        <f t="shared" si="3"/>
        <v>80000</v>
      </c>
      <c r="J19" s="432"/>
      <c r="K19" s="432">
        <f t="shared" ref="K19:K26" si="6">I19</f>
        <v>80000</v>
      </c>
      <c r="L19" s="10">
        <f t="shared" si="5"/>
        <v>0</v>
      </c>
      <c r="M19" s="10">
        <f t="shared" si="5"/>
        <v>0</v>
      </c>
      <c r="N19" s="10">
        <f t="shared" si="5"/>
        <v>0</v>
      </c>
      <c r="O19" s="10">
        <f t="shared" si="5"/>
        <v>0</v>
      </c>
      <c r="P19" s="10">
        <f t="shared" si="5"/>
        <v>0</v>
      </c>
    </row>
    <row r="20" spans="1:16">
      <c r="A20" s="426">
        <v>3</v>
      </c>
      <c r="B20" s="427" t="s">
        <v>235</v>
      </c>
      <c r="C20" s="7" t="s">
        <v>244</v>
      </c>
      <c r="D20" s="433">
        <v>200</v>
      </c>
      <c r="E20" s="434">
        <v>20</v>
      </c>
      <c r="F20" s="429">
        <v>200</v>
      </c>
      <c r="G20" s="435">
        <f t="shared" si="1"/>
        <v>40000</v>
      </c>
      <c r="H20" s="426">
        <f t="shared" si="2"/>
        <v>2</v>
      </c>
      <c r="I20" s="429">
        <f t="shared" si="3"/>
        <v>80000</v>
      </c>
      <c r="J20" s="432"/>
      <c r="K20" s="432">
        <f t="shared" si="6"/>
        <v>80000</v>
      </c>
      <c r="L20" s="10">
        <f t="shared" si="5"/>
        <v>0</v>
      </c>
      <c r="M20" s="10">
        <f t="shared" si="5"/>
        <v>0</v>
      </c>
      <c r="N20" s="10">
        <f t="shared" si="5"/>
        <v>0</v>
      </c>
      <c r="O20" s="10">
        <f t="shared" si="5"/>
        <v>0</v>
      </c>
      <c r="P20" s="10">
        <f t="shared" si="5"/>
        <v>0</v>
      </c>
    </row>
    <row r="21" spans="1:16">
      <c r="A21" s="426">
        <v>3</v>
      </c>
      <c r="B21" s="427" t="s">
        <v>235</v>
      </c>
      <c r="C21" s="7" t="s">
        <v>245</v>
      </c>
      <c r="D21" s="433">
        <v>200</v>
      </c>
      <c r="E21" s="434">
        <v>20</v>
      </c>
      <c r="F21" s="429">
        <v>80</v>
      </c>
      <c r="G21" s="435">
        <f t="shared" si="1"/>
        <v>16000</v>
      </c>
      <c r="H21" s="426">
        <f t="shared" si="2"/>
        <v>2</v>
      </c>
      <c r="I21" s="429">
        <f t="shared" si="3"/>
        <v>32000</v>
      </c>
      <c r="J21" s="432"/>
      <c r="K21" s="432">
        <f t="shared" si="6"/>
        <v>32000</v>
      </c>
      <c r="L21" s="10">
        <f t="shared" si="5"/>
        <v>0</v>
      </c>
      <c r="M21" s="10">
        <f t="shared" si="5"/>
        <v>0</v>
      </c>
      <c r="N21" s="10">
        <f t="shared" si="5"/>
        <v>0</v>
      </c>
      <c r="O21" s="10">
        <f t="shared" si="5"/>
        <v>0</v>
      </c>
      <c r="P21" s="10">
        <f t="shared" si="5"/>
        <v>0</v>
      </c>
    </row>
    <row r="22" spans="1:16">
      <c r="A22" s="426">
        <v>3</v>
      </c>
      <c r="B22" s="427" t="s">
        <v>235</v>
      </c>
      <c r="C22" s="7" t="s">
        <v>246</v>
      </c>
      <c r="D22" s="433">
        <v>200</v>
      </c>
      <c r="E22" s="434">
        <v>15</v>
      </c>
      <c r="F22" s="429">
        <v>500</v>
      </c>
      <c r="G22" s="435">
        <f t="shared" si="1"/>
        <v>100000</v>
      </c>
      <c r="H22" s="426">
        <f t="shared" si="2"/>
        <v>2</v>
      </c>
      <c r="I22" s="429">
        <f t="shared" si="3"/>
        <v>200000</v>
      </c>
      <c r="J22" s="432"/>
      <c r="K22" s="432">
        <f t="shared" si="6"/>
        <v>200000</v>
      </c>
      <c r="L22" s="10">
        <f t="shared" si="5"/>
        <v>0</v>
      </c>
      <c r="M22" s="10">
        <f t="shared" si="5"/>
        <v>0</v>
      </c>
      <c r="N22" s="10">
        <f t="shared" si="5"/>
        <v>0</v>
      </c>
      <c r="O22" s="10">
        <f t="shared" si="5"/>
        <v>0</v>
      </c>
      <c r="P22" s="10">
        <f t="shared" si="5"/>
        <v>0</v>
      </c>
    </row>
    <row r="23" spans="1:16">
      <c r="A23" s="426">
        <v>3</v>
      </c>
      <c r="B23" s="427" t="s">
        <v>235</v>
      </c>
      <c r="C23" s="7" t="s">
        <v>247</v>
      </c>
      <c r="D23" s="433">
        <v>200</v>
      </c>
      <c r="E23" s="434">
        <v>15</v>
      </c>
      <c r="F23" s="429">
        <v>950</v>
      </c>
      <c r="G23" s="435">
        <f t="shared" si="1"/>
        <v>190000</v>
      </c>
      <c r="H23" s="426">
        <f t="shared" si="2"/>
        <v>2</v>
      </c>
      <c r="I23" s="429">
        <f>H23*G23</f>
        <v>380000</v>
      </c>
      <c r="J23" s="432"/>
      <c r="K23" s="432">
        <f t="shared" si="6"/>
        <v>380000</v>
      </c>
      <c r="L23" s="10">
        <f t="shared" si="5"/>
        <v>0</v>
      </c>
      <c r="M23" s="10">
        <f t="shared" si="5"/>
        <v>0</v>
      </c>
      <c r="N23" s="10">
        <f t="shared" si="5"/>
        <v>0</v>
      </c>
      <c r="O23" s="10">
        <f t="shared" si="5"/>
        <v>0</v>
      </c>
      <c r="P23" s="10">
        <f t="shared" si="5"/>
        <v>0</v>
      </c>
    </row>
    <row r="24" spans="1:16">
      <c r="A24" s="426">
        <v>3</v>
      </c>
      <c r="B24" s="427" t="s">
        <v>235</v>
      </c>
      <c r="C24" s="7" t="s">
        <v>248</v>
      </c>
      <c r="D24" s="433">
        <v>200</v>
      </c>
      <c r="E24" s="434">
        <v>10</v>
      </c>
      <c r="F24" s="429">
        <v>60</v>
      </c>
      <c r="G24" s="435">
        <f t="shared" si="1"/>
        <v>12000</v>
      </c>
      <c r="H24" s="426">
        <f t="shared" si="2"/>
        <v>4</v>
      </c>
      <c r="I24" s="429">
        <f t="shared" si="3"/>
        <v>48000</v>
      </c>
      <c r="J24" s="432"/>
      <c r="K24" s="432">
        <f t="shared" si="6"/>
        <v>48000</v>
      </c>
      <c r="L24" s="10">
        <f t="shared" si="5"/>
        <v>0</v>
      </c>
      <c r="M24" s="10">
        <f t="shared" si="5"/>
        <v>0</v>
      </c>
      <c r="N24" s="10">
        <f t="shared" si="5"/>
        <v>0</v>
      </c>
      <c r="O24" s="10">
        <f t="shared" si="5"/>
        <v>0</v>
      </c>
      <c r="P24" s="10">
        <f t="shared" si="5"/>
        <v>0</v>
      </c>
    </row>
    <row r="25" spans="1:16">
      <c r="A25" s="426">
        <v>3</v>
      </c>
      <c r="B25" s="427" t="s">
        <v>235</v>
      </c>
      <c r="C25" s="7" t="s">
        <v>249</v>
      </c>
      <c r="D25" s="433">
        <v>200</v>
      </c>
      <c r="E25" s="434">
        <v>15</v>
      </c>
      <c r="F25" s="429">
        <v>150</v>
      </c>
      <c r="G25" s="435">
        <f t="shared" si="1"/>
        <v>30000</v>
      </c>
      <c r="H25" s="426">
        <f t="shared" si="2"/>
        <v>2</v>
      </c>
      <c r="I25" s="429">
        <f t="shared" si="3"/>
        <v>60000</v>
      </c>
      <c r="J25" s="432"/>
      <c r="K25" s="432">
        <f t="shared" si="6"/>
        <v>60000</v>
      </c>
      <c r="L25" s="10">
        <f t="shared" si="5"/>
        <v>0</v>
      </c>
      <c r="M25" s="10">
        <f t="shared" si="5"/>
        <v>0</v>
      </c>
      <c r="N25" s="10">
        <f t="shared" si="5"/>
        <v>0</v>
      </c>
      <c r="O25" s="10">
        <f t="shared" si="5"/>
        <v>0</v>
      </c>
      <c r="P25" s="10">
        <f t="shared" si="5"/>
        <v>0</v>
      </c>
    </row>
    <row r="26" spans="1:16">
      <c r="A26" s="426">
        <v>3</v>
      </c>
      <c r="B26" s="427" t="s">
        <v>235</v>
      </c>
      <c r="C26" s="7" t="s">
        <v>250</v>
      </c>
      <c r="D26" s="433">
        <v>200</v>
      </c>
      <c r="E26" s="434">
        <v>15</v>
      </c>
      <c r="F26" s="429">
        <v>350</v>
      </c>
      <c r="G26" s="435">
        <f t="shared" si="1"/>
        <v>70000</v>
      </c>
      <c r="H26" s="426">
        <f t="shared" si="2"/>
        <v>2</v>
      </c>
      <c r="I26" s="429">
        <f t="shared" si="3"/>
        <v>140000</v>
      </c>
      <c r="J26" s="432"/>
      <c r="K26" s="432">
        <f t="shared" si="6"/>
        <v>140000</v>
      </c>
      <c r="L26" s="10">
        <f t="shared" si="5"/>
        <v>0</v>
      </c>
      <c r="M26" s="10">
        <f t="shared" si="5"/>
        <v>0</v>
      </c>
      <c r="N26" s="10">
        <f t="shared" si="5"/>
        <v>0</v>
      </c>
      <c r="O26" s="10">
        <f t="shared" si="5"/>
        <v>0</v>
      </c>
      <c r="P26" s="10">
        <f t="shared" si="5"/>
        <v>0</v>
      </c>
    </row>
    <row r="27" spans="1:16">
      <c r="A27" s="426">
        <v>4</v>
      </c>
      <c r="B27" s="427" t="s">
        <v>251</v>
      </c>
      <c r="C27" s="7" t="s">
        <v>236</v>
      </c>
      <c r="D27" s="433">
        <v>1</v>
      </c>
      <c r="E27" s="434">
        <v>25</v>
      </c>
      <c r="F27" s="429">
        <v>230</v>
      </c>
      <c r="G27" s="435">
        <f t="shared" si="1"/>
        <v>230</v>
      </c>
      <c r="H27" s="426">
        <f t="shared" si="2"/>
        <v>1</v>
      </c>
      <c r="I27" s="429">
        <f t="shared" si="3"/>
        <v>230</v>
      </c>
      <c r="J27" s="432">
        <f>I27</f>
        <v>230</v>
      </c>
      <c r="K27" s="432"/>
      <c r="L27" s="10">
        <f t="shared" si="5"/>
        <v>0</v>
      </c>
      <c r="M27" s="10">
        <f t="shared" si="5"/>
        <v>0</v>
      </c>
      <c r="N27" s="10">
        <f t="shared" si="5"/>
        <v>0</v>
      </c>
      <c r="O27" s="10">
        <f t="shared" si="5"/>
        <v>0</v>
      </c>
      <c r="P27" s="10">
        <f t="shared" si="5"/>
        <v>230</v>
      </c>
    </row>
    <row r="28" spans="1:16">
      <c r="A28" s="426">
        <v>4</v>
      </c>
      <c r="B28" s="427" t="s">
        <v>251</v>
      </c>
      <c r="C28" s="7" t="s">
        <v>252</v>
      </c>
      <c r="D28" s="433">
        <v>1</v>
      </c>
      <c r="E28" s="434">
        <v>25</v>
      </c>
      <c r="F28" s="429">
        <v>950</v>
      </c>
      <c r="G28" s="435">
        <f t="shared" si="1"/>
        <v>950</v>
      </c>
      <c r="H28" s="426">
        <f t="shared" si="2"/>
        <v>1</v>
      </c>
      <c r="I28" s="429">
        <f t="shared" si="3"/>
        <v>950</v>
      </c>
      <c r="J28" s="432">
        <f>I28</f>
        <v>950</v>
      </c>
      <c r="K28" s="432"/>
      <c r="L28" s="10">
        <f t="shared" ref="L28:P55" si="7">IF(AND($E28=L$2,$J28&lt;&gt;0),$G28,0)</f>
        <v>0</v>
      </c>
      <c r="M28" s="10">
        <f t="shared" si="7"/>
        <v>0</v>
      </c>
      <c r="N28" s="10">
        <f t="shared" si="7"/>
        <v>0</v>
      </c>
      <c r="O28" s="10">
        <f t="shared" si="7"/>
        <v>0</v>
      </c>
      <c r="P28" s="10">
        <f t="shared" si="7"/>
        <v>950</v>
      </c>
    </row>
    <row r="29" spans="1:16">
      <c r="A29" s="426">
        <v>4</v>
      </c>
      <c r="B29" s="427" t="s">
        <v>251</v>
      </c>
      <c r="C29" s="7" t="s">
        <v>253</v>
      </c>
      <c r="D29" s="433">
        <v>1</v>
      </c>
      <c r="E29" s="434">
        <v>7</v>
      </c>
      <c r="F29" s="429">
        <v>350</v>
      </c>
      <c r="G29" s="435">
        <f t="shared" si="1"/>
        <v>350</v>
      </c>
      <c r="H29" s="426">
        <f t="shared" si="2"/>
        <v>5</v>
      </c>
      <c r="I29" s="429">
        <f t="shared" si="3"/>
        <v>1750</v>
      </c>
      <c r="J29" s="432"/>
      <c r="K29" s="432">
        <f>I29</f>
        <v>1750</v>
      </c>
      <c r="L29" s="10">
        <f t="shared" si="7"/>
        <v>0</v>
      </c>
      <c r="M29" s="10">
        <f t="shared" si="7"/>
        <v>0</v>
      </c>
      <c r="N29" s="10">
        <f t="shared" si="7"/>
        <v>0</v>
      </c>
      <c r="O29" s="10">
        <f t="shared" si="7"/>
        <v>0</v>
      </c>
      <c r="P29" s="10">
        <f t="shared" si="7"/>
        <v>0</v>
      </c>
    </row>
    <row r="30" spans="1:16">
      <c r="A30" s="426">
        <v>4</v>
      </c>
      <c r="B30" s="427" t="s">
        <v>251</v>
      </c>
      <c r="C30" s="7" t="s">
        <v>254</v>
      </c>
      <c r="D30" s="433">
        <v>1</v>
      </c>
      <c r="E30" s="434">
        <v>25</v>
      </c>
      <c r="F30" s="429">
        <v>250</v>
      </c>
      <c r="G30" s="435">
        <f t="shared" si="1"/>
        <v>250</v>
      </c>
      <c r="H30" s="426">
        <f t="shared" si="2"/>
        <v>1</v>
      </c>
      <c r="I30" s="429">
        <f t="shared" si="3"/>
        <v>250</v>
      </c>
      <c r="J30" s="432"/>
      <c r="K30" s="432">
        <f>I30</f>
        <v>250</v>
      </c>
      <c r="L30" s="10">
        <f t="shared" si="7"/>
        <v>0</v>
      </c>
      <c r="M30" s="10">
        <f t="shared" si="7"/>
        <v>0</v>
      </c>
      <c r="N30" s="10">
        <f t="shared" si="7"/>
        <v>0</v>
      </c>
      <c r="O30" s="10">
        <f t="shared" si="7"/>
        <v>0</v>
      </c>
      <c r="P30" s="10">
        <f t="shared" si="7"/>
        <v>0</v>
      </c>
    </row>
    <row r="31" spans="1:16">
      <c r="A31" s="426">
        <v>4</v>
      </c>
      <c r="B31" s="427" t="s">
        <v>251</v>
      </c>
      <c r="C31" s="7" t="s">
        <v>240</v>
      </c>
      <c r="D31" s="433">
        <v>1</v>
      </c>
      <c r="E31" s="434">
        <v>25</v>
      </c>
      <c r="F31" s="429">
        <v>500</v>
      </c>
      <c r="G31" s="435">
        <f t="shared" si="1"/>
        <v>500</v>
      </c>
      <c r="H31" s="426">
        <f t="shared" si="2"/>
        <v>1</v>
      </c>
      <c r="I31" s="429">
        <f t="shared" si="3"/>
        <v>500</v>
      </c>
      <c r="J31" s="432">
        <f>I31</f>
        <v>500</v>
      </c>
      <c r="K31" s="432"/>
      <c r="L31" s="10">
        <f t="shared" si="7"/>
        <v>0</v>
      </c>
      <c r="M31" s="10">
        <f t="shared" si="7"/>
        <v>0</v>
      </c>
      <c r="N31" s="10">
        <f t="shared" si="7"/>
        <v>0</v>
      </c>
      <c r="O31" s="10">
        <f t="shared" si="7"/>
        <v>0</v>
      </c>
      <c r="P31" s="10">
        <f t="shared" si="7"/>
        <v>500</v>
      </c>
    </row>
    <row r="32" spans="1:16">
      <c r="A32" s="426">
        <v>4</v>
      </c>
      <c r="B32" s="427" t="s">
        <v>251</v>
      </c>
      <c r="C32" s="7" t="s">
        <v>241</v>
      </c>
      <c r="D32" s="433">
        <v>1</v>
      </c>
      <c r="E32" s="434">
        <v>25</v>
      </c>
      <c r="F32" s="429">
        <v>450</v>
      </c>
      <c r="G32" s="435">
        <f t="shared" si="1"/>
        <v>450</v>
      </c>
      <c r="H32" s="426">
        <f t="shared" si="2"/>
        <v>1</v>
      </c>
      <c r="I32" s="429">
        <f t="shared" si="3"/>
        <v>450</v>
      </c>
      <c r="J32" s="432">
        <f>I32</f>
        <v>450</v>
      </c>
      <c r="K32" s="432"/>
      <c r="L32" s="10">
        <f t="shared" si="7"/>
        <v>0</v>
      </c>
      <c r="M32" s="10">
        <f t="shared" si="7"/>
        <v>0</v>
      </c>
      <c r="N32" s="10">
        <f t="shared" si="7"/>
        <v>0</v>
      </c>
      <c r="O32" s="10">
        <f t="shared" si="7"/>
        <v>0</v>
      </c>
      <c r="P32" s="10">
        <f t="shared" si="7"/>
        <v>450</v>
      </c>
    </row>
    <row r="33" spans="1:16">
      <c r="A33" s="426">
        <v>4</v>
      </c>
      <c r="B33" s="427" t="s">
        <v>251</v>
      </c>
      <c r="C33" s="7" t="s">
        <v>242</v>
      </c>
      <c r="D33" s="433">
        <v>1</v>
      </c>
      <c r="E33" s="434">
        <v>25</v>
      </c>
      <c r="F33" s="429">
        <v>300</v>
      </c>
      <c r="G33" s="435">
        <f t="shared" si="1"/>
        <v>300</v>
      </c>
      <c r="H33" s="426">
        <f t="shared" si="2"/>
        <v>1</v>
      </c>
      <c r="I33" s="429">
        <f t="shared" si="3"/>
        <v>300</v>
      </c>
      <c r="J33" s="432">
        <f>I33</f>
        <v>300</v>
      </c>
      <c r="K33" s="432"/>
      <c r="L33" s="10">
        <f t="shared" si="7"/>
        <v>0</v>
      </c>
      <c r="M33" s="10">
        <f t="shared" si="7"/>
        <v>0</v>
      </c>
      <c r="N33" s="10">
        <f t="shared" si="7"/>
        <v>0</v>
      </c>
      <c r="O33" s="10">
        <f t="shared" si="7"/>
        <v>0</v>
      </c>
      <c r="P33" s="10">
        <f t="shared" si="7"/>
        <v>300</v>
      </c>
    </row>
    <row r="34" spans="1:16">
      <c r="A34" s="426">
        <v>4</v>
      </c>
      <c r="B34" s="427" t="s">
        <v>251</v>
      </c>
      <c r="C34" s="7" t="s">
        <v>243</v>
      </c>
      <c r="D34" s="433">
        <v>1</v>
      </c>
      <c r="E34" s="434">
        <v>5</v>
      </c>
      <c r="F34" s="429">
        <v>100</v>
      </c>
      <c r="G34" s="435">
        <f t="shared" si="1"/>
        <v>100</v>
      </c>
      <c r="H34" s="426">
        <f t="shared" si="2"/>
        <v>8</v>
      </c>
      <c r="I34" s="429">
        <f t="shared" si="3"/>
        <v>800</v>
      </c>
      <c r="J34" s="432"/>
      <c r="K34" s="432">
        <f>I34</f>
        <v>800</v>
      </c>
      <c r="L34" s="10">
        <f t="shared" si="7"/>
        <v>0</v>
      </c>
      <c r="M34" s="10">
        <f t="shared" si="7"/>
        <v>0</v>
      </c>
      <c r="N34" s="10">
        <f t="shared" si="7"/>
        <v>0</v>
      </c>
      <c r="O34" s="10">
        <f t="shared" si="7"/>
        <v>0</v>
      </c>
      <c r="P34" s="10">
        <f t="shared" si="7"/>
        <v>0</v>
      </c>
    </row>
    <row r="35" spans="1:16">
      <c r="A35" s="426">
        <v>4</v>
      </c>
      <c r="B35" s="427" t="s">
        <v>251</v>
      </c>
      <c r="C35" s="7" t="s">
        <v>244</v>
      </c>
      <c r="D35" s="433">
        <v>1</v>
      </c>
      <c r="E35" s="434">
        <v>20</v>
      </c>
      <c r="F35" s="429">
        <v>200</v>
      </c>
      <c r="G35" s="435">
        <f t="shared" si="1"/>
        <v>200</v>
      </c>
      <c r="H35" s="426">
        <f t="shared" si="2"/>
        <v>2</v>
      </c>
      <c r="I35" s="429">
        <f t="shared" si="3"/>
        <v>400</v>
      </c>
      <c r="J35" s="432"/>
      <c r="K35" s="432">
        <f>I35</f>
        <v>400</v>
      </c>
      <c r="L35" s="10">
        <f t="shared" si="7"/>
        <v>0</v>
      </c>
      <c r="M35" s="10">
        <f t="shared" si="7"/>
        <v>0</v>
      </c>
      <c r="N35" s="10">
        <f t="shared" si="7"/>
        <v>0</v>
      </c>
      <c r="O35" s="10">
        <f t="shared" si="7"/>
        <v>0</v>
      </c>
      <c r="P35" s="10">
        <f t="shared" si="7"/>
        <v>0</v>
      </c>
    </row>
    <row r="36" spans="1:16">
      <c r="A36" s="426">
        <v>4</v>
      </c>
      <c r="B36" s="427" t="s">
        <v>251</v>
      </c>
      <c r="C36" s="7" t="s">
        <v>245</v>
      </c>
      <c r="D36" s="433">
        <v>1</v>
      </c>
      <c r="E36" s="434">
        <v>20</v>
      </c>
      <c r="F36" s="429">
        <v>50</v>
      </c>
      <c r="G36" s="435">
        <f t="shared" si="1"/>
        <v>50</v>
      </c>
      <c r="H36" s="426">
        <f t="shared" si="2"/>
        <v>2</v>
      </c>
      <c r="I36" s="429">
        <f t="shared" si="3"/>
        <v>100</v>
      </c>
      <c r="J36" s="432"/>
      <c r="K36" s="432">
        <f>I36</f>
        <v>100</v>
      </c>
      <c r="L36" s="10">
        <f t="shared" si="7"/>
        <v>0</v>
      </c>
      <c r="M36" s="10">
        <f t="shared" si="7"/>
        <v>0</v>
      </c>
      <c r="N36" s="10">
        <f t="shared" si="7"/>
        <v>0</v>
      </c>
      <c r="O36" s="10">
        <f t="shared" si="7"/>
        <v>0</v>
      </c>
      <c r="P36" s="10">
        <f t="shared" si="7"/>
        <v>0</v>
      </c>
    </row>
    <row r="37" spans="1:16">
      <c r="A37" s="426">
        <v>5</v>
      </c>
      <c r="B37" s="427" t="s">
        <v>255</v>
      </c>
      <c r="C37" s="7" t="s">
        <v>256</v>
      </c>
      <c r="D37" s="433">
        <v>1</v>
      </c>
      <c r="E37" s="434">
        <v>20</v>
      </c>
      <c r="F37" s="429">
        <v>350</v>
      </c>
      <c r="G37" s="435">
        <f t="shared" si="1"/>
        <v>350</v>
      </c>
      <c r="H37" s="426">
        <f>INT(40/E37)</f>
        <v>2</v>
      </c>
      <c r="I37" s="429">
        <f t="shared" si="3"/>
        <v>700</v>
      </c>
      <c r="J37" s="432">
        <f>I37</f>
        <v>700</v>
      </c>
      <c r="K37" s="432"/>
      <c r="L37" s="10">
        <f t="shared" si="7"/>
        <v>0</v>
      </c>
      <c r="M37" s="10">
        <f t="shared" si="7"/>
        <v>0</v>
      </c>
      <c r="N37" s="10">
        <f t="shared" si="7"/>
        <v>0</v>
      </c>
      <c r="O37" s="10">
        <f t="shared" si="7"/>
        <v>350</v>
      </c>
      <c r="P37" s="10">
        <f t="shared" si="7"/>
        <v>0</v>
      </c>
    </row>
    <row r="38" spans="1:16">
      <c r="A38" s="426">
        <v>5</v>
      </c>
      <c r="B38" s="427" t="s">
        <v>255</v>
      </c>
      <c r="C38" s="7" t="s">
        <v>257</v>
      </c>
      <c r="D38" s="433">
        <v>1</v>
      </c>
      <c r="E38" s="434">
        <v>20</v>
      </c>
      <c r="F38" s="429">
        <v>300</v>
      </c>
      <c r="G38" s="435">
        <f t="shared" si="1"/>
        <v>300</v>
      </c>
      <c r="H38" s="426">
        <f t="shared" si="2"/>
        <v>2</v>
      </c>
      <c r="I38" s="429">
        <f>H38*G38</f>
        <v>600</v>
      </c>
      <c r="J38" s="432">
        <f>I38</f>
        <v>600</v>
      </c>
      <c r="K38" s="432"/>
      <c r="L38" s="10">
        <f t="shared" si="7"/>
        <v>0</v>
      </c>
      <c r="M38" s="10">
        <f t="shared" si="7"/>
        <v>0</v>
      </c>
      <c r="N38" s="10">
        <f t="shared" si="7"/>
        <v>0</v>
      </c>
      <c r="O38" s="10">
        <f t="shared" si="7"/>
        <v>300</v>
      </c>
      <c r="P38" s="10">
        <f t="shared" si="7"/>
        <v>0</v>
      </c>
    </row>
    <row r="39" spans="1:16">
      <c r="A39" s="426">
        <v>6</v>
      </c>
      <c r="B39" s="427" t="s">
        <v>258</v>
      </c>
      <c r="C39" s="7" t="s">
        <v>259</v>
      </c>
      <c r="D39" s="433">
        <v>1</v>
      </c>
      <c r="E39" s="434">
        <v>20</v>
      </c>
      <c r="F39" s="429">
        <v>350</v>
      </c>
      <c r="G39" s="435">
        <f t="shared" si="1"/>
        <v>350</v>
      </c>
      <c r="H39" s="426">
        <f t="shared" si="2"/>
        <v>2</v>
      </c>
      <c r="I39" s="429">
        <f t="shared" si="3"/>
        <v>700</v>
      </c>
      <c r="J39" s="432">
        <f>I39</f>
        <v>700</v>
      </c>
      <c r="K39" s="432"/>
      <c r="L39" s="10">
        <f t="shared" si="7"/>
        <v>0</v>
      </c>
      <c r="M39" s="10">
        <f t="shared" si="7"/>
        <v>0</v>
      </c>
      <c r="N39" s="10">
        <f t="shared" si="7"/>
        <v>0</v>
      </c>
      <c r="O39" s="10">
        <f t="shared" si="7"/>
        <v>350</v>
      </c>
      <c r="P39" s="10">
        <f t="shared" si="7"/>
        <v>0</v>
      </c>
    </row>
    <row r="40" spans="1:16">
      <c r="A40" s="426">
        <v>6</v>
      </c>
      <c r="B40" s="427" t="s">
        <v>258</v>
      </c>
      <c r="C40" s="7" t="s">
        <v>260</v>
      </c>
      <c r="D40" s="433">
        <v>1</v>
      </c>
      <c r="E40" s="434">
        <v>20</v>
      </c>
      <c r="F40" s="429">
        <v>400</v>
      </c>
      <c r="G40" s="435">
        <f t="shared" si="1"/>
        <v>400</v>
      </c>
      <c r="H40" s="426">
        <f t="shared" si="2"/>
        <v>2</v>
      </c>
      <c r="I40" s="429">
        <f t="shared" si="3"/>
        <v>800</v>
      </c>
      <c r="J40" s="432">
        <f>I40</f>
        <v>800</v>
      </c>
      <c r="K40" s="432"/>
      <c r="L40" s="10">
        <f t="shared" si="7"/>
        <v>0</v>
      </c>
      <c r="M40" s="10">
        <f t="shared" si="7"/>
        <v>0</v>
      </c>
      <c r="N40" s="10">
        <f t="shared" si="7"/>
        <v>0</v>
      </c>
      <c r="O40" s="10">
        <f t="shared" si="7"/>
        <v>400</v>
      </c>
      <c r="P40" s="10">
        <f t="shared" si="7"/>
        <v>0</v>
      </c>
    </row>
    <row r="41" spans="1:16">
      <c r="A41" s="426">
        <v>6</v>
      </c>
      <c r="B41" s="427" t="s">
        <v>258</v>
      </c>
      <c r="C41" s="7" t="s">
        <v>261</v>
      </c>
      <c r="D41" s="433">
        <v>1</v>
      </c>
      <c r="E41" s="434">
        <v>10</v>
      </c>
      <c r="F41" s="429">
        <v>200</v>
      </c>
      <c r="G41" s="435">
        <f t="shared" si="1"/>
        <v>200</v>
      </c>
      <c r="H41" s="426">
        <f t="shared" si="2"/>
        <v>4</v>
      </c>
      <c r="I41" s="429">
        <f t="shared" si="3"/>
        <v>800</v>
      </c>
      <c r="J41" s="432"/>
      <c r="K41" s="432">
        <f>I41</f>
        <v>800</v>
      </c>
      <c r="L41" s="10">
        <f t="shared" si="7"/>
        <v>0</v>
      </c>
      <c r="M41" s="10">
        <f t="shared" si="7"/>
        <v>0</v>
      </c>
      <c r="N41" s="10">
        <f t="shared" si="7"/>
        <v>0</v>
      </c>
      <c r="O41" s="10">
        <f t="shared" si="7"/>
        <v>0</v>
      </c>
      <c r="P41" s="10">
        <f t="shared" si="7"/>
        <v>0</v>
      </c>
    </row>
    <row r="42" spans="1:16">
      <c r="A42" s="426">
        <v>6</v>
      </c>
      <c r="B42" s="427" t="s">
        <v>258</v>
      </c>
      <c r="C42" s="7" t="s">
        <v>262</v>
      </c>
      <c r="D42" s="433">
        <v>1</v>
      </c>
      <c r="E42" s="434">
        <v>5</v>
      </c>
      <c r="F42" s="429">
        <v>130</v>
      </c>
      <c r="G42" s="435">
        <f t="shared" si="1"/>
        <v>130</v>
      </c>
      <c r="H42" s="426">
        <f t="shared" si="2"/>
        <v>8</v>
      </c>
      <c r="I42" s="429">
        <f t="shared" si="3"/>
        <v>1040</v>
      </c>
      <c r="J42" s="432"/>
      <c r="K42" s="432">
        <f>I42</f>
        <v>1040</v>
      </c>
      <c r="L42" s="10">
        <f t="shared" si="7"/>
        <v>0</v>
      </c>
      <c r="M42" s="10">
        <f t="shared" si="7"/>
        <v>0</v>
      </c>
      <c r="N42" s="10">
        <f t="shared" si="7"/>
        <v>0</v>
      </c>
      <c r="O42" s="10">
        <f t="shared" si="7"/>
        <v>0</v>
      </c>
      <c r="P42" s="10">
        <f t="shared" si="7"/>
        <v>0</v>
      </c>
    </row>
    <row r="43" spans="1:16">
      <c r="A43" s="426">
        <v>6</v>
      </c>
      <c r="B43" s="427" t="s">
        <v>258</v>
      </c>
      <c r="C43" s="7" t="s">
        <v>263</v>
      </c>
      <c r="D43" s="433">
        <v>1</v>
      </c>
      <c r="E43" s="434">
        <v>5</v>
      </c>
      <c r="F43" s="429">
        <v>200</v>
      </c>
      <c r="G43" s="435">
        <f t="shared" si="1"/>
        <v>200</v>
      </c>
      <c r="H43" s="426">
        <f t="shared" si="2"/>
        <v>8</v>
      </c>
      <c r="I43" s="429">
        <f t="shared" si="3"/>
        <v>1600</v>
      </c>
      <c r="J43" s="432"/>
      <c r="K43" s="432">
        <f>I43</f>
        <v>1600</v>
      </c>
      <c r="L43" s="10">
        <f t="shared" si="7"/>
        <v>0</v>
      </c>
      <c r="M43" s="10">
        <f t="shared" si="7"/>
        <v>0</v>
      </c>
      <c r="N43" s="10">
        <f t="shared" si="7"/>
        <v>0</v>
      </c>
      <c r="O43" s="10">
        <f t="shared" si="7"/>
        <v>0</v>
      </c>
      <c r="P43" s="10">
        <f t="shared" si="7"/>
        <v>0</v>
      </c>
    </row>
    <row r="44" spans="1:16" hidden="1">
      <c r="A44" s="426">
        <v>7</v>
      </c>
      <c r="B44" s="436" t="s">
        <v>264</v>
      </c>
      <c r="C44" s="437" t="s">
        <v>256</v>
      </c>
      <c r="D44" s="433"/>
      <c r="E44" s="434"/>
      <c r="F44" s="429"/>
      <c r="G44" s="435"/>
      <c r="H44" s="426"/>
      <c r="I44" s="429"/>
      <c r="J44" s="432"/>
      <c r="K44" s="432"/>
      <c r="L44" s="10">
        <f t="shared" si="7"/>
        <v>0</v>
      </c>
      <c r="M44" s="10">
        <f t="shared" si="7"/>
        <v>0</v>
      </c>
      <c r="N44" s="10">
        <f t="shared" si="7"/>
        <v>0</v>
      </c>
      <c r="O44" s="10">
        <f t="shared" si="7"/>
        <v>0</v>
      </c>
      <c r="P44" s="10">
        <f t="shared" si="7"/>
        <v>0</v>
      </c>
    </row>
    <row r="45" spans="1:16" hidden="1">
      <c r="A45" s="426">
        <v>7</v>
      </c>
      <c r="B45" s="436" t="s">
        <v>264</v>
      </c>
      <c r="C45" s="437" t="s">
        <v>265</v>
      </c>
      <c r="D45" s="433"/>
      <c r="E45" s="434"/>
      <c r="F45" s="429"/>
      <c r="G45" s="435"/>
      <c r="H45" s="426"/>
      <c r="I45" s="429"/>
      <c r="J45" s="432"/>
      <c r="K45" s="432"/>
      <c r="L45" s="10">
        <f t="shared" si="7"/>
        <v>0</v>
      </c>
      <c r="M45" s="10">
        <f t="shared" si="7"/>
        <v>0</v>
      </c>
      <c r="N45" s="10">
        <f t="shared" si="7"/>
        <v>0</v>
      </c>
      <c r="O45" s="10">
        <f t="shared" si="7"/>
        <v>0</v>
      </c>
      <c r="P45" s="10">
        <f t="shared" si="7"/>
        <v>0</v>
      </c>
    </row>
    <row r="46" spans="1:16">
      <c r="A46" s="426">
        <v>8</v>
      </c>
      <c r="B46" s="427" t="s">
        <v>266</v>
      </c>
      <c r="C46" s="7" t="s">
        <v>260</v>
      </c>
      <c r="D46" s="433">
        <v>2</v>
      </c>
      <c r="E46" s="434">
        <v>20</v>
      </c>
      <c r="F46" s="429">
        <v>400</v>
      </c>
      <c r="G46" s="435">
        <f t="shared" si="1"/>
        <v>800</v>
      </c>
      <c r="H46" s="426">
        <f t="shared" si="2"/>
        <v>2</v>
      </c>
      <c r="I46" s="429">
        <f t="shared" si="3"/>
        <v>1600</v>
      </c>
      <c r="J46" s="432">
        <f>I46</f>
        <v>1600</v>
      </c>
      <c r="K46" s="432"/>
      <c r="L46" s="10">
        <f t="shared" si="7"/>
        <v>0</v>
      </c>
      <c r="M46" s="10">
        <f t="shared" si="7"/>
        <v>0</v>
      </c>
      <c r="N46" s="10">
        <f t="shared" si="7"/>
        <v>0</v>
      </c>
      <c r="O46" s="10">
        <f t="shared" si="7"/>
        <v>800</v>
      </c>
      <c r="P46" s="10">
        <f t="shared" si="7"/>
        <v>0</v>
      </c>
    </row>
    <row r="47" spans="1:16">
      <c r="A47" s="426">
        <v>8</v>
      </c>
      <c r="B47" s="427" t="s">
        <v>266</v>
      </c>
      <c r="C47" s="7" t="s">
        <v>241</v>
      </c>
      <c r="D47" s="433">
        <v>2</v>
      </c>
      <c r="E47" s="434">
        <v>20</v>
      </c>
      <c r="F47" s="429">
        <v>450</v>
      </c>
      <c r="G47" s="435">
        <f t="shared" si="1"/>
        <v>900</v>
      </c>
      <c r="H47" s="426">
        <f t="shared" si="2"/>
        <v>2</v>
      </c>
      <c r="I47" s="429">
        <f t="shared" si="3"/>
        <v>1800</v>
      </c>
      <c r="J47" s="432">
        <f>I47</f>
        <v>1800</v>
      </c>
      <c r="K47" s="432"/>
      <c r="L47" s="10">
        <f t="shared" si="7"/>
        <v>0</v>
      </c>
      <c r="M47" s="10">
        <f t="shared" si="7"/>
        <v>0</v>
      </c>
      <c r="N47" s="10">
        <f t="shared" si="7"/>
        <v>0</v>
      </c>
      <c r="O47" s="10">
        <f t="shared" si="7"/>
        <v>900</v>
      </c>
      <c r="P47" s="10">
        <f t="shared" si="7"/>
        <v>0</v>
      </c>
    </row>
    <row r="48" spans="1:16">
      <c r="A48" s="426">
        <v>8</v>
      </c>
      <c r="B48" s="427" t="s">
        <v>266</v>
      </c>
      <c r="C48" s="7" t="s">
        <v>267</v>
      </c>
      <c r="D48" s="433">
        <v>2</v>
      </c>
      <c r="E48" s="434">
        <v>20</v>
      </c>
      <c r="F48" s="429">
        <v>350</v>
      </c>
      <c r="G48" s="435">
        <f t="shared" si="1"/>
        <v>700</v>
      </c>
      <c r="H48" s="426">
        <f t="shared" si="2"/>
        <v>2</v>
      </c>
      <c r="I48" s="429">
        <f t="shared" si="3"/>
        <v>1400</v>
      </c>
      <c r="J48" s="432">
        <f>I48</f>
        <v>1400</v>
      </c>
      <c r="K48" s="432"/>
      <c r="L48" s="10">
        <f t="shared" si="7"/>
        <v>0</v>
      </c>
      <c r="M48" s="10">
        <f t="shared" si="7"/>
        <v>0</v>
      </c>
      <c r="N48" s="10">
        <f t="shared" si="7"/>
        <v>0</v>
      </c>
      <c r="O48" s="10">
        <f t="shared" si="7"/>
        <v>700</v>
      </c>
      <c r="P48" s="10">
        <f t="shared" si="7"/>
        <v>0</v>
      </c>
    </row>
    <row r="49" spans="1:16">
      <c r="A49" s="426">
        <v>8</v>
      </c>
      <c r="B49" s="427" t="s">
        <v>266</v>
      </c>
      <c r="C49" s="7" t="s">
        <v>268</v>
      </c>
      <c r="D49" s="433">
        <v>2</v>
      </c>
      <c r="E49" s="434">
        <v>20</v>
      </c>
      <c r="F49" s="429">
        <v>500</v>
      </c>
      <c r="G49" s="435">
        <f t="shared" si="1"/>
        <v>1000</v>
      </c>
      <c r="H49" s="426">
        <f t="shared" si="2"/>
        <v>2</v>
      </c>
      <c r="I49" s="429">
        <f t="shared" si="3"/>
        <v>2000</v>
      </c>
      <c r="J49" s="432"/>
      <c r="K49" s="432">
        <f>I49</f>
        <v>2000</v>
      </c>
      <c r="L49" s="10">
        <f t="shared" si="7"/>
        <v>0</v>
      </c>
      <c r="M49" s="10">
        <f t="shared" si="7"/>
        <v>0</v>
      </c>
      <c r="N49" s="10">
        <f t="shared" si="7"/>
        <v>0</v>
      </c>
      <c r="O49" s="10">
        <f t="shared" si="7"/>
        <v>0</v>
      </c>
      <c r="P49" s="10">
        <f t="shared" si="7"/>
        <v>0</v>
      </c>
    </row>
    <row r="50" spans="1:16">
      <c r="A50" s="426">
        <v>8</v>
      </c>
      <c r="B50" s="427" t="s">
        <v>266</v>
      </c>
      <c r="C50" s="7" t="s">
        <v>269</v>
      </c>
      <c r="D50" s="433">
        <v>2</v>
      </c>
      <c r="E50" s="434">
        <v>20</v>
      </c>
      <c r="F50" s="429">
        <v>500</v>
      </c>
      <c r="G50" s="435">
        <f t="shared" si="1"/>
        <v>1000</v>
      </c>
      <c r="H50" s="426">
        <f t="shared" si="2"/>
        <v>2</v>
      </c>
      <c r="I50" s="429">
        <f t="shared" si="3"/>
        <v>2000</v>
      </c>
      <c r="J50" s="432"/>
      <c r="K50" s="432">
        <f>I50</f>
        <v>2000</v>
      </c>
      <c r="L50" s="10">
        <f t="shared" si="7"/>
        <v>0</v>
      </c>
      <c r="M50" s="10">
        <f t="shared" si="7"/>
        <v>0</v>
      </c>
      <c r="N50" s="10">
        <f t="shared" si="7"/>
        <v>0</v>
      </c>
      <c r="O50" s="10">
        <f t="shared" si="7"/>
        <v>0</v>
      </c>
      <c r="P50" s="10">
        <f t="shared" si="7"/>
        <v>0</v>
      </c>
    </row>
    <row r="51" spans="1:16">
      <c r="A51" s="426">
        <v>8</v>
      </c>
      <c r="B51" s="427" t="s">
        <v>266</v>
      </c>
      <c r="C51" s="7" t="s">
        <v>241</v>
      </c>
      <c r="D51" s="433">
        <v>2</v>
      </c>
      <c r="E51" s="434">
        <v>20</v>
      </c>
      <c r="F51" s="429">
        <v>450</v>
      </c>
      <c r="G51" s="435">
        <f t="shared" si="1"/>
        <v>900</v>
      </c>
      <c r="H51" s="426">
        <f t="shared" si="2"/>
        <v>2</v>
      </c>
      <c r="I51" s="429">
        <f>H51*G51</f>
        <v>1800</v>
      </c>
      <c r="J51" s="432">
        <f>I51</f>
        <v>1800</v>
      </c>
      <c r="K51" s="432"/>
      <c r="L51" s="10">
        <f t="shared" si="7"/>
        <v>0</v>
      </c>
      <c r="M51" s="10">
        <f t="shared" si="7"/>
        <v>0</v>
      </c>
      <c r="N51" s="10">
        <f t="shared" si="7"/>
        <v>0</v>
      </c>
      <c r="O51" s="10">
        <f t="shared" si="7"/>
        <v>900</v>
      </c>
      <c r="P51" s="10">
        <f t="shared" si="7"/>
        <v>0</v>
      </c>
    </row>
    <row r="52" spans="1:16">
      <c r="A52" s="426">
        <v>8</v>
      </c>
      <c r="B52" s="427" t="s">
        <v>266</v>
      </c>
      <c r="C52" s="7" t="s">
        <v>262</v>
      </c>
      <c r="D52" s="433">
        <v>2</v>
      </c>
      <c r="E52" s="434">
        <v>5</v>
      </c>
      <c r="F52" s="429">
        <v>130</v>
      </c>
      <c r="G52" s="435">
        <f t="shared" si="1"/>
        <v>260</v>
      </c>
      <c r="H52" s="426">
        <f t="shared" si="2"/>
        <v>8</v>
      </c>
      <c r="I52" s="429">
        <f t="shared" si="3"/>
        <v>2080</v>
      </c>
      <c r="J52" s="432"/>
      <c r="K52" s="432">
        <f>I52</f>
        <v>2080</v>
      </c>
      <c r="L52" s="10">
        <f t="shared" si="7"/>
        <v>0</v>
      </c>
      <c r="M52" s="10">
        <f t="shared" si="7"/>
        <v>0</v>
      </c>
      <c r="N52" s="10">
        <f t="shared" si="7"/>
        <v>0</v>
      </c>
      <c r="O52" s="10">
        <f t="shared" si="7"/>
        <v>0</v>
      </c>
      <c r="P52" s="10">
        <f t="shared" si="7"/>
        <v>0</v>
      </c>
    </row>
    <row r="53" spans="1:16">
      <c r="A53" s="426">
        <v>8</v>
      </c>
      <c r="B53" s="427" t="s">
        <v>266</v>
      </c>
      <c r="C53" s="7" t="s">
        <v>270</v>
      </c>
      <c r="D53" s="433">
        <v>2</v>
      </c>
      <c r="E53" s="434">
        <v>10</v>
      </c>
      <c r="F53" s="429">
        <v>200</v>
      </c>
      <c r="G53" s="435">
        <f t="shared" si="1"/>
        <v>400</v>
      </c>
      <c r="H53" s="426">
        <f t="shared" si="2"/>
        <v>4</v>
      </c>
      <c r="I53" s="429">
        <f t="shared" si="3"/>
        <v>1600</v>
      </c>
      <c r="J53" s="432"/>
      <c r="K53" s="432">
        <f>I53</f>
        <v>1600</v>
      </c>
      <c r="L53" s="10">
        <f t="shared" si="7"/>
        <v>0</v>
      </c>
      <c r="M53" s="10">
        <f t="shared" si="7"/>
        <v>0</v>
      </c>
      <c r="N53" s="10">
        <f t="shared" si="7"/>
        <v>0</v>
      </c>
      <c r="O53" s="10">
        <f t="shared" si="7"/>
        <v>0</v>
      </c>
      <c r="P53" s="10">
        <f t="shared" si="7"/>
        <v>0</v>
      </c>
    </row>
    <row r="54" spans="1:16">
      <c r="A54" s="426">
        <v>9</v>
      </c>
      <c r="B54" s="427" t="s">
        <v>271</v>
      </c>
      <c r="C54" s="7" t="s">
        <v>259</v>
      </c>
      <c r="D54" s="433">
        <v>1</v>
      </c>
      <c r="E54" s="434">
        <v>20</v>
      </c>
      <c r="F54" s="429">
        <v>350</v>
      </c>
      <c r="G54" s="435">
        <f t="shared" si="1"/>
        <v>350</v>
      </c>
      <c r="H54" s="426">
        <f t="shared" si="2"/>
        <v>2</v>
      </c>
      <c r="I54" s="429">
        <f t="shared" si="3"/>
        <v>700</v>
      </c>
      <c r="J54" s="432">
        <f>I54</f>
        <v>700</v>
      </c>
      <c r="K54" s="432"/>
      <c r="L54" s="10">
        <f t="shared" si="7"/>
        <v>0</v>
      </c>
      <c r="M54" s="10">
        <f t="shared" si="7"/>
        <v>0</v>
      </c>
      <c r="N54" s="10">
        <f t="shared" si="7"/>
        <v>0</v>
      </c>
      <c r="O54" s="10">
        <f t="shared" si="7"/>
        <v>350</v>
      </c>
      <c r="P54" s="10">
        <f t="shared" si="7"/>
        <v>0</v>
      </c>
    </row>
    <row r="55" spans="1:16">
      <c r="A55" s="426">
        <v>9</v>
      </c>
      <c r="B55" s="427" t="s">
        <v>271</v>
      </c>
      <c r="C55" s="7" t="s">
        <v>260</v>
      </c>
      <c r="D55" s="433">
        <v>1</v>
      </c>
      <c r="E55" s="434">
        <v>20</v>
      </c>
      <c r="F55" s="429">
        <v>400</v>
      </c>
      <c r="G55" s="435">
        <f t="shared" si="1"/>
        <v>400</v>
      </c>
      <c r="H55" s="426">
        <f t="shared" si="2"/>
        <v>2</v>
      </c>
      <c r="I55" s="429">
        <f t="shared" si="3"/>
        <v>800</v>
      </c>
      <c r="J55" s="432">
        <f>I55</f>
        <v>800</v>
      </c>
      <c r="K55" s="432"/>
      <c r="L55" s="10">
        <f t="shared" si="7"/>
        <v>0</v>
      </c>
      <c r="M55" s="10">
        <f t="shared" si="7"/>
        <v>0</v>
      </c>
      <c r="N55" s="10">
        <f t="shared" si="7"/>
        <v>0</v>
      </c>
      <c r="O55" s="10">
        <f t="shared" si="7"/>
        <v>400</v>
      </c>
      <c r="P55" s="10">
        <f t="shared" si="7"/>
        <v>0</v>
      </c>
    </row>
    <row r="56" spans="1:16">
      <c r="A56" s="426">
        <v>9</v>
      </c>
      <c r="B56" s="427" t="s">
        <v>271</v>
      </c>
      <c r="C56" s="7" t="s">
        <v>261</v>
      </c>
      <c r="D56" s="433">
        <v>1</v>
      </c>
      <c r="E56" s="434">
        <v>15</v>
      </c>
      <c r="F56" s="429">
        <v>200</v>
      </c>
      <c r="G56" s="435">
        <f t="shared" si="1"/>
        <v>200</v>
      </c>
      <c r="H56" s="426">
        <f t="shared" si="2"/>
        <v>2</v>
      </c>
      <c r="I56" s="429">
        <f t="shared" si="3"/>
        <v>400</v>
      </c>
      <c r="J56" s="432"/>
      <c r="K56" s="432">
        <f>I56</f>
        <v>400</v>
      </c>
      <c r="L56" s="10">
        <f t="shared" ref="L56:P71" si="8">IF(AND($E56=L$2,$J56&lt;&gt;0),$G56,0)</f>
        <v>0</v>
      </c>
      <c r="M56" s="10">
        <f t="shared" si="8"/>
        <v>0</v>
      </c>
      <c r="N56" s="10">
        <f t="shared" si="8"/>
        <v>0</v>
      </c>
      <c r="O56" s="10">
        <f t="shared" si="8"/>
        <v>0</v>
      </c>
      <c r="P56" s="10">
        <f t="shared" si="8"/>
        <v>0</v>
      </c>
    </row>
    <row r="57" spans="1:16">
      <c r="A57" s="426">
        <v>9</v>
      </c>
      <c r="B57" s="427" t="s">
        <v>271</v>
      </c>
      <c r="C57" s="7" t="s">
        <v>262</v>
      </c>
      <c r="D57" s="433">
        <v>1</v>
      </c>
      <c r="E57" s="434">
        <v>5</v>
      </c>
      <c r="F57" s="429">
        <v>130</v>
      </c>
      <c r="G57" s="435">
        <f t="shared" si="1"/>
        <v>130</v>
      </c>
      <c r="H57" s="426">
        <f t="shared" si="2"/>
        <v>8</v>
      </c>
      <c r="I57" s="429">
        <f t="shared" si="3"/>
        <v>1040</v>
      </c>
      <c r="J57" s="432"/>
      <c r="K57" s="432">
        <f>I57</f>
        <v>1040</v>
      </c>
      <c r="L57" s="10">
        <f t="shared" si="8"/>
        <v>0</v>
      </c>
      <c r="M57" s="10">
        <f t="shared" si="8"/>
        <v>0</v>
      </c>
      <c r="N57" s="10">
        <f t="shared" si="8"/>
        <v>0</v>
      </c>
      <c r="O57" s="10">
        <f t="shared" si="8"/>
        <v>0</v>
      </c>
      <c r="P57" s="10">
        <f t="shared" si="8"/>
        <v>0</v>
      </c>
    </row>
    <row r="58" spans="1:16">
      <c r="A58" s="426">
        <v>9</v>
      </c>
      <c r="B58" s="427" t="s">
        <v>271</v>
      </c>
      <c r="C58" s="7" t="s">
        <v>263</v>
      </c>
      <c r="D58" s="433">
        <v>1</v>
      </c>
      <c r="E58" s="434">
        <v>5</v>
      </c>
      <c r="F58" s="429">
        <v>130</v>
      </c>
      <c r="G58" s="435">
        <f t="shared" si="1"/>
        <v>130</v>
      </c>
      <c r="H58" s="426">
        <f t="shared" si="2"/>
        <v>8</v>
      </c>
      <c r="I58" s="429">
        <f t="shared" si="3"/>
        <v>1040</v>
      </c>
      <c r="J58" s="432"/>
      <c r="K58" s="432">
        <f>I58</f>
        <v>1040</v>
      </c>
      <c r="L58" s="10">
        <f t="shared" si="8"/>
        <v>0</v>
      </c>
      <c r="M58" s="10">
        <f t="shared" si="8"/>
        <v>0</v>
      </c>
      <c r="N58" s="10">
        <f t="shared" si="8"/>
        <v>0</v>
      </c>
      <c r="O58" s="10">
        <f t="shared" si="8"/>
        <v>0</v>
      </c>
      <c r="P58" s="10">
        <f t="shared" si="8"/>
        <v>0</v>
      </c>
    </row>
    <row r="59" spans="1:16">
      <c r="A59" s="426">
        <v>10</v>
      </c>
      <c r="B59" s="427" t="s">
        <v>272</v>
      </c>
      <c r="C59" s="7" t="s">
        <v>273</v>
      </c>
      <c r="D59" s="433">
        <v>2</v>
      </c>
      <c r="E59" s="434">
        <v>25</v>
      </c>
      <c r="F59" s="429">
        <v>1000</v>
      </c>
      <c r="G59" s="435">
        <f t="shared" si="1"/>
        <v>2000</v>
      </c>
      <c r="H59" s="426">
        <f t="shared" si="2"/>
        <v>1</v>
      </c>
      <c r="I59" s="429">
        <f t="shared" si="3"/>
        <v>2000</v>
      </c>
      <c r="J59" s="432"/>
      <c r="K59" s="432">
        <f>I59</f>
        <v>2000</v>
      </c>
      <c r="L59" s="10">
        <f t="shared" si="8"/>
        <v>0</v>
      </c>
      <c r="M59" s="10">
        <f t="shared" si="8"/>
        <v>0</v>
      </c>
      <c r="N59" s="10">
        <f t="shared" si="8"/>
        <v>0</v>
      </c>
      <c r="O59" s="10">
        <f t="shared" si="8"/>
        <v>0</v>
      </c>
      <c r="P59" s="10">
        <f t="shared" si="8"/>
        <v>0</v>
      </c>
    </row>
    <row r="60" spans="1:16">
      <c r="A60" s="426">
        <v>11</v>
      </c>
      <c r="B60" s="427" t="s">
        <v>274</v>
      </c>
      <c r="C60" s="7" t="s">
        <v>275</v>
      </c>
      <c r="D60" s="433">
        <v>5</v>
      </c>
      <c r="E60" s="434">
        <v>25</v>
      </c>
      <c r="F60" s="429">
        <v>1000</v>
      </c>
      <c r="G60" s="435">
        <f t="shared" si="1"/>
        <v>5000</v>
      </c>
      <c r="H60" s="426">
        <f t="shared" si="2"/>
        <v>1</v>
      </c>
      <c r="I60" s="429">
        <f t="shared" si="3"/>
        <v>5000</v>
      </c>
      <c r="J60" s="432"/>
      <c r="K60" s="432">
        <f>I60</f>
        <v>5000</v>
      </c>
      <c r="L60" s="10">
        <f t="shared" si="8"/>
        <v>0</v>
      </c>
      <c r="M60" s="10">
        <f t="shared" si="8"/>
        <v>0</v>
      </c>
      <c r="N60" s="10">
        <f t="shared" si="8"/>
        <v>0</v>
      </c>
      <c r="O60" s="10">
        <f t="shared" si="8"/>
        <v>0</v>
      </c>
      <c r="P60" s="10">
        <f t="shared" si="8"/>
        <v>0</v>
      </c>
    </row>
    <row r="61" spans="1:16" hidden="1">
      <c r="A61" s="426">
        <v>12</v>
      </c>
      <c r="B61" s="436" t="s">
        <v>276</v>
      </c>
      <c r="C61" s="437" t="s">
        <v>277</v>
      </c>
      <c r="D61" s="433"/>
      <c r="E61" s="434"/>
      <c r="F61" s="429"/>
      <c r="G61" s="435"/>
      <c r="H61" s="426"/>
      <c r="I61" s="429"/>
      <c r="J61" s="432"/>
      <c r="K61" s="432"/>
      <c r="L61" s="10">
        <f t="shared" si="8"/>
        <v>0</v>
      </c>
      <c r="M61" s="10">
        <f t="shared" si="8"/>
        <v>0</v>
      </c>
      <c r="N61" s="10">
        <f t="shared" si="8"/>
        <v>0</v>
      </c>
      <c r="O61" s="10">
        <f t="shared" si="8"/>
        <v>0</v>
      </c>
      <c r="P61" s="10">
        <f t="shared" si="8"/>
        <v>0</v>
      </c>
    </row>
    <row r="62" spans="1:16" hidden="1">
      <c r="A62" s="426">
        <v>12</v>
      </c>
      <c r="B62" s="436" t="s">
        <v>276</v>
      </c>
      <c r="C62" s="437" t="s">
        <v>278</v>
      </c>
      <c r="D62" s="433"/>
      <c r="E62" s="434"/>
      <c r="F62" s="429"/>
      <c r="G62" s="435"/>
      <c r="H62" s="426"/>
      <c r="I62" s="429"/>
      <c r="J62" s="432"/>
      <c r="K62" s="432"/>
      <c r="L62" s="10">
        <f t="shared" si="8"/>
        <v>0</v>
      </c>
      <c r="M62" s="10">
        <f t="shared" si="8"/>
        <v>0</v>
      </c>
      <c r="N62" s="10">
        <f t="shared" si="8"/>
        <v>0</v>
      </c>
      <c r="O62" s="10">
        <f t="shared" si="8"/>
        <v>0</v>
      </c>
      <c r="P62" s="10">
        <f t="shared" si="8"/>
        <v>0</v>
      </c>
    </row>
    <row r="63" spans="1:16">
      <c r="A63" s="426">
        <v>13</v>
      </c>
      <c r="B63" s="427" t="s">
        <v>279</v>
      </c>
      <c r="C63" s="7" t="s">
        <v>236</v>
      </c>
      <c r="D63" s="433">
        <v>1</v>
      </c>
      <c r="E63" s="434">
        <v>20</v>
      </c>
      <c r="F63" s="429">
        <v>230</v>
      </c>
      <c r="G63" s="435">
        <f t="shared" si="1"/>
        <v>230</v>
      </c>
      <c r="H63" s="426">
        <f t="shared" si="2"/>
        <v>2</v>
      </c>
      <c r="I63" s="429">
        <f t="shared" si="3"/>
        <v>460</v>
      </c>
      <c r="J63" s="432">
        <f>I63</f>
        <v>460</v>
      </c>
      <c r="K63" s="432"/>
      <c r="L63" s="10">
        <f t="shared" si="8"/>
        <v>0</v>
      </c>
      <c r="M63" s="10">
        <f t="shared" si="8"/>
        <v>0</v>
      </c>
      <c r="N63" s="10">
        <f t="shared" si="8"/>
        <v>0</v>
      </c>
      <c r="O63" s="10">
        <f t="shared" si="8"/>
        <v>230</v>
      </c>
      <c r="P63" s="10">
        <f t="shared" si="8"/>
        <v>0</v>
      </c>
    </row>
    <row r="64" spans="1:16">
      <c r="A64" s="426">
        <v>13</v>
      </c>
      <c r="B64" s="427" t="s">
        <v>279</v>
      </c>
      <c r="C64" s="7" t="s">
        <v>280</v>
      </c>
      <c r="D64" s="433">
        <v>1</v>
      </c>
      <c r="E64" s="434">
        <v>25</v>
      </c>
      <c r="F64" s="429">
        <v>1000</v>
      </c>
      <c r="G64" s="435">
        <f t="shared" si="1"/>
        <v>1000</v>
      </c>
      <c r="H64" s="426">
        <f t="shared" si="2"/>
        <v>1</v>
      </c>
      <c r="I64" s="429">
        <f t="shared" si="3"/>
        <v>1000</v>
      </c>
      <c r="J64" s="432"/>
      <c r="K64" s="432">
        <f>I64</f>
        <v>1000</v>
      </c>
      <c r="L64" s="10">
        <f t="shared" si="8"/>
        <v>0</v>
      </c>
      <c r="M64" s="10">
        <f t="shared" si="8"/>
        <v>0</v>
      </c>
      <c r="N64" s="10">
        <f t="shared" si="8"/>
        <v>0</v>
      </c>
      <c r="O64" s="10">
        <f t="shared" si="8"/>
        <v>0</v>
      </c>
      <c r="P64" s="10">
        <f t="shared" si="8"/>
        <v>0</v>
      </c>
    </row>
    <row r="65" spans="1:17">
      <c r="A65" s="426">
        <v>13</v>
      </c>
      <c r="B65" s="427" t="s">
        <v>279</v>
      </c>
      <c r="C65" s="7" t="s">
        <v>281</v>
      </c>
      <c r="D65" s="433">
        <v>1</v>
      </c>
      <c r="E65" s="434">
        <v>25</v>
      </c>
      <c r="F65" s="429">
        <v>1000</v>
      </c>
      <c r="G65" s="435">
        <f t="shared" si="1"/>
        <v>1000</v>
      </c>
      <c r="H65" s="426">
        <f t="shared" si="2"/>
        <v>1</v>
      </c>
      <c r="I65" s="429">
        <f t="shared" si="3"/>
        <v>1000</v>
      </c>
      <c r="J65" s="432"/>
      <c r="K65" s="432">
        <f>I65</f>
        <v>1000</v>
      </c>
      <c r="L65" s="10">
        <f t="shared" si="8"/>
        <v>0</v>
      </c>
      <c r="M65" s="10">
        <f t="shared" si="8"/>
        <v>0</v>
      </c>
      <c r="N65" s="10">
        <f t="shared" si="8"/>
        <v>0</v>
      </c>
      <c r="O65" s="10">
        <f t="shared" si="8"/>
        <v>0</v>
      </c>
      <c r="P65" s="10">
        <f t="shared" si="8"/>
        <v>0</v>
      </c>
    </row>
    <row r="66" spans="1:17">
      <c r="A66" s="426">
        <v>13</v>
      </c>
      <c r="B66" s="427" t="s">
        <v>279</v>
      </c>
      <c r="C66" s="7" t="s">
        <v>282</v>
      </c>
      <c r="D66" s="433">
        <v>1</v>
      </c>
      <c r="E66" s="434">
        <v>25</v>
      </c>
      <c r="F66" s="429">
        <v>1000</v>
      </c>
      <c r="G66" s="435">
        <f t="shared" si="1"/>
        <v>1000</v>
      </c>
      <c r="H66" s="426">
        <f t="shared" si="2"/>
        <v>1</v>
      </c>
      <c r="I66" s="429">
        <f>H66*G66</f>
        <v>1000</v>
      </c>
      <c r="J66" s="432"/>
      <c r="K66" s="432">
        <f>I66</f>
        <v>1000</v>
      </c>
      <c r="L66" s="10">
        <f t="shared" si="8"/>
        <v>0</v>
      </c>
      <c r="M66" s="10">
        <f t="shared" si="8"/>
        <v>0</v>
      </c>
      <c r="N66" s="10">
        <f t="shared" si="8"/>
        <v>0</v>
      </c>
      <c r="O66" s="10">
        <f t="shared" si="8"/>
        <v>0</v>
      </c>
      <c r="P66" s="10">
        <f t="shared" si="8"/>
        <v>0</v>
      </c>
    </row>
    <row r="67" spans="1:17">
      <c r="A67" s="426">
        <v>14</v>
      </c>
      <c r="B67" s="427" t="s">
        <v>283</v>
      </c>
      <c r="C67" s="7" t="s">
        <v>284</v>
      </c>
      <c r="D67" s="433">
        <v>1</v>
      </c>
      <c r="E67" s="434">
        <v>25</v>
      </c>
      <c r="F67" s="429">
        <v>1000</v>
      </c>
      <c r="G67" s="435">
        <f t="shared" si="1"/>
        <v>1000</v>
      </c>
      <c r="H67" s="426">
        <f t="shared" si="2"/>
        <v>1</v>
      </c>
      <c r="I67" s="429">
        <f t="shared" si="3"/>
        <v>1000</v>
      </c>
      <c r="J67" s="432"/>
      <c r="K67" s="432">
        <f>I67</f>
        <v>1000</v>
      </c>
      <c r="L67" s="10">
        <f t="shared" si="8"/>
        <v>0</v>
      </c>
      <c r="M67" s="10">
        <f t="shared" si="8"/>
        <v>0</v>
      </c>
      <c r="N67" s="10">
        <f t="shared" si="8"/>
        <v>0</v>
      </c>
      <c r="O67" s="10">
        <f t="shared" si="8"/>
        <v>0</v>
      </c>
      <c r="P67" s="10">
        <f t="shared" si="8"/>
        <v>0</v>
      </c>
    </row>
    <row r="68" spans="1:17">
      <c r="A68" s="426">
        <v>15</v>
      </c>
      <c r="B68" s="427" t="s">
        <v>285</v>
      </c>
      <c r="C68" s="7" t="s">
        <v>286</v>
      </c>
      <c r="D68" s="433">
        <v>0</v>
      </c>
      <c r="E68" s="434"/>
      <c r="F68" s="429"/>
      <c r="G68" s="435">
        <f t="shared" ref="G68:G73" si="9">+D68*F68</f>
        <v>0</v>
      </c>
      <c r="H68" s="426"/>
      <c r="I68" s="429">
        <f t="shared" si="3"/>
        <v>0</v>
      </c>
      <c r="J68" s="432"/>
      <c r="K68" s="432" t="s">
        <v>40</v>
      </c>
      <c r="L68" s="10">
        <f t="shared" si="8"/>
        <v>0</v>
      </c>
      <c r="M68" s="10">
        <f t="shared" si="8"/>
        <v>0</v>
      </c>
      <c r="N68" s="10">
        <f t="shared" si="8"/>
        <v>0</v>
      </c>
      <c r="O68" s="10">
        <f t="shared" si="8"/>
        <v>0</v>
      </c>
      <c r="P68" s="10">
        <f t="shared" si="8"/>
        <v>0</v>
      </c>
    </row>
    <row r="69" spans="1:17">
      <c r="A69" s="426">
        <v>16</v>
      </c>
      <c r="B69" s="427" t="s">
        <v>287</v>
      </c>
      <c r="C69" s="7" t="s">
        <v>288</v>
      </c>
      <c r="D69" s="433">
        <v>0</v>
      </c>
      <c r="E69" s="434"/>
      <c r="F69" s="429"/>
      <c r="G69" s="435">
        <f t="shared" si="9"/>
        <v>0</v>
      </c>
      <c r="H69" s="426"/>
      <c r="I69" s="429">
        <f>H69*G69</f>
        <v>0</v>
      </c>
      <c r="J69" s="432"/>
      <c r="K69" s="432" t="s">
        <v>40</v>
      </c>
      <c r="L69" s="10">
        <f t="shared" si="8"/>
        <v>0</v>
      </c>
      <c r="M69" s="10">
        <f t="shared" si="8"/>
        <v>0</v>
      </c>
      <c r="N69" s="10">
        <f t="shared" si="8"/>
        <v>0</v>
      </c>
      <c r="O69" s="10">
        <f t="shared" si="8"/>
        <v>0</v>
      </c>
      <c r="P69" s="10">
        <f t="shared" si="8"/>
        <v>0</v>
      </c>
    </row>
    <row r="70" spans="1:17">
      <c r="A70" s="426">
        <v>17</v>
      </c>
      <c r="B70" s="427" t="s">
        <v>289</v>
      </c>
      <c r="C70" s="7" t="s">
        <v>229</v>
      </c>
      <c r="D70" s="433">
        <v>5</v>
      </c>
      <c r="E70" s="434">
        <v>25</v>
      </c>
      <c r="F70" s="429">
        <v>900</v>
      </c>
      <c r="G70" s="435">
        <f t="shared" si="9"/>
        <v>4500</v>
      </c>
      <c r="H70" s="426">
        <f>INT(40/E70)</f>
        <v>1</v>
      </c>
      <c r="I70" s="429">
        <f>H70*G70</f>
        <v>4500</v>
      </c>
      <c r="J70" s="432"/>
      <c r="K70" s="432">
        <f>I70</f>
        <v>4500</v>
      </c>
      <c r="L70" s="10">
        <f t="shared" si="8"/>
        <v>0</v>
      </c>
      <c r="M70" s="10">
        <f t="shared" si="8"/>
        <v>0</v>
      </c>
      <c r="N70" s="10">
        <f t="shared" si="8"/>
        <v>0</v>
      </c>
      <c r="O70" s="10">
        <f t="shared" si="8"/>
        <v>0</v>
      </c>
      <c r="P70" s="10">
        <f t="shared" si="8"/>
        <v>0</v>
      </c>
    </row>
    <row r="71" spans="1:17">
      <c r="A71" s="426">
        <v>17</v>
      </c>
      <c r="B71" s="427" t="s">
        <v>289</v>
      </c>
      <c r="C71" s="7" t="s">
        <v>290</v>
      </c>
      <c r="D71" s="433">
        <v>5</v>
      </c>
      <c r="E71" s="434">
        <v>15</v>
      </c>
      <c r="F71" s="429">
        <v>850</v>
      </c>
      <c r="G71" s="435">
        <f t="shared" si="9"/>
        <v>4250</v>
      </c>
      <c r="H71" s="426">
        <f>INT(40/E71)</f>
        <v>2</v>
      </c>
      <c r="I71" s="429">
        <f>H71*G71</f>
        <v>8500</v>
      </c>
      <c r="J71" s="432"/>
      <c r="K71" s="432">
        <f>I71</f>
        <v>8500</v>
      </c>
      <c r="L71" s="10">
        <f t="shared" si="8"/>
        <v>0</v>
      </c>
      <c r="M71" s="10">
        <f t="shared" si="8"/>
        <v>0</v>
      </c>
      <c r="N71" s="10">
        <f t="shared" si="8"/>
        <v>0</v>
      </c>
      <c r="O71" s="10">
        <f t="shared" si="8"/>
        <v>0</v>
      </c>
      <c r="P71" s="10">
        <f t="shared" si="8"/>
        <v>0</v>
      </c>
    </row>
    <row r="72" spans="1:17">
      <c r="A72" s="426">
        <v>17</v>
      </c>
      <c r="B72" s="427" t="s">
        <v>289</v>
      </c>
      <c r="C72" s="7" t="s">
        <v>291</v>
      </c>
      <c r="D72" s="433">
        <v>0</v>
      </c>
      <c r="E72" s="434"/>
      <c r="F72" s="429">
        <v>200</v>
      </c>
      <c r="G72" s="435">
        <f t="shared" si="9"/>
        <v>0</v>
      </c>
      <c r="H72" s="426"/>
      <c r="I72" s="429">
        <f>H72*G72</f>
        <v>0</v>
      </c>
      <c r="J72" s="432"/>
      <c r="K72" s="432" t="s">
        <v>40</v>
      </c>
      <c r="L72" s="10">
        <f t="shared" ref="L72:P73" si="10">IF(AND($E72=L$2,$J72&lt;&gt;0),$G72,0)</f>
        <v>0</v>
      </c>
      <c r="M72" s="10">
        <f t="shared" si="10"/>
        <v>0</v>
      </c>
      <c r="N72" s="10">
        <f t="shared" si="10"/>
        <v>0</v>
      </c>
      <c r="O72" s="10">
        <f t="shared" si="10"/>
        <v>0</v>
      </c>
      <c r="P72" s="10">
        <f t="shared" si="10"/>
        <v>0</v>
      </c>
    </row>
    <row r="73" spans="1:17">
      <c r="A73" s="438">
        <v>17</v>
      </c>
      <c r="B73" s="193" t="s">
        <v>289</v>
      </c>
      <c r="C73" s="439" t="s">
        <v>292</v>
      </c>
      <c r="D73" s="135">
        <v>0</v>
      </c>
      <c r="E73" s="440"/>
      <c r="F73" s="441">
        <v>100</v>
      </c>
      <c r="G73" s="442">
        <f t="shared" si="9"/>
        <v>0</v>
      </c>
      <c r="H73" s="443"/>
      <c r="I73" s="429">
        <f>H73*G73</f>
        <v>0</v>
      </c>
      <c r="J73" s="444"/>
      <c r="K73" s="444" t="s">
        <v>40</v>
      </c>
      <c r="L73" s="10">
        <f t="shared" si="10"/>
        <v>0</v>
      </c>
      <c r="M73" s="10">
        <f t="shared" si="10"/>
        <v>0</v>
      </c>
      <c r="N73" s="10">
        <f t="shared" si="10"/>
        <v>0</v>
      </c>
      <c r="O73" s="10">
        <f t="shared" si="10"/>
        <v>0</v>
      </c>
      <c r="P73" s="10">
        <f t="shared" si="10"/>
        <v>0</v>
      </c>
    </row>
    <row r="74" spans="1:17">
      <c r="A74" s="443"/>
      <c r="B74" s="193"/>
      <c r="C74" s="193"/>
      <c r="D74" s="441"/>
      <c r="E74" s="441"/>
      <c r="F74" s="441"/>
      <c r="G74" s="441"/>
      <c r="H74" s="441"/>
      <c r="I74" s="445">
        <f t="shared" ref="I74:P74" si="11">SUM(I3:I73)</f>
        <v>1859730</v>
      </c>
      <c r="J74" s="444">
        <f>SUM(J3:J73)</f>
        <v>489790</v>
      </c>
      <c r="K74" s="444">
        <f>SUM(K3:K73)</f>
        <v>1369940</v>
      </c>
      <c r="L74" s="10">
        <f t="shared" si="11"/>
        <v>0</v>
      </c>
      <c r="M74" s="10">
        <f t="shared" si="11"/>
        <v>500</v>
      </c>
      <c r="N74" s="10">
        <f t="shared" si="11"/>
        <v>90000</v>
      </c>
      <c r="O74" s="10">
        <f t="shared" si="11"/>
        <v>49680</v>
      </c>
      <c r="P74" s="10">
        <f t="shared" si="11"/>
        <v>208430</v>
      </c>
    </row>
    <row r="75" spans="1:17">
      <c r="M75" s="11">
        <f>M74*INT(40/M2)</f>
        <v>2000</v>
      </c>
      <c r="N75" s="11">
        <f>N74*INT(40/N2)</f>
        <v>180000</v>
      </c>
      <c r="O75" s="11">
        <f>O74*INT(40/O2)</f>
        <v>99360</v>
      </c>
      <c r="P75" s="11">
        <f>P74*INT(40/P2)</f>
        <v>208430</v>
      </c>
      <c r="Q75" s="11">
        <f>SUM(M75:P75)</f>
        <v>489790</v>
      </c>
    </row>
    <row r="76" spans="1:17">
      <c r="J76" s="446"/>
    </row>
    <row r="80" spans="1:17">
      <c r="J80" s="419">
        <f>J74*0.8*1.021</f>
        <v>400060.47199999995</v>
      </c>
    </row>
  </sheetData>
  <pageMargins left="0.70866141732283472" right="0.70866141732283472" top="0.74803149606299213" bottom="0.74803149606299213" header="0.31496062992125984" footer="0.31496062992125984"/>
  <pageSetup paperSize="9" scale="58" orientation="portrait" r:id="rId1"/>
  <headerFooter>
    <oddHeader>&amp;LSODEGIS&amp;CEQUIPEMENTS
RESIDENCE UNIVERSITAIRE
CAMPUS UNIVERSITAIRE DE SAINT-PIERRE
ANNEXE 1&amp;RPLS
VD</oddHeader>
  </headerFooter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F0"/>
    <pageSetUpPr fitToPage="1"/>
  </sheetPr>
  <dimension ref="A1:O33"/>
  <sheetViews>
    <sheetView zoomScale="70" zoomScaleNormal="70" workbookViewId="0">
      <selection activeCell="G9" sqref="G9"/>
    </sheetView>
  </sheetViews>
  <sheetFormatPr baseColWidth="10" defaultRowHeight="12.75"/>
  <cols>
    <col min="1" max="1" width="22.42578125" style="6" bestFit="1" customWidth="1"/>
    <col min="2" max="2" width="3.140625" style="418" bestFit="1" customWidth="1"/>
    <col min="3" max="3" width="28.140625" style="418" bestFit="1" customWidth="1"/>
    <col min="4" max="4" width="29.42578125" style="418" bestFit="1" customWidth="1"/>
    <col min="5" max="5" width="27.28515625" style="418" bestFit="1" customWidth="1"/>
    <col min="6" max="6" width="6.42578125" style="471" hidden="1" customWidth="1"/>
    <col min="7" max="7" width="10.140625" style="471" bestFit="1" customWidth="1"/>
    <col min="8" max="8" width="11.5703125" style="471" customWidth="1"/>
    <col min="9" max="9" width="13.42578125" style="471" bestFit="1" customWidth="1"/>
    <col min="10" max="10" width="14.28515625" style="471" customWidth="1"/>
    <col min="11" max="11" width="8.5703125" style="471" customWidth="1"/>
    <col min="12" max="12" width="17.140625" style="471" customWidth="1"/>
    <col min="13" max="14" width="0" style="471" hidden="1" customWidth="1"/>
    <col min="15" max="256" width="11.42578125" style="418"/>
    <col min="257" max="257" width="22.42578125" style="418" bestFit="1" customWidth="1"/>
    <col min="258" max="258" width="3.140625" style="418" bestFit="1" customWidth="1"/>
    <col min="259" max="259" width="28.140625" style="418" bestFit="1" customWidth="1"/>
    <col min="260" max="260" width="29.42578125" style="418" bestFit="1" customWidth="1"/>
    <col min="261" max="261" width="27.28515625" style="418" bestFit="1" customWidth="1"/>
    <col min="262" max="262" width="0" style="418" hidden="1" customWidth="1"/>
    <col min="263" max="263" width="10.140625" style="418" bestFit="1" customWidth="1"/>
    <col min="264" max="264" width="11.5703125" style="418" customWidth="1"/>
    <col min="265" max="265" width="13.42578125" style="418" bestFit="1" customWidth="1"/>
    <col min="266" max="266" width="14.28515625" style="418" customWidth="1"/>
    <col min="267" max="267" width="8.5703125" style="418" customWidth="1"/>
    <col min="268" max="268" width="17.140625" style="418" customWidth="1"/>
    <col min="269" max="270" width="0" style="418" hidden="1" customWidth="1"/>
    <col min="271" max="512" width="11.42578125" style="418"/>
    <col min="513" max="513" width="22.42578125" style="418" bestFit="1" customWidth="1"/>
    <col min="514" max="514" width="3.140625" style="418" bestFit="1" customWidth="1"/>
    <col min="515" max="515" width="28.140625" style="418" bestFit="1" customWidth="1"/>
    <col min="516" max="516" width="29.42578125" style="418" bestFit="1" customWidth="1"/>
    <col min="517" max="517" width="27.28515625" style="418" bestFit="1" customWidth="1"/>
    <col min="518" max="518" width="0" style="418" hidden="1" customWidth="1"/>
    <col min="519" max="519" width="10.140625" style="418" bestFit="1" customWidth="1"/>
    <col min="520" max="520" width="11.5703125" style="418" customWidth="1"/>
    <col min="521" max="521" width="13.42578125" style="418" bestFit="1" customWidth="1"/>
    <col min="522" max="522" width="14.28515625" style="418" customWidth="1"/>
    <col min="523" max="523" width="8.5703125" style="418" customWidth="1"/>
    <col min="524" max="524" width="17.140625" style="418" customWidth="1"/>
    <col min="525" max="526" width="0" style="418" hidden="1" customWidth="1"/>
    <col min="527" max="768" width="11.42578125" style="418"/>
    <col min="769" max="769" width="22.42578125" style="418" bestFit="1" customWidth="1"/>
    <col min="770" max="770" width="3.140625" style="418" bestFit="1" customWidth="1"/>
    <col min="771" max="771" width="28.140625" style="418" bestFit="1" customWidth="1"/>
    <col min="772" max="772" width="29.42578125" style="418" bestFit="1" customWidth="1"/>
    <col min="773" max="773" width="27.28515625" style="418" bestFit="1" customWidth="1"/>
    <col min="774" max="774" width="0" style="418" hidden="1" customWidth="1"/>
    <col min="775" max="775" width="10.140625" style="418" bestFit="1" customWidth="1"/>
    <col min="776" max="776" width="11.5703125" style="418" customWidth="1"/>
    <col min="777" max="777" width="13.42578125" style="418" bestFit="1" customWidth="1"/>
    <col min="778" max="778" width="14.28515625" style="418" customWidth="1"/>
    <col min="779" max="779" width="8.5703125" style="418" customWidth="1"/>
    <col min="780" max="780" width="17.140625" style="418" customWidth="1"/>
    <col min="781" max="782" width="0" style="418" hidden="1" customWidth="1"/>
    <col min="783" max="1024" width="11.42578125" style="418"/>
    <col min="1025" max="1025" width="22.42578125" style="418" bestFit="1" customWidth="1"/>
    <col min="1026" max="1026" width="3.140625" style="418" bestFit="1" customWidth="1"/>
    <col min="1027" max="1027" width="28.140625" style="418" bestFit="1" customWidth="1"/>
    <col min="1028" max="1028" width="29.42578125" style="418" bestFit="1" customWidth="1"/>
    <col min="1029" max="1029" width="27.28515625" style="418" bestFit="1" customWidth="1"/>
    <col min="1030" max="1030" width="0" style="418" hidden="1" customWidth="1"/>
    <col min="1031" max="1031" width="10.140625" style="418" bestFit="1" customWidth="1"/>
    <col min="1032" max="1032" width="11.5703125" style="418" customWidth="1"/>
    <col min="1033" max="1033" width="13.42578125" style="418" bestFit="1" customWidth="1"/>
    <col min="1034" max="1034" width="14.28515625" style="418" customWidth="1"/>
    <col min="1035" max="1035" width="8.5703125" style="418" customWidth="1"/>
    <col min="1036" max="1036" width="17.140625" style="418" customWidth="1"/>
    <col min="1037" max="1038" width="0" style="418" hidden="1" customWidth="1"/>
    <col min="1039" max="1280" width="11.42578125" style="418"/>
    <col min="1281" max="1281" width="22.42578125" style="418" bestFit="1" customWidth="1"/>
    <col min="1282" max="1282" width="3.140625" style="418" bestFit="1" customWidth="1"/>
    <col min="1283" max="1283" width="28.140625" style="418" bestFit="1" customWidth="1"/>
    <col min="1284" max="1284" width="29.42578125" style="418" bestFit="1" customWidth="1"/>
    <col min="1285" max="1285" width="27.28515625" style="418" bestFit="1" customWidth="1"/>
    <col min="1286" max="1286" width="0" style="418" hidden="1" customWidth="1"/>
    <col min="1287" max="1287" width="10.140625" style="418" bestFit="1" customWidth="1"/>
    <col min="1288" max="1288" width="11.5703125" style="418" customWidth="1"/>
    <col min="1289" max="1289" width="13.42578125" style="418" bestFit="1" customWidth="1"/>
    <col min="1290" max="1290" width="14.28515625" style="418" customWidth="1"/>
    <col min="1291" max="1291" width="8.5703125" style="418" customWidth="1"/>
    <col min="1292" max="1292" width="17.140625" style="418" customWidth="1"/>
    <col min="1293" max="1294" width="0" style="418" hidden="1" customWidth="1"/>
    <col min="1295" max="1536" width="11.42578125" style="418"/>
    <col min="1537" max="1537" width="22.42578125" style="418" bestFit="1" customWidth="1"/>
    <col min="1538" max="1538" width="3.140625" style="418" bestFit="1" customWidth="1"/>
    <col min="1539" max="1539" width="28.140625" style="418" bestFit="1" customWidth="1"/>
    <col min="1540" max="1540" width="29.42578125" style="418" bestFit="1" customWidth="1"/>
    <col min="1541" max="1541" width="27.28515625" style="418" bestFit="1" customWidth="1"/>
    <col min="1542" max="1542" width="0" style="418" hidden="1" customWidth="1"/>
    <col min="1543" max="1543" width="10.140625" style="418" bestFit="1" customWidth="1"/>
    <col min="1544" max="1544" width="11.5703125" style="418" customWidth="1"/>
    <col min="1545" max="1545" width="13.42578125" style="418" bestFit="1" customWidth="1"/>
    <col min="1546" max="1546" width="14.28515625" style="418" customWidth="1"/>
    <col min="1547" max="1547" width="8.5703125" style="418" customWidth="1"/>
    <col min="1548" max="1548" width="17.140625" style="418" customWidth="1"/>
    <col min="1549" max="1550" width="0" style="418" hidden="1" customWidth="1"/>
    <col min="1551" max="1792" width="11.42578125" style="418"/>
    <col min="1793" max="1793" width="22.42578125" style="418" bestFit="1" customWidth="1"/>
    <col min="1794" max="1794" width="3.140625" style="418" bestFit="1" customWidth="1"/>
    <col min="1795" max="1795" width="28.140625" style="418" bestFit="1" customWidth="1"/>
    <col min="1796" max="1796" width="29.42578125" style="418" bestFit="1" customWidth="1"/>
    <col min="1797" max="1797" width="27.28515625" style="418" bestFit="1" customWidth="1"/>
    <col min="1798" max="1798" width="0" style="418" hidden="1" customWidth="1"/>
    <col min="1799" max="1799" width="10.140625" style="418" bestFit="1" customWidth="1"/>
    <col min="1800" max="1800" width="11.5703125" style="418" customWidth="1"/>
    <col min="1801" max="1801" width="13.42578125" style="418" bestFit="1" customWidth="1"/>
    <col min="1802" max="1802" width="14.28515625" style="418" customWidth="1"/>
    <col min="1803" max="1803" width="8.5703125" style="418" customWidth="1"/>
    <col min="1804" max="1804" width="17.140625" style="418" customWidth="1"/>
    <col min="1805" max="1806" width="0" style="418" hidden="1" customWidth="1"/>
    <col min="1807" max="2048" width="11.42578125" style="418"/>
    <col min="2049" max="2049" width="22.42578125" style="418" bestFit="1" customWidth="1"/>
    <col min="2050" max="2050" width="3.140625" style="418" bestFit="1" customWidth="1"/>
    <col min="2051" max="2051" width="28.140625" style="418" bestFit="1" customWidth="1"/>
    <col min="2052" max="2052" width="29.42578125" style="418" bestFit="1" customWidth="1"/>
    <col min="2053" max="2053" width="27.28515625" style="418" bestFit="1" customWidth="1"/>
    <col min="2054" max="2054" width="0" style="418" hidden="1" customWidth="1"/>
    <col min="2055" max="2055" width="10.140625" style="418" bestFit="1" customWidth="1"/>
    <col min="2056" max="2056" width="11.5703125" style="418" customWidth="1"/>
    <col min="2057" max="2057" width="13.42578125" style="418" bestFit="1" customWidth="1"/>
    <col min="2058" max="2058" width="14.28515625" style="418" customWidth="1"/>
    <col min="2059" max="2059" width="8.5703125" style="418" customWidth="1"/>
    <col min="2060" max="2060" width="17.140625" style="418" customWidth="1"/>
    <col min="2061" max="2062" width="0" style="418" hidden="1" customWidth="1"/>
    <col min="2063" max="2304" width="11.42578125" style="418"/>
    <col min="2305" max="2305" width="22.42578125" style="418" bestFit="1" customWidth="1"/>
    <col min="2306" max="2306" width="3.140625" style="418" bestFit="1" customWidth="1"/>
    <col min="2307" max="2307" width="28.140625" style="418" bestFit="1" customWidth="1"/>
    <col min="2308" max="2308" width="29.42578125" style="418" bestFit="1" customWidth="1"/>
    <col min="2309" max="2309" width="27.28515625" style="418" bestFit="1" customWidth="1"/>
    <col min="2310" max="2310" width="0" style="418" hidden="1" customWidth="1"/>
    <col min="2311" max="2311" width="10.140625" style="418" bestFit="1" customWidth="1"/>
    <col min="2312" max="2312" width="11.5703125" style="418" customWidth="1"/>
    <col min="2313" max="2313" width="13.42578125" style="418" bestFit="1" customWidth="1"/>
    <col min="2314" max="2314" width="14.28515625" style="418" customWidth="1"/>
    <col min="2315" max="2315" width="8.5703125" style="418" customWidth="1"/>
    <col min="2316" max="2316" width="17.140625" style="418" customWidth="1"/>
    <col min="2317" max="2318" width="0" style="418" hidden="1" customWidth="1"/>
    <col min="2319" max="2560" width="11.42578125" style="418"/>
    <col min="2561" max="2561" width="22.42578125" style="418" bestFit="1" customWidth="1"/>
    <col min="2562" max="2562" width="3.140625" style="418" bestFit="1" customWidth="1"/>
    <col min="2563" max="2563" width="28.140625" style="418" bestFit="1" customWidth="1"/>
    <col min="2564" max="2564" width="29.42578125" style="418" bestFit="1" customWidth="1"/>
    <col min="2565" max="2565" width="27.28515625" style="418" bestFit="1" customWidth="1"/>
    <col min="2566" max="2566" width="0" style="418" hidden="1" customWidth="1"/>
    <col min="2567" max="2567" width="10.140625" style="418" bestFit="1" customWidth="1"/>
    <col min="2568" max="2568" width="11.5703125" style="418" customWidth="1"/>
    <col min="2569" max="2569" width="13.42578125" style="418" bestFit="1" customWidth="1"/>
    <col min="2570" max="2570" width="14.28515625" style="418" customWidth="1"/>
    <col min="2571" max="2571" width="8.5703125" style="418" customWidth="1"/>
    <col min="2572" max="2572" width="17.140625" style="418" customWidth="1"/>
    <col min="2573" max="2574" width="0" style="418" hidden="1" customWidth="1"/>
    <col min="2575" max="2816" width="11.42578125" style="418"/>
    <col min="2817" max="2817" width="22.42578125" style="418" bestFit="1" customWidth="1"/>
    <col min="2818" max="2818" width="3.140625" style="418" bestFit="1" customWidth="1"/>
    <col min="2819" max="2819" width="28.140625" style="418" bestFit="1" customWidth="1"/>
    <col min="2820" max="2820" width="29.42578125" style="418" bestFit="1" customWidth="1"/>
    <col min="2821" max="2821" width="27.28515625" style="418" bestFit="1" customWidth="1"/>
    <col min="2822" max="2822" width="0" style="418" hidden="1" customWidth="1"/>
    <col min="2823" max="2823" width="10.140625" style="418" bestFit="1" customWidth="1"/>
    <col min="2824" max="2824" width="11.5703125" style="418" customWidth="1"/>
    <col min="2825" max="2825" width="13.42578125" style="418" bestFit="1" customWidth="1"/>
    <col min="2826" max="2826" width="14.28515625" style="418" customWidth="1"/>
    <col min="2827" max="2827" width="8.5703125" style="418" customWidth="1"/>
    <col min="2828" max="2828" width="17.140625" style="418" customWidth="1"/>
    <col min="2829" max="2830" width="0" style="418" hidden="1" customWidth="1"/>
    <col min="2831" max="3072" width="11.42578125" style="418"/>
    <col min="3073" max="3073" width="22.42578125" style="418" bestFit="1" customWidth="1"/>
    <col min="3074" max="3074" width="3.140625" style="418" bestFit="1" customWidth="1"/>
    <col min="3075" max="3075" width="28.140625" style="418" bestFit="1" customWidth="1"/>
    <col min="3076" max="3076" width="29.42578125" style="418" bestFit="1" customWidth="1"/>
    <col min="3077" max="3077" width="27.28515625" style="418" bestFit="1" customWidth="1"/>
    <col min="3078" max="3078" width="0" style="418" hidden="1" customWidth="1"/>
    <col min="3079" max="3079" width="10.140625" style="418" bestFit="1" customWidth="1"/>
    <col min="3080" max="3080" width="11.5703125" style="418" customWidth="1"/>
    <col min="3081" max="3081" width="13.42578125" style="418" bestFit="1" customWidth="1"/>
    <col min="3082" max="3082" width="14.28515625" style="418" customWidth="1"/>
    <col min="3083" max="3083" width="8.5703125" style="418" customWidth="1"/>
    <col min="3084" max="3084" width="17.140625" style="418" customWidth="1"/>
    <col min="3085" max="3086" width="0" style="418" hidden="1" customWidth="1"/>
    <col min="3087" max="3328" width="11.42578125" style="418"/>
    <col min="3329" max="3329" width="22.42578125" style="418" bestFit="1" customWidth="1"/>
    <col min="3330" max="3330" width="3.140625" style="418" bestFit="1" customWidth="1"/>
    <col min="3331" max="3331" width="28.140625" style="418" bestFit="1" customWidth="1"/>
    <col min="3332" max="3332" width="29.42578125" style="418" bestFit="1" customWidth="1"/>
    <col min="3333" max="3333" width="27.28515625" style="418" bestFit="1" customWidth="1"/>
    <col min="3334" max="3334" width="0" style="418" hidden="1" customWidth="1"/>
    <col min="3335" max="3335" width="10.140625" style="418" bestFit="1" customWidth="1"/>
    <col min="3336" max="3336" width="11.5703125" style="418" customWidth="1"/>
    <col min="3337" max="3337" width="13.42578125" style="418" bestFit="1" customWidth="1"/>
    <col min="3338" max="3338" width="14.28515625" style="418" customWidth="1"/>
    <col min="3339" max="3339" width="8.5703125" style="418" customWidth="1"/>
    <col min="3340" max="3340" width="17.140625" style="418" customWidth="1"/>
    <col min="3341" max="3342" width="0" style="418" hidden="1" customWidth="1"/>
    <col min="3343" max="3584" width="11.42578125" style="418"/>
    <col min="3585" max="3585" width="22.42578125" style="418" bestFit="1" customWidth="1"/>
    <col min="3586" max="3586" width="3.140625" style="418" bestFit="1" customWidth="1"/>
    <col min="3587" max="3587" width="28.140625" style="418" bestFit="1" customWidth="1"/>
    <col min="3588" max="3588" width="29.42578125" style="418" bestFit="1" customWidth="1"/>
    <col min="3589" max="3589" width="27.28515625" style="418" bestFit="1" customWidth="1"/>
    <col min="3590" max="3590" width="0" style="418" hidden="1" customWidth="1"/>
    <col min="3591" max="3591" width="10.140625" style="418" bestFit="1" customWidth="1"/>
    <col min="3592" max="3592" width="11.5703125" style="418" customWidth="1"/>
    <col min="3593" max="3593" width="13.42578125" style="418" bestFit="1" customWidth="1"/>
    <col min="3594" max="3594" width="14.28515625" style="418" customWidth="1"/>
    <col min="3595" max="3595" width="8.5703125" style="418" customWidth="1"/>
    <col min="3596" max="3596" width="17.140625" style="418" customWidth="1"/>
    <col min="3597" max="3598" width="0" style="418" hidden="1" customWidth="1"/>
    <col min="3599" max="3840" width="11.42578125" style="418"/>
    <col min="3841" max="3841" width="22.42578125" style="418" bestFit="1" customWidth="1"/>
    <col min="3842" max="3842" width="3.140625" style="418" bestFit="1" customWidth="1"/>
    <col min="3843" max="3843" width="28.140625" style="418" bestFit="1" customWidth="1"/>
    <col min="3844" max="3844" width="29.42578125" style="418" bestFit="1" customWidth="1"/>
    <col min="3845" max="3845" width="27.28515625" style="418" bestFit="1" customWidth="1"/>
    <col min="3846" max="3846" width="0" style="418" hidden="1" customWidth="1"/>
    <col min="3847" max="3847" width="10.140625" style="418" bestFit="1" customWidth="1"/>
    <col min="3848" max="3848" width="11.5703125" style="418" customWidth="1"/>
    <col min="3849" max="3849" width="13.42578125" style="418" bestFit="1" customWidth="1"/>
    <col min="3850" max="3850" width="14.28515625" style="418" customWidth="1"/>
    <col min="3851" max="3851" width="8.5703125" style="418" customWidth="1"/>
    <col min="3852" max="3852" width="17.140625" style="418" customWidth="1"/>
    <col min="3853" max="3854" width="0" style="418" hidden="1" customWidth="1"/>
    <col min="3855" max="4096" width="11.42578125" style="418"/>
    <col min="4097" max="4097" width="22.42578125" style="418" bestFit="1" customWidth="1"/>
    <col min="4098" max="4098" width="3.140625" style="418" bestFit="1" customWidth="1"/>
    <col min="4099" max="4099" width="28.140625" style="418" bestFit="1" customWidth="1"/>
    <col min="4100" max="4100" width="29.42578125" style="418" bestFit="1" customWidth="1"/>
    <col min="4101" max="4101" width="27.28515625" style="418" bestFit="1" customWidth="1"/>
    <col min="4102" max="4102" width="0" style="418" hidden="1" customWidth="1"/>
    <col min="4103" max="4103" width="10.140625" style="418" bestFit="1" customWidth="1"/>
    <col min="4104" max="4104" width="11.5703125" style="418" customWidth="1"/>
    <col min="4105" max="4105" width="13.42578125" style="418" bestFit="1" customWidth="1"/>
    <col min="4106" max="4106" width="14.28515625" style="418" customWidth="1"/>
    <col min="4107" max="4107" width="8.5703125" style="418" customWidth="1"/>
    <col min="4108" max="4108" width="17.140625" style="418" customWidth="1"/>
    <col min="4109" max="4110" width="0" style="418" hidden="1" customWidth="1"/>
    <col min="4111" max="4352" width="11.42578125" style="418"/>
    <col min="4353" max="4353" width="22.42578125" style="418" bestFit="1" customWidth="1"/>
    <col min="4354" max="4354" width="3.140625" style="418" bestFit="1" customWidth="1"/>
    <col min="4355" max="4355" width="28.140625" style="418" bestFit="1" customWidth="1"/>
    <col min="4356" max="4356" width="29.42578125" style="418" bestFit="1" customWidth="1"/>
    <col min="4357" max="4357" width="27.28515625" style="418" bestFit="1" customWidth="1"/>
    <col min="4358" max="4358" width="0" style="418" hidden="1" customWidth="1"/>
    <col min="4359" max="4359" width="10.140625" style="418" bestFit="1" customWidth="1"/>
    <col min="4360" max="4360" width="11.5703125" style="418" customWidth="1"/>
    <col min="4361" max="4361" width="13.42578125" style="418" bestFit="1" customWidth="1"/>
    <col min="4362" max="4362" width="14.28515625" style="418" customWidth="1"/>
    <col min="4363" max="4363" width="8.5703125" style="418" customWidth="1"/>
    <col min="4364" max="4364" width="17.140625" style="418" customWidth="1"/>
    <col min="4365" max="4366" width="0" style="418" hidden="1" customWidth="1"/>
    <col min="4367" max="4608" width="11.42578125" style="418"/>
    <col min="4609" max="4609" width="22.42578125" style="418" bestFit="1" customWidth="1"/>
    <col min="4610" max="4610" width="3.140625" style="418" bestFit="1" customWidth="1"/>
    <col min="4611" max="4611" width="28.140625" style="418" bestFit="1" customWidth="1"/>
    <col min="4612" max="4612" width="29.42578125" style="418" bestFit="1" customWidth="1"/>
    <col min="4613" max="4613" width="27.28515625" style="418" bestFit="1" customWidth="1"/>
    <col min="4614" max="4614" width="0" style="418" hidden="1" customWidth="1"/>
    <col min="4615" max="4615" width="10.140625" style="418" bestFit="1" customWidth="1"/>
    <col min="4616" max="4616" width="11.5703125" style="418" customWidth="1"/>
    <col min="4617" max="4617" width="13.42578125" style="418" bestFit="1" customWidth="1"/>
    <col min="4618" max="4618" width="14.28515625" style="418" customWidth="1"/>
    <col min="4619" max="4619" width="8.5703125" style="418" customWidth="1"/>
    <col min="4620" max="4620" width="17.140625" style="418" customWidth="1"/>
    <col min="4621" max="4622" width="0" style="418" hidden="1" customWidth="1"/>
    <col min="4623" max="4864" width="11.42578125" style="418"/>
    <col min="4865" max="4865" width="22.42578125" style="418" bestFit="1" customWidth="1"/>
    <col min="4866" max="4866" width="3.140625" style="418" bestFit="1" customWidth="1"/>
    <col min="4867" max="4867" width="28.140625" style="418" bestFit="1" customWidth="1"/>
    <col min="4868" max="4868" width="29.42578125" style="418" bestFit="1" customWidth="1"/>
    <col min="4869" max="4869" width="27.28515625" style="418" bestFit="1" customWidth="1"/>
    <col min="4870" max="4870" width="0" style="418" hidden="1" customWidth="1"/>
    <col min="4871" max="4871" width="10.140625" style="418" bestFit="1" customWidth="1"/>
    <col min="4872" max="4872" width="11.5703125" style="418" customWidth="1"/>
    <col min="4873" max="4873" width="13.42578125" style="418" bestFit="1" customWidth="1"/>
    <col min="4874" max="4874" width="14.28515625" style="418" customWidth="1"/>
    <col min="4875" max="4875" width="8.5703125" style="418" customWidth="1"/>
    <col min="4876" max="4876" width="17.140625" style="418" customWidth="1"/>
    <col min="4877" max="4878" width="0" style="418" hidden="1" customWidth="1"/>
    <col min="4879" max="5120" width="11.42578125" style="418"/>
    <col min="5121" max="5121" width="22.42578125" style="418" bestFit="1" customWidth="1"/>
    <col min="5122" max="5122" width="3.140625" style="418" bestFit="1" customWidth="1"/>
    <col min="5123" max="5123" width="28.140625" style="418" bestFit="1" customWidth="1"/>
    <col min="5124" max="5124" width="29.42578125" style="418" bestFit="1" customWidth="1"/>
    <col min="5125" max="5125" width="27.28515625" style="418" bestFit="1" customWidth="1"/>
    <col min="5126" max="5126" width="0" style="418" hidden="1" customWidth="1"/>
    <col min="5127" max="5127" width="10.140625" style="418" bestFit="1" customWidth="1"/>
    <col min="5128" max="5128" width="11.5703125" style="418" customWidth="1"/>
    <col min="5129" max="5129" width="13.42578125" style="418" bestFit="1" customWidth="1"/>
    <col min="5130" max="5130" width="14.28515625" style="418" customWidth="1"/>
    <col min="5131" max="5131" width="8.5703125" style="418" customWidth="1"/>
    <col min="5132" max="5132" width="17.140625" style="418" customWidth="1"/>
    <col min="5133" max="5134" width="0" style="418" hidden="1" customWidth="1"/>
    <col min="5135" max="5376" width="11.42578125" style="418"/>
    <col min="5377" max="5377" width="22.42578125" style="418" bestFit="1" customWidth="1"/>
    <col min="5378" max="5378" width="3.140625" style="418" bestFit="1" customWidth="1"/>
    <col min="5379" max="5379" width="28.140625" style="418" bestFit="1" customWidth="1"/>
    <col min="5380" max="5380" width="29.42578125" style="418" bestFit="1" customWidth="1"/>
    <col min="5381" max="5381" width="27.28515625" style="418" bestFit="1" customWidth="1"/>
    <col min="5382" max="5382" width="0" style="418" hidden="1" customWidth="1"/>
    <col min="5383" max="5383" width="10.140625" style="418" bestFit="1" customWidth="1"/>
    <col min="5384" max="5384" width="11.5703125" style="418" customWidth="1"/>
    <col min="5385" max="5385" width="13.42578125" style="418" bestFit="1" customWidth="1"/>
    <col min="5386" max="5386" width="14.28515625" style="418" customWidth="1"/>
    <col min="5387" max="5387" width="8.5703125" style="418" customWidth="1"/>
    <col min="5388" max="5388" width="17.140625" style="418" customWidth="1"/>
    <col min="5389" max="5390" width="0" style="418" hidden="1" customWidth="1"/>
    <col min="5391" max="5632" width="11.42578125" style="418"/>
    <col min="5633" max="5633" width="22.42578125" style="418" bestFit="1" customWidth="1"/>
    <col min="5634" max="5634" width="3.140625" style="418" bestFit="1" customWidth="1"/>
    <col min="5635" max="5635" width="28.140625" style="418" bestFit="1" customWidth="1"/>
    <col min="5636" max="5636" width="29.42578125" style="418" bestFit="1" customWidth="1"/>
    <col min="5637" max="5637" width="27.28515625" style="418" bestFit="1" customWidth="1"/>
    <col min="5638" max="5638" width="0" style="418" hidden="1" customWidth="1"/>
    <col min="5639" max="5639" width="10.140625" style="418" bestFit="1" customWidth="1"/>
    <col min="5640" max="5640" width="11.5703125" style="418" customWidth="1"/>
    <col min="5641" max="5641" width="13.42578125" style="418" bestFit="1" customWidth="1"/>
    <col min="5642" max="5642" width="14.28515625" style="418" customWidth="1"/>
    <col min="5643" max="5643" width="8.5703125" style="418" customWidth="1"/>
    <col min="5644" max="5644" width="17.140625" style="418" customWidth="1"/>
    <col min="5645" max="5646" width="0" style="418" hidden="1" customWidth="1"/>
    <col min="5647" max="5888" width="11.42578125" style="418"/>
    <col min="5889" max="5889" width="22.42578125" style="418" bestFit="1" customWidth="1"/>
    <col min="5890" max="5890" width="3.140625" style="418" bestFit="1" customWidth="1"/>
    <col min="5891" max="5891" width="28.140625" style="418" bestFit="1" customWidth="1"/>
    <col min="5892" max="5892" width="29.42578125" style="418" bestFit="1" customWidth="1"/>
    <col min="5893" max="5893" width="27.28515625" style="418" bestFit="1" customWidth="1"/>
    <col min="5894" max="5894" width="0" style="418" hidden="1" customWidth="1"/>
    <col min="5895" max="5895" width="10.140625" style="418" bestFit="1" customWidth="1"/>
    <col min="5896" max="5896" width="11.5703125" style="418" customWidth="1"/>
    <col min="5897" max="5897" width="13.42578125" style="418" bestFit="1" customWidth="1"/>
    <col min="5898" max="5898" width="14.28515625" style="418" customWidth="1"/>
    <col min="5899" max="5899" width="8.5703125" style="418" customWidth="1"/>
    <col min="5900" max="5900" width="17.140625" style="418" customWidth="1"/>
    <col min="5901" max="5902" width="0" style="418" hidden="1" customWidth="1"/>
    <col min="5903" max="6144" width="11.42578125" style="418"/>
    <col min="6145" max="6145" width="22.42578125" style="418" bestFit="1" customWidth="1"/>
    <col min="6146" max="6146" width="3.140625" style="418" bestFit="1" customWidth="1"/>
    <col min="6147" max="6147" width="28.140625" style="418" bestFit="1" customWidth="1"/>
    <col min="6148" max="6148" width="29.42578125" style="418" bestFit="1" customWidth="1"/>
    <col min="6149" max="6149" width="27.28515625" style="418" bestFit="1" customWidth="1"/>
    <col min="6150" max="6150" width="0" style="418" hidden="1" customWidth="1"/>
    <col min="6151" max="6151" width="10.140625" style="418" bestFit="1" customWidth="1"/>
    <col min="6152" max="6152" width="11.5703125" style="418" customWidth="1"/>
    <col min="6153" max="6153" width="13.42578125" style="418" bestFit="1" customWidth="1"/>
    <col min="6154" max="6154" width="14.28515625" style="418" customWidth="1"/>
    <col min="6155" max="6155" width="8.5703125" style="418" customWidth="1"/>
    <col min="6156" max="6156" width="17.140625" style="418" customWidth="1"/>
    <col min="6157" max="6158" width="0" style="418" hidden="1" customWidth="1"/>
    <col min="6159" max="6400" width="11.42578125" style="418"/>
    <col min="6401" max="6401" width="22.42578125" style="418" bestFit="1" customWidth="1"/>
    <col min="6402" max="6402" width="3.140625" style="418" bestFit="1" customWidth="1"/>
    <col min="6403" max="6403" width="28.140625" style="418" bestFit="1" customWidth="1"/>
    <col min="6404" max="6404" width="29.42578125" style="418" bestFit="1" customWidth="1"/>
    <col min="6405" max="6405" width="27.28515625" style="418" bestFit="1" customWidth="1"/>
    <col min="6406" max="6406" width="0" style="418" hidden="1" customWidth="1"/>
    <col min="6407" max="6407" width="10.140625" style="418" bestFit="1" customWidth="1"/>
    <col min="6408" max="6408" width="11.5703125" style="418" customWidth="1"/>
    <col min="6409" max="6409" width="13.42578125" style="418" bestFit="1" customWidth="1"/>
    <col min="6410" max="6410" width="14.28515625" style="418" customWidth="1"/>
    <col min="6411" max="6411" width="8.5703125" style="418" customWidth="1"/>
    <col min="6412" max="6412" width="17.140625" style="418" customWidth="1"/>
    <col min="6413" max="6414" width="0" style="418" hidden="1" customWidth="1"/>
    <col min="6415" max="6656" width="11.42578125" style="418"/>
    <col min="6657" max="6657" width="22.42578125" style="418" bestFit="1" customWidth="1"/>
    <col min="6658" max="6658" width="3.140625" style="418" bestFit="1" customWidth="1"/>
    <col min="6659" max="6659" width="28.140625" style="418" bestFit="1" customWidth="1"/>
    <col min="6660" max="6660" width="29.42578125" style="418" bestFit="1" customWidth="1"/>
    <col min="6661" max="6661" width="27.28515625" style="418" bestFit="1" customWidth="1"/>
    <col min="6662" max="6662" width="0" style="418" hidden="1" customWidth="1"/>
    <col min="6663" max="6663" width="10.140625" style="418" bestFit="1" customWidth="1"/>
    <col min="6664" max="6664" width="11.5703125" style="418" customWidth="1"/>
    <col min="6665" max="6665" width="13.42578125" style="418" bestFit="1" customWidth="1"/>
    <col min="6666" max="6666" width="14.28515625" style="418" customWidth="1"/>
    <col min="6667" max="6667" width="8.5703125" style="418" customWidth="1"/>
    <col min="6668" max="6668" width="17.140625" style="418" customWidth="1"/>
    <col min="6669" max="6670" width="0" style="418" hidden="1" customWidth="1"/>
    <col min="6671" max="6912" width="11.42578125" style="418"/>
    <col min="6913" max="6913" width="22.42578125" style="418" bestFit="1" customWidth="1"/>
    <col min="6914" max="6914" width="3.140625" style="418" bestFit="1" customWidth="1"/>
    <col min="6915" max="6915" width="28.140625" style="418" bestFit="1" customWidth="1"/>
    <col min="6916" max="6916" width="29.42578125" style="418" bestFit="1" customWidth="1"/>
    <col min="6917" max="6917" width="27.28515625" style="418" bestFit="1" customWidth="1"/>
    <col min="6918" max="6918" width="0" style="418" hidden="1" customWidth="1"/>
    <col min="6919" max="6919" width="10.140625" style="418" bestFit="1" customWidth="1"/>
    <col min="6920" max="6920" width="11.5703125" style="418" customWidth="1"/>
    <col min="6921" max="6921" width="13.42578125" style="418" bestFit="1" customWidth="1"/>
    <col min="6922" max="6922" width="14.28515625" style="418" customWidth="1"/>
    <col min="6923" max="6923" width="8.5703125" style="418" customWidth="1"/>
    <col min="6924" max="6924" width="17.140625" style="418" customWidth="1"/>
    <col min="6925" max="6926" width="0" style="418" hidden="1" customWidth="1"/>
    <col min="6927" max="7168" width="11.42578125" style="418"/>
    <col min="7169" max="7169" width="22.42578125" style="418" bestFit="1" customWidth="1"/>
    <col min="7170" max="7170" width="3.140625" style="418" bestFit="1" customWidth="1"/>
    <col min="7171" max="7171" width="28.140625" style="418" bestFit="1" customWidth="1"/>
    <col min="7172" max="7172" width="29.42578125" style="418" bestFit="1" customWidth="1"/>
    <col min="7173" max="7173" width="27.28515625" style="418" bestFit="1" customWidth="1"/>
    <col min="7174" max="7174" width="0" style="418" hidden="1" customWidth="1"/>
    <col min="7175" max="7175" width="10.140625" style="418" bestFit="1" customWidth="1"/>
    <col min="7176" max="7176" width="11.5703125" style="418" customWidth="1"/>
    <col min="7177" max="7177" width="13.42578125" style="418" bestFit="1" customWidth="1"/>
    <col min="7178" max="7178" width="14.28515625" style="418" customWidth="1"/>
    <col min="7179" max="7179" width="8.5703125" style="418" customWidth="1"/>
    <col min="7180" max="7180" width="17.140625" style="418" customWidth="1"/>
    <col min="7181" max="7182" width="0" style="418" hidden="1" customWidth="1"/>
    <col min="7183" max="7424" width="11.42578125" style="418"/>
    <col min="7425" max="7425" width="22.42578125" style="418" bestFit="1" customWidth="1"/>
    <col min="7426" max="7426" width="3.140625" style="418" bestFit="1" customWidth="1"/>
    <col min="7427" max="7427" width="28.140625" style="418" bestFit="1" customWidth="1"/>
    <col min="7428" max="7428" width="29.42578125" style="418" bestFit="1" customWidth="1"/>
    <col min="7429" max="7429" width="27.28515625" style="418" bestFit="1" customWidth="1"/>
    <col min="7430" max="7430" width="0" style="418" hidden="1" customWidth="1"/>
    <col min="7431" max="7431" width="10.140625" style="418" bestFit="1" customWidth="1"/>
    <col min="7432" max="7432" width="11.5703125" style="418" customWidth="1"/>
    <col min="7433" max="7433" width="13.42578125" style="418" bestFit="1" customWidth="1"/>
    <col min="7434" max="7434" width="14.28515625" style="418" customWidth="1"/>
    <col min="7435" max="7435" width="8.5703125" style="418" customWidth="1"/>
    <col min="7436" max="7436" width="17.140625" style="418" customWidth="1"/>
    <col min="7437" max="7438" width="0" style="418" hidden="1" customWidth="1"/>
    <col min="7439" max="7680" width="11.42578125" style="418"/>
    <col min="7681" max="7681" width="22.42578125" style="418" bestFit="1" customWidth="1"/>
    <col min="7682" max="7682" width="3.140625" style="418" bestFit="1" customWidth="1"/>
    <col min="7683" max="7683" width="28.140625" style="418" bestFit="1" customWidth="1"/>
    <col min="7684" max="7684" width="29.42578125" style="418" bestFit="1" customWidth="1"/>
    <col min="7685" max="7685" width="27.28515625" style="418" bestFit="1" customWidth="1"/>
    <col min="7686" max="7686" width="0" style="418" hidden="1" customWidth="1"/>
    <col min="7687" max="7687" width="10.140625" style="418" bestFit="1" customWidth="1"/>
    <col min="7688" max="7688" width="11.5703125" style="418" customWidth="1"/>
    <col min="7689" max="7689" width="13.42578125" style="418" bestFit="1" customWidth="1"/>
    <col min="7690" max="7690" width="14.28515625" style="418" customWidth="1"/>
    <col min="7691" max="7691" width="8.5703125" style="418" customWidth="1"/>
    <col min="7692" max="7692" width="17.140625" style="418" customWidth="1"/>
    <col min="7693" max="7694" width="0" style="418" hidden="1" customWidth="1"/>
    <col min="7695" max="7936" width="11.42578125" style="418"/>
    <col min="7937" max="7937" width="22.42578125" style="418" bestFit="1" customWidth="1"/>
    <col min="7938" max="7938" width="3.140625" style="418" bestFit="1" customWidth="1"/>
    <col min="7939" max="7939" width="28.140625" style="418" bestFit="1" customWidth="1"/>
    <col min="7940" max="7940" width="29.42578125" style="418" bestFit="1" customWidth="1"/>
    <col min="7941" max="7941" width="27.28515625" style="418" bestFit="1" customWidth="1"/>
    <col min="7942" max="7942" width="0" style="418" hidden="1" customWidth="1"/>
    <col min="7943" max="7943" width="10.140625" style="418" bestFit="1" customWidth="1"/>
    <col min="7944" max="7944" width="11.5703125" style="418" customWidth="1"/>
    <col min="7945" max="7945" width="13.42578125" style="418" bestFit="1" customWidth="1"/>
    <col min="7946" max="7946" width="14.28515625" style="418" customWidth="1"/>
    <col min="7947" max="7947" width="8.5703125" style="418" customWidth="1"/>
    <col min="7948" max="7948" width="17.140625" style="418" customWidth="1"/>
    <col min="7949" max="7950" width="0" style="418" hidden="1" customWidth="1"/>
    <col min="7951" max="8192" width="11.42578125" style="418"/>
    <col min="8193" max="8193" width="22.42578125" style="418" bestFit="1" customWidth="1"/>
    <col min="8194" max="8194" width="3.140625" style="418" bestFit="1" customWidth="1"/>
    <col min="8195" max="8195" width="28.140625" style="418" bestFit="1" customWidth="1"/>
    <col min="8196" max="8196" width="29.42578125" style="418" bestFit="1" customWidth="1"/>
    <col min="8197" max="8197" width="27.28515625" style="418" bestFit="1" customWidth="1"/>
    <col min="8198" max="8198" width="0" style="418" hidden="1" customWidth="1"/>
    <col min="8199" max="8199" width="10.140625" style="418" bestFit="1" customWidth="1"/>
    <col min="8200" max="8200" width="11.5703125" style="418" customWidth="1"/>
    <col min="8201" max="8201" width="13.42578125" style="418" bestFit="1" customWidth="1"/>
    <col min="8202" max="8202" width="14.28515625" style="418" customWidth="1"/>
    <col min="8203" max="8203" width="8.5703125" style="418" customWidth="1"/>
    <col min="8204" max="8204" width="17.140625" style="418" customWidth="1"/>
    <col min="8205" max="8206" width="0" style="418" hidden="1" customWidth="1"/>
    <col min="8207" max="8448" width="11.42578125" style="418"/>
    <col min="8449" max="8449" width="22.42578125" style="418" bestFit="1" customWidth="1"/>
    <col min="8450" max="8450" width="3.140625" style="418" bestFit="1" customWidth="1"/>
    <col min="8451" max="8451" width="28.140625" style="418" bestFit="1" customWidth="1"/>
    <col min="8452" max="8452" width="29.42578125" style="418" bestFit="1" customWidth="1"/>
    <col min="8453" max="8453" width="27.28515625" style="418" bestFit="1" customWidth="1"/>
    <col min="8454" max="8454" width="0" style="418" hidden="1" customWidth="1"/>
    <col min="8455" max="8455" width="10.140625" style="418" bestFit="1" customWidth="1"/>
    <col min="8456" max="8456" width="11.5703125" style="418" customWidth="1"/>
    <col min="8457" max="8457" width="13.42578125" style="418" bestFit="1" customWidth="1"/>
    <col min="8458" max="8458" width="14.28515625" style="418" customWidth="1"/>
    <col min="8459" max="8459" width="8.5703125" style="418" customWidth="1"/>
    <col min="8460" max="8460" width="17.140625" style="418" customWidth="1"/>
    <col min="8461" max="8462" width="0" style="418" hidden="1" customWidth="1"/>
    <col min="8463" max="8704" width="11.42578125" style="418"/>
    <col min="8705" max="8705" width="22.42578125" style="418" bestFit="1" customWidth="1"/>
    <col min="8706" max="8706" width="3.140625" style="418" bestFit="1" customWidth="1"/>
    <col min="8707" max="8707" width="28.140625" style="418" bestFit="1" customWidth="1"/>
    <col min="8708" max="8708" width="29.42578125" style="418" bestFit="1" customWidth="1"/>
    <col min="8709" max="8709" width="27.28515625" style="418" bestFit="1" customWidth="1"/>
    <col min="8710" max="8710" width="0" style="418" hidden="1" customWidth="1"/>
    <col min="8711" max="8711" width="10.140625" style="418" bestFit="1" customWidth="1"/>
    <col min="8712" max="8712" width="11.5703125" style="418" customWidth="1"/>
    <col min="8713" max="8713" width="13.42578125" style="418" bestFit="1" customWidth="1"/>
    <col min="8714" max="8714" width="14.28515625" style="418" customWidth="1"/>
    <col min="8715" max="8715" width="8.5703125" style="418" customWidth="1"/>
    <col min="8716" max="8716" width="17.140625" style="418" customWidth="1"/>
    <col min="8717" max="8718" width="0" style="418" hidden="1" customWidth="1"/>
    <col min="8719" max="8960" width="11.42578125" style="418"/>
    <col min="8961" max="8961" width="22.42578125" style="418" bestFit="1" customWidth="1"/>
    <col min="8962" max="8962" width="3.140625" style="418" bestFit="1" customWidth="1"/>
    <col min="8963" max="8963" width="28.140625" style="418" bestFit="1" customWidth="1"/>
    <col min="8964" max="8964" width="29.42578125" style="418" bestFit="1" customWidth="1"/>
    <col min="8965" max="8965" width="27.28515625" style="418" bestFit="1" customWidth="1"/>
    <col min="8966" max="8966" width="0" style="418" hidden="1" customWidth="1"/>
    <col min="8967" max="8967" width="10.140625" style="418" bestFit="1" customWidth="1"/>
    <col min="8968" max="8968" width="11.5703125" style="418" customWidth="1"/>
    <col min="8969" max="8969" width="13.42578125" style="418" bestFit="1" customWidth="1"/>
    <col min="8970" max="8970" width="14.28515625" style="418" customWidth="1"/>
    <col min="8971" max="8971" width="8.5703125" style="418" customWidth="1"/>
    <col min="8972" max="8972" width="17.140625" style="418" customWidth="1"/>
    <col min="8973" max="8974" width="0" style="418" hidden="1" customWidth="1"/>
    <col min="8975" max="9216" width="11.42578125" style="418"/>
    <col min="9217" max="9217" width="22.42578125" style="418" bestFit="1" customWidth="1"/>
    <col min="9218" max="9218" width="3.140625" style="418" bestFit="1" customWidth="1"/>
    <col min="9219" max="9219" width="28.140625" style="418" bestFit="1" customWidth="1"/>
    <col min="9220" max="9220" width="29.42578125" style="418" bestFit="1" customWidth="1"/>
    <col min="9221" max="9221" width="27.28515625" style="418" bestFit="1" customWidth="1"/>
    <col min="9222" max="9222" width="0" style="418" hidden="1" customWidth="1"/>
    <col min="9223" max="9223" width="10.140625" style="418" bestFit="1" customWidth="1"/>
    <col min="9224" max="9224" width="11.5703125" style="418" customWidth="1"/>
    <col min="9225" max="9225" width="13.42578125" style="418" bestFit="1" customWidth="1"/>
    <col min="9226" max="9226" width="14.28515625" style="418" customWidth="1"/>
    <col min="9227" max="9227" width="8.5703125" style="418" customWidth="1"/>
    <col min="9228" max="9228" width="17.140625" style="418" customWidth="1"/>
    <col min="9229" max="9230" width="0" style="418" hidden="1" customWidth="1"/>
    <col min="9231" max="9472" width="11.42578125" style="418"/>
    <col min="9473" max="9473" width="22.42578125" style="418" bestFit="1" customWidth="1"/>
    <col min="9474" max="9474" width="3.140625" style="418" bestFit="1" customWidth="1"/>
    <col min="9475" max="9475" width="28.140625" style="418" bestFit="1" customWidth="1"/>
    <col min="9476" max="9476" width="29.42578125" style="418" bestFit="1" customWidth="1"/>
    <col min="9477" max="9477" width="27.28515625" style="418" bestFit="1" customWidth="1"/>
    <col min="9478" max="9478" width="0" style="418" hidden="1" customWidth="1"/>
    <col min="9479" max="9479" width="10.140625" style="418" bestFit="1" customWidth="1"/>
    <col min="9480" max="9480" width="11.5703125" style="418" customWidth="1"/>
    <col min="9481" max="9481" width="13.42578125" style="418" bestFit="1" customWidth="1"/>
    <col min="9482" max="9482" width="14.28515625" style="418" customWidth="1"/>
    <col min="9483" max="9483" width="8.5703125" style="418" customWidth="1"/>
    <col min="9484" max="9484" width="17.140625" style="418" customWidth="1"/>
    <col min="9485" max="9486" width="0" style="418" hidden="1" customWidth="1"/>
    <col min="9487" max="9728" width="11.42578125" style="418"/>
    <col min="9729" max="9729" width="22.42578125" style="418" bestFit="1" customWidth="1"/>
    <col min="9730" max="9730" width="3.140625" style="418" bestFit="1" customWidth="1"/>
    <col min="9731" max="9731" width="28.140625" style="418" bestFit="1" customWidth="1"/>
    <col min="9732" max="9732" width="29.42578125" style="418" bestFit="1" customWidth="1"/>
    <col min="9733" max="9733" width="27.28515625" style="418" bestFit="1" customWidth="1"/>
    <col min="9734" max="9734" width="0" style="418" hidden="1" customWidth="1"/>
    <col min="9735" max="9735" width="10.140625" style="418" bestFit="1" customWidth="1"/>
    <col min="9736" max="9736" width="11.5703125" style="418" customWidth="1"/>
    <col min="9737" max="9737" width="13.42578125" style="418" bestFit="1" customWidth="1"/>
    <col min="9738" max="9738" width="14.28515625" style="418" customWidth="1"/>
    <col min="9739" max="9739" width="8.5703125" style="418" customWidth="1"/>
    <col min="9740" max="9740" width="17.140625" style="418" customWidth="1"/>
    <col min="9741" max="9742" width="0" style="418" hidden="1" customWidth="1"/>
    <col min="9743" max="9984" width="11.42578125" style="418"/>
    <col min="9985" max="9985" width="22.42578125" style="418" bestFit="1" customWidth="1"/>
    <col min="9986" max="9986" width="3.140625" style="418" bestFit="1" customWidth="1"/>
    <col min="9987" max="9987" width="28.140625" style="418" bestFit="1" customWidth="1"/>
    <col min="9988" max="9988" width="29.42578125" style="418" bestFit="1" customWidth="1"/>
    <col min="9989" max="9989" width="27.28515625" style="418" bestFit="1" customWidth="1"/>
    <col min="9990" max="9990" width="0" style="418" hidden="1" customWidth="1"/>
    <col min="9991" max="9991" width="10.140625" style="418" bestFit="1" customWidth="1"/>
    <col min="9992" max="9992" width="11.5703125" style="418" customWidth="1"/>
    <col min="9993" max="9993" width="13.42578125" style="418" bestFit="1" customWidth="1"/>
    <col min="9994" max="9994" width="14.28515625" style="418" customWidth="1"/>
    <col min="9995" max="9995" width="8.5703125" style="418" customWidth="1"/>
    <col min="9996" max="9996" width="17.140625" style="418" customWidth="1"/>
    <col min="9997" max="9998" width="0" style="418" hidden="1" customWidth="1"/>
    <col min="9999" max="10240" width="11.42578125" style="418"/>
    <col min="10241" max="10241" width="22.42578125" style="418" bestFit="1" customWidth="1"/>
    <col min="10242" max="10242" width="3.140625" style="418" bestFit="1" customWidth="1"/>
    <col min="10243" max="10243" width="28.140625" style="418" bestFit="1" customWidth="1"/>
    <col min="10244" max="10244" width="29.42578125" style="418" bestFit="1" customWidth="1"/>
    <col min="10245" max="10245" width="27.28515625" style="418" bestFit="1" customWidth="1"/>
    <col min="10246" max="10246" width="0" style="418" hidden="1" customWidth="1"/>
    <col min="10247" max="10247" width="10.140625" style="418" bestFit="1" customWidth="1"/>
    <col min="10248" max="10248" width="11.5703125" style="418" customWidth="1"/>
    <col min="10249" max="10249" width="13.42578125" style="418" bestFit="1" customWidth="1"/>
    <col min="10250" max="10250" width="14.28515625" style="418" customWidth="1"/>
    <col min="10251" max="10251" width="8.5703125" style="418" customWidth="1"/>
    <col min="10252" max="10252" width="17.140625" style="418" customWidth="1"/>
    <col min="10253" max="10254" width="0" style="418" hidden="1" customWidth="1"/>
    <col min="10255" max="10496" width="11.42578125" style="418"/>
    <col min="10497" max="10497" width="22.42578125" style="418" bestFit="1" customWidth="1"/>
    <col min="10498" max="10498" width="3.140625" style="418" bestFit="1" customWidth="1"/>
    <col min="10499" max="10499" width="28.140625" style="418" bestFit="1" customWidth="1"/>
    <col min="10500" max="10500" width="29.42578125" style="418" bestFit="1" customWidth="1"/>
    <col min="10501" max="10501" width="27.28515625" style="418" bestFit="1" customWidth="1"/>
    <col min="10502" max="10502" width="0" style="418" hidden="1" customWidth="1"/>
    <col min="10503" max="10503" width="10.140625" style="418" bestFit="1" customWidth="1"/>
    <col min="10504" max="10504" width="11.5703125" style="418" customWidth="1"/>
    <col min="10505" max="10505" width="13.42578125" style="418" bestFit="1" customWidth="1"/>
    <col min="10506" max="10506" width="14.28515625" style="418" customWidth="1"/>
    <col min="10507" max="10507" width="8.5703125" style="418" customWidth="1"/>
    <col min="10508" max="10508" width="17.140625" style="418" customWidth="1"/>
    <col min="10509" max="10510" width="0" style="418" hidden="1" customWidth="1"/>
    <col min="10511" max="10752" width="11.42578125" style="418"/>
    <col min="10753" max="10753" width="22.42578125" style="418" bestFit="1" customWidth="1"/>
    <col min="10754" max="10754" width="3.140625" style="418" bestFit="1" customWidth="1"/>
    <col min="10755" max="10755" width="28.140625" style="418" bestFit="1" customWidth="1"/>
    <col min="10756" max="10756" width="29.42578125" style="418" bestFit="1" customWidth="1"/>
    <col min="10757" max="10757" width="27.28515625" style="418" bestFit="1" customWidth="1"/>
    <col min="10758" max="10758" width="0" style="418" hidden="1" customWidth="1"/>
    <col min="10759" max="10759" width="10.140625" style="418" bestFit="1" customWidth="1"/>
    <col min="10760" max="10760" width="11.5703125" style="418" customWidth="1"/>
    <col min="10761" max="10761" width="13.42578125" style="418" bestFit="1" customWidth="1"/>
    <col min="10762" max="10762" width="14.28515625" style="418" customWidth="1"/>
    <col min="10763" max="10763" width="8.5703125" style="418" customWidth="1"/>
    <col min="10764" max="10764" width="17.140625" style="418" customWidth="1"/>
    <col min="10765" max="10766" width="0" style="418" hidden="1" customWidth="1"/>
    <col min="10767" max="11008" width="11.42578125" style="418"/>
    <col min="11009" max="11009" width="22.42578125" style="418" bestFit="1" customWidth="1"/>
    <col min="11010" max="11010" width="3.140625" style="418" bestFit="1" customWidth="1"/>
    <col min="11011" max="11011" width="28.140625" style="418" bestFit="1" customWidth="1"/>
    <col min="11012" max="11012" width="29.42578125" style="418" bestFit="1" customWidth="1"/>
    <col min="11013" max="11013" width="27.28515625" style="418" bestFit="1" customWidth="1"/>
    <col min="11014" max="11014" width="0" style="418" hidden="1" customWidth="1"/>
    <col min="11015" max="11015" width="10.140625" style="418" bestFit="1" customWidth="1"/>
    <col min="11016" max="11016" width="11.5703125" style="418" customWidth="1"/>
    <col min="11017" max="11017" width="13.42578125" style="418" bestFit="1" customWidth="1"/>
    <col min="11018" max="11018" width="14.28515625" style="418" customWidth="1"/>
    <col min="11019" max="11019" width="8.5703125" style="418" customWidth="1"/>
    <col min="11020" max="11020" width="17.140625" style="418" customWidth="1"/>
    <col min="11021" max="11022" width="0" style="418" hidden="1" customWidth="1"/>
    <col min="11023" max="11264" width="11.42578125" style="418"/>
    <col min="11265" max="11265" width="22.42578125" style="418" bestFit="1" customWidth="1"/>
    <col min="11266" max="11266" width="3.140625" style="418" bestFit="1" customWidth="1"/>
    <col min="11267" max="11267" width="28.140625" style="418" bestFit="1" customWidth="1"/>
    <col min="11268" max="11268" width="29.42578125" style="418" bestFit="1" customWidth="1"/>
    <col min="11269" max="11269" width="27.28515625" style="418" bestFit="1" customWidth="1"/>
    <col min="11270" max="11270" width="0" style="418" hidden="1" customWidth="1"/>
    <col min="11271" max="11271" width="10.140625" style="418" bestFit="1" customWidth="1"/>
    <col min="11272" max="11272" width="11.5703125" style="418" customWidth="1"/>
    <col min="11273" max="11273" width="13.42578125" style="418" bestFit="1" customWidth="1"/>
    <col min="11274" max="11274" width="14.28515625" style="418" customWidth="1"/>
    <col min="11275" max="11275" width="8.5703125" style="418" customWidth="1"/>
    <col min="11276" max="11276" width="17.140625" style="418" customWidth="1"/>
    <col min="11277" max="11278" width="0" style="418" hidden="1" customWidth="1"/>
    <col min="11279" max="11520" width="11.42578125" style="418"/>
    <col min="11521" max="11521" width="22.42578125" style="418" bestFit="1" customWidth="1"/>
    <col min="11522" max="11522" width="3.140625" style="418" bestFit="1" customWidth="1"/>
    <col min="11523" max="11523" width="28.140625" style="418" bestFit="1" customWidth="1"/>
    <col min="11524" max="11524" width="29.42578125" style="418" bestFit="1" customWidth="1"/>
    <col min="11525" max="11525" width="27.28515625" style="418" bestFit="1" customWidth="1"/>
    <col min="11526" max="11526" width="0" style="418" hidden="1" customWidth="1"/>
    <col min="11527" max="11527" width="10.140625" style="418" bestFit="1" customWidth="1"/>
    <col min="11528" max="11528" width="11.5703125" style="418" customWidth="1"/>
    <col min="11529" max="11529" width="13.42578125" style="418" bestFit="1" customWidth="1"/>
    <col min="11530" max="11530" width="14.28515625" style="418" customWidth="1"/>
    <col min="11531" max="11531" width="8.5703125" style="418" customWidth="1"/>
    <col min="11532" max="11532" width="17.140625" style="418" customWidth="1"/>
    <col min="11533" max="11534" width="0" style="418" hidden="1" customWidth="1"/>
    <col min="11535" max="11776" width="11.42578125" style="418"/>
    <col min="11777" max="11777" width="22.42578125" style="418" bestFit="1" customWidth="1"/>
    <col min="11778" max="11778" width="3.140625" style="418" bestFit="1" customWidth="1"/>
    <col min="11779" max="11779" width="28.140625" style="418" bestFit="1" customWidth="1"/>
    <col min="11780" max="11780" width="29.42578125" style="418" bestFit="1" customWidth="1"/>
    <col min="11781" max="11781" width="27.28515625" style="418" bestFit="1" customWidth="1"/>
    <col min="11782" max="11782" width="0" style="418" hidden="1" customWidth="1"/>
    <col min="11783" max="11783" width="10.140625" style="418" bestFit="1" customWidth="1"/>
    <col min="11784" max="11784" width="11.5703125" style="418" customWidth="1"/>
    <col min="11785" max="11785" width="13.42578125" style="418" bestFit="1" customWidth="1"/>
    <col min="11786" max="11786" width="14.28515625" style="418" customWidth="1"/>
    <col min="11787" max="11787" width="8.5703125" style="418" customWidth="1"/>
    <col min="11788" max="11788" width="17.140625" style="418" customWidth="1"/>
    <col min="11789" max="11790" width="0" style="418" hidden="1" customWidth="1"/>
    <col min="11791" max="12032" width="11.42578125" style="418"/>
    <col min="12033" max="12033" width="22.42578125" style="418" bestFit="1" customWidth="1"/>
    <col min="12034" max="12034" width="3.140625" style="418" bestFit="1" customWidth="1"/>
    <col min="12035" max="12035" width="28.140625" style="418" bestFit="1" customWidth="1"/>
    <col min="12036" max="12036" width="29.42578125" style="418" bestFit="1" customWidth="1"/>
    <col min="12037" max="12037" width="27.28515625" style="418" bestFit="1" customWidth="1"/>
    <col min="12038" max="12038" width="0" style="418" hidden="1" customWidth="1"/>
    <col min="12039" max="12039" width="10.140625" style="418" bestFit="1" customWidth="1"/>
    <col min="12040" max="12040" width="11.5703125" style="418" customWidth="1"/>
    <col min="12041" max="12041" width="13.42578125" style="418" bestFit="1" customWidth="1"/>
    <col min="12042" max="12042" width="14.28515625" style="418" customWidth="1"/>
    <col min="12043" max="12043" width="8.5703125" style="418" customWidth="1"/>
    <col min="12044" max="12044" width="17.140625" style="418" customWidth="1"/>
    <col min="12045" max="12046" width="0" style="418" hidden="1" customWidth="1"/>
    <col min="12047" max="12288" width="11.42578125" style="418"/>
    <col min="12289" max="12289" width="22.42578125" style="418" bestFit="1" customWidth="1"/>
    <col min="12290" max="12290" width="3.140625" style="418" bestFit="1" customWidth="1"/>
    <col min="12291" max="12291" width="28.140625" style="418" bestFit="1" customWidth="1"/>
    <col min="12292" max="12292" width="29.42578125" style="418" bestFit="1" customWidth="1"/>
    <col min="12293" max="12293" width="27.28515625" style="418" bestFit="1" customWidth="1"/>
    <col min="12294" max="12294" width="0" style="418" hidden="1" customWidth="1"/>
    <col min="12295" max="12295" width="10.140625" style="418" bestFit="1" customWidth="1"/>
    <col min="12296" max="12296" width="11.5703125" style="418" customWidth="1"/>
    <col min="12297" max="12297" width="13.42578125" style="418" bestFit="1" customWidth="1"/>
    <col min="12298" max="12298" width="14.28515625" style="418" customWidth="1"/>
    <col min="12299" max="12299" width="8.5703125" style="418" customWidth="1"/>
    <col min="12300" max="12300" width="17.140625" style="418" customWidth="1"/>
    <col min="12301" max="12302" width="0" style="418" hidden="1" customWidth="1"/>
    <col min="12303" max="12544" width="11.42578125" style="418"/>
    <col min="12545" max="12545" width="22.42578125" style="418" bestFit="1" customWidth="1"/>
    <col min="12546" max="12546" width="3.140625" style="418" bestFit="1" customWidth="1"/>
    <col min="12547" max="12547" width="28.140625" style="418" bestFit="1" customWidth="1"/>
    <col min="12548" max="12548" width="29.42578125" style="418" bestFit="1" customWidth="1"/>
    <col min="12549" max="12549" width="27.28515625" style="418" bestFit="1" customWidth="1"/>
    <col min="12550" max="12550" width="0" style="418" hidden="1" customWidth="1"/>
    <col min="12551" max="12551" width="10.140625" style="418" bestFit="1" customWidth="1"/>
    <col min="12552" max="12552" width="11.5703125" style="418" customWidth="1"/>
    <col min="12553" max="12553" width="13.42578125" style="418" bestFit="1" customWidth="1"/>
    <col min="12554" max="12554" width="14.28515625" style="418" customWidth="1"/>
    <col min="12555" max="12555" width="8.5703125" style="418" customWidth="1"/>
    <col min="12556" max="12556" width="17.140625" style="418" customWidth="1"/>
    <col min="12557" max="12558" width="0" style="418" hidden="1" customWidth="1"/>
    <col min="12559" max="12800" width="11.42578125" style="418"/>
    <col min="12801" max="12801" width="22.42578125" style="418" bestFit="1" customWidth="1"/>
    <col min="12802" max="12802" width="3.140625" style="418" bestFit="1" customWidth="1"/>
    <col min="12803" max="12803" width="28.140625" style="418" bestFit="1" customWidth="1"/>
    <col min="12804" max="12804" width="29.42578125" style="418" bestFit="1" customWidth="1"/>
    <col min="12805" max="12805" width="27.28515625" style="418" bestFit="1" customWidth="1"/>
    <col min="12806" max="12806" width="0" style="418" hidden="1" customWidth="1"/>
    <col min="12807" max="12807" width="10.140625" style="418" bestFit="1" customWidth="1"/>
    <col min="12808" max="12808" width="11.5703125" style="418" customWidth="1"/>
    <col min="12809" max="12809" width="13.42578125" style="418" bestFit="1" customWidth="1"/>
    <col min="12810" max="12810" width="14.28515625" style="418" customWidth="1"/>
    <col min="12811" max="12811" width="8.5703125" style="418" customWidth="1"/>
    <col min="12812" max="12812" width="17.140625" style="418" customWidth="1"/>
    <col min="12813" max="12814" width="0" style="418" hidden="1" customWidth="1"/>
    <col min="12815" max="13056" width="11.42578125" style="418"/>
    <col min="13057" max="13057" width="22.42578125" style="418" bestFit="1" customWidth="1"/>
    <col min="13058" max="13058" width="3.140625" style="418" bestFit="1" customWidth="1"/>
    <col min="13059" max="13059" width="28.140625" style="418" bestFit="1" customWidth="1"/>
    <col min="13060" max="13060" width="29.42578125" style="418" bestFit="1" customWidth="1"/>
    <col min="13061" max="13061" width="27.28515625" style="418" bestFit="1" customWidth="1"/>
    <col min="13062" max="13062" width="0" style="418" hidden="1" customWidth="1"/>
    <col min="13063" max="13063" width="10.140625" style="418" bestFit="1" customWidth="1"/>
    <col min="13064" max="13064" width="11.5703125" style="418" customWidth="1"/>
    <col min="13065" max="13065" width="13.42578125" style="418" bestFit="1" customWidth="1"/>
    <col min="13066" max="13066" width="14.28515625" style="418" customWidth="1"/>
    <col min="13067" max="13067" width="8.5703125" style="418" customWidth="1"/>
    <col min="13068" max="13068" width="17.140625" style="418" customWidth="1"/>
    <col min="13069" max="13070" width="0" style="418" hidden="1" customWidth="1"/>
    <col min="13071" max="13312" width="11.42578125" style="418"/>
    <col min="13313" max="13313" width="22.42578125" style="418" bestFit="1" customWidth="1"/>
    <col min="13314" max="13314" width="3.140625" style="418" bestFit="1" customWidth="1"/>
    <col min="13315" max="13315" width="28.140625" style="418" bestFit="1" customWidth="1"/>
    <col min="13316" max="13316" width="29.42578125" style="418" bestFit="1" customWidth="1"/>
    <col min="13317" max="13317" width="27.28515625" style="418" bestFit="1" customWidth="1"/>
    <col min="13318" max="13318" width="0" style="418" hidden="1" customWidth="1"/>
    <col min="13319" max="13319" width="10.140625" style="418" bestFit="1" customWidth="1"/>
    <col min="13320" max="13320" width="11.5703125" style="418" customWidth="1"/>
    <col min="13321" max="13321" width="13.42578125" style="418" bestFit="1" customWidth="1"/>
    <col min="13322" max="13322" width="14.28515625" style="418" customWidth="1"/>
    <col min="13323" max="13323" width="8.5703125" style="418" customWidth="1"/>
    <col min="13324" max="13324" width="17.140625" style="418" customWidth="1"/>
    <col min="13325" max="13326" width="0" style="418" hidden="1" customWidth="1"/>
    <col min="13327" max="13568" width="11.42578125" style="418"/>
    <col min="13569" max="13569" width="22.42578125" style="418" bestFit="1" customWidth="1"/>
    <col min="13570" max="13570" width="3.140625" style="418" bestFit="1" customWidth="1"/>
    <col min="13571" max="13571" width="28.140625" style="418" bestFit="1" customWidth="1"/>
    <col min="13572" max="13572" width="29.42578125" style="418" bestFit="1" customWidth="1"/>
    <col min="13573" max="13573" width="27.28515625" style="418" bestFit="1" customWidth="1"/>
    <col min="13574" max="13574" width="0" style="418" hidden="1" customWidth="1"/>
    <col min="13575" max="13575" width="10.140625" style="418" bestFit="1" customWidth="1"/>
    <col min="13576" max="13576" width="11.5703125" style="418" customWidth="1"/>
    <col min="13577" max="13577" width="13.42578125" style="418" bestFit="1" customWidth="1"/>
    <col min="13578" max="13578" width="14.28515625" style="418" customWidth="1"/>
    <col min="13579" max="13579" width="8.5703125" style="418" customWidth="1"/>
    <col min="13580" max="13580" width="17.140625" style="418" customWidth="1"/>
    <col min="13581" max="13582" width="0" style="418" hidden="1" customWidth="1"/>
    <col min="13583" max="13824" width="11.42578125" style="418"/>
    <col min="13825" max="13825" width="22.42578125" style="418" bestFit="1" customWidth="1"/>
    <col min="13826" max="13826" width="3.140625" style="418" bestFit="1" customWidth="1"/>
    <col min="13827" max="13827" width="28.140625" style="418" bestFit="1" customWidth="1"/>
    <col min="13828" max="13828" width="29.42578125" style="418" bestFit="1" customWidth="1"/>
    <col min="13829" max="13829" width="27.28515625" style="418" bestFit="1" customWidth="1"/>
    <col min="13830" max="13830" width="0" style="418" hidden="1" customWidth="1"/>
    <col min="13831" max="13831" width="10.140625" style="418" bestFit="1" customWidth="1"/>
    <col min="13832" max="13832" width="11.5703125" style="418" customWidth="1"/>
    <col min="13833" max="13833" width="13.42578125" style="418" bestFit="1" customWidth="1"/>
    <col min="13834" max="13834" width="14.28515625" style="418" customWidth="1"/>
    <col min="13835" max="13835" width="8.5703125" style="418" customWidth="1"/>
    <col min="13836" max="13836" width="17.140625" style="418" customWidth="1"/>
    <col min="13837" max="13838" width="0" style="418" hidden="1" customWidth="1"/>
    <col min="13839" max="14080" width="11.42578125" style="418"/>
    <col min="14081" max="14081" width="22.42578125" style="418" bestFit="1" customWidth="1"/>
    <col min="14082" max="14082" width="3.140625" style="418" bestFit="1" customWidth="1"/>
    <col min="14083" max="14083" width="28.140625" style="418" bestFit="1" customWidth="1"/>
    <col min="14084" max="14084" width="29.42578125" style="418" bestFit="1" customWidth="1"/>
    <col min="14085" max="14085" width="27.28515625" style="418" bestFit="1" customWidth="1"/>
    <col min="14086" max="14086" width="0" style="418" hidden="1" customWidth="1"/>
    <col min="14087" max="14087" width="10.140625" style="418" bestFit="1" customWidth="1"/>
    <col min="14088" max="14088" width="11.5703125" style="418" customWidth="1"/>
    <col min="14089" max="14089" width="13.42578125" style="418" bestFit="1" customWidth="1"/>
    <col min="14090" max="14090" width="14.28515625" style="418" customWidth="1"/>
    <col min="14091" max="14091" width="8.5703125" style="418" customWidth="1"/>
    <col min="14092" max="14092" width="17.140625" style="418" customWidth="1"/>
    <col min="14093" max="14094" width="0" style="418" hidden="1" customWidth="1"/>
    <col min="14095" max="14336" width="11.42578125" style="418"/>
    <col min="14337" max="14337" width="22.42578125" style="418" bestFit="1" customWidth="1"/>
    <col min="14338" max="14338" width="3.140625" style="418" bestFit="1" customWidth="1"/>
    <col min="14339" max="14339" width="28.140625" style="418" bestFit="1" customWidth="1"/>
    <col min="14340" max="14340" width="29.42578125" style="418" bestFit="1" customWidth="1"/>
    <col min="14341" max="14341" width="27.28515625" style="418" bestFit="1" customWidth="1"/>
    <col min="14342" max="14342" width="0" style="418" hidden="1" customWidth="1"/>
    <col min="14343" max="14343" width="10.140625" style="418" bestFit="1" customWidth="1"/>
    <col min="14344" max="14344" width="11.5703125" style="418" customWidth="1"/>
    <col min="14345" max="14345" width="13.42578125" style="418" bestFit="1" customWidth="1"/>
    <col min="14346" max="14346" width="14.28515625" style="418" customWidth="1"/>
    <col min="14347" max="14347" width="8.5703125" style="418" customWidth="1"/>
    <col min="14348" max="14348" width="17.140625" style="418" customWidth="1"/>
    <col min="14349" max="14350" width="0" style="418" hidden="1" customWidth="1"/>
    <col min="14351" max="14592" width="11.42578125" style="418"/>
    <col min="14593" max="14593" width="22.42578125" style="418" bestFit="1" customWidth="1"/>
    <col min="14594" max="14594" width="3.140625" style="418" bestFit="1" customWidth="1"/>
    <col min="14595" max="14595" width="28.140625" style="418" bestFit="1" customWidth="1"/>
    <col min="14596" max="14596" width="29.42578125" style="418" bestFit="1" customWidth="1"/>
    <col min="14597" max="14597" width="27.28515625" style="418" bestFit="1" customWidth="1"/>
    <col min="14598" max="14598" width="0" style="418" hidden="1" customWidth="1"/>
    <col min="14599" max="14599" width="10.140625" style="418" bestFit="1" customWidth="1"/>
    <col min="14600" max="14600" width="11.5703125" style="418" customWidth="1"/>
    <col min="14601" max="14601" width="13.42578125" style="418" bestFit="1" customWidth="1"/>
    <col min="14602" max="14602" width="14.28515625" style="418" customWidth="1"/>
    <col min="14603" max="14603" width="8.5703125" style="418" customWidth="1"/>
    <col min="14604" max="14604" width="17.140625" style="418" customWidth="1"/>
    <col min="14605" max="14606" width="0" style="418" hidden="1" customWidth="1"/>
    <col min="14607" max="14848" width="11.42578125" style="418"/>
    <col min="14849" max="14849" width="22.42578125" style="418" bestFit="1" customWidth="1"/>
    <col min="14850" max="14850" width="3.140625" style="418" bestFit="1" customWidth="1"/>
    <col min="14851" max="14851" width="28.140625" style="418" bestFit="1" customWidth="1"/>
    <col min="14852" max="14852" width="29.42578125" style="418" bestFit="1" customWidth="1"/>
    <col min="14853" max="14853" width="27.28515625" style="418" bestFit="1" customWidth="1"/>
    <col min="14854" max="14854" width="0" style="418" hidden="1" customWidth="1"/>
    <col min="14855" max="14855" width="10.140625" style="418" bestFit="1" customWidth="1"/>
    <col min="14856" max="14856" width="11.5703125" style="418" customWidth="1"/>
    <col min="14857" max="14857" width="13.42578125" style="418" bestFit="1" customWidth="1"/>
    <col min="14858" max="14858" width="14.28515625" style="418" customWidth="1"/>
    <col min="14859" max="14859" width="8.5703125" style="418" customWidth="1"/>
    <col min="14860" max="14860" width="17.140625" style="418" customWidth="1"/>
    <col min="14861" max="14862" width="0" style="418" hidden="1" customWidth="1"/>
    <col min="14863" max="15104" width="11.42578125" style="418"/>
    <col min="15105" max="15105" width="22.42578125" style="418" bestFit="1" customWidth="1"/>
    <col min="15106" max="15106" width="3.140625" style="418" bestFit="1" customWidth="1"/>
    <col min="15107" max="15107" width="28.140625" style="418" bestFit="1" customWidth="1"/>
    <col min="15108" max="15108" width="29.42578125" style="418" bestFit="1" customWidth="1"/>
    <col min="15109" max="15109" width="27.28515625" style="418" bestFit="1" customWidth="1"/>
    <col min="15110" max="15110" width="0" style="418" hidden="1" customWidth="1"/>
    <col min="15111" max="15111" width="10.140625" style="418" bestFit="1" customWidth="1"/>
    <col min="15112" max="15112" width="11.5703125" style="418" customWidth="1"/>
    <col min="15113" max="15113" width="13.42578125" style="418" bestFit="1" customWidth="1"/>
    <col min="15114" max="15114" width="14.28515625" style="418" customWidth="1"/>
    <col min="15115" max="15115" width="8.5703125" style="418" customWidth="1"/>
    <col min="15116" max="15116" width="17.140625" style="418" customWidth="1"/>
    <col min="15117" max="15118" width="0" style="418" hidden="1" customWidth="1"/>
    <col min="15119" max="15360" width="11.42578125" style="418"/>
    <col min="15361" max="15361" width="22.42578125" style="418" bestFit="1" customWidth="1"/>
    <col min="15362" max="15362" width="3.140625" style="418" bestFit="1" customWidth="1"/>
    <col min="15363" max="15363" width="28.140625" style="418" bestFit="1" customWidth="1"/>
    <col min="15364" max="15364" width="29.42578125" style="418" bestFit="1" customWidth="1"/>
    <col min="15365" max="15365" width="27.28515625" style="418" bestFit="1" customWidth="1"/>
    <col min="15366" max="15366" width="0" style="418" hidden="1" customWidth="1"/>
    <col min="15367" max="15367" width="10.140625" style="418" bestFit="1" customWidth="1"/>
    <col min="15368" max="15368" width="11.5703125" style="418" customWidth="1"/>
    <col min="15369" max="15369" width="13.42578125" style="418" bestFit="1" customWidth="1"/>
    <col min="15370" max="15370" width="14.28515625" style="418" customWidth="1"/>
    <col min="15371" max="15371" width="8.5703125" style="418" customWidth="1"/>
    <col min="15372" max="15372" width="17.140625" style="418" customWidth="1"/>
    <col min="15373" max="15374" width="0" style="418" hidden="1" customWidth="1"/>
    <col min="15375" max="15616" width="11.42578125" style="418"/>
    <col min="15617" max="15617" width="22.42578125" style="418" bestFit="1" customWidth="1"/>
    <col min="15618" max="15618" width="3.140625" style="418" bestFit="1" customWidth="1"/>
    <col min="15619" max="15619" width="28.140625" style="418" bestFit="1" customWidth="1"/>
    <col min="15620" max="15620" width="29.42578125" style="418" bestFit="1" customWidth="1"/>
    <col min="15621" max="15621" width="27.28515625" style="418" bestFit="1" customWidth="1"/>
    <col min="15622" max="15622" width="0" style="418" hidden="1" customWidth="1"/>
    <col min="15623" max="15623" width="10.140625" style="418" bestFit="1" customWidth="1"/>
    <col min="15624" max="15624" width="11.5703125" style="418" customWidth="1"/>
    <col min="15625" max="15625" width="13.42578125" style="418" bestFit="1" customWidth="1"/>
    <col min="15626" max="15626" width="14.28515625" style="418" customWidth="1"/>
    <col min="15627" max="15627" width="8.5703125" style="418" customWidth="1"/>
    <col min="15628" max="15628" width="17.140625" style="418" customWidth="1"/>
    <col min="15629" max="15630" width="0" style="418" hidden="1" customWidth="1"/>
    <col min="15631" max="15872" width="11.42578125" style="418"/>
    <col min="15873" max="15873" width="22.42578125" style="418" bestFit="1" customWidth="1"/>
    <col min="15874" max="15874" width="3.140625" style="418" bestFit="1" customWidth="1"/>
    <col min="15875" max="15875" width="28.140625" style="418" bestFit="1" customWidth="1"/>
    <col min="15876" max="15876" width="29.42578125" style="418" bestFit="1" customWidth="1"/>
    <col min="15877" max="15877" width="27.28515625" style="418" bestFit="1" customWidth="1"/>
    <col min="15878" max="15878" width="0" style="418" hidden="1" customWidth="1"/>
    <col min="15879" max="15879" width="10.140625" style="418" bestFit="1" customWidth="1"/>
    <col min="15880" max="15880" width="11.5703125" style="418" customWidth="1"/>
    <col min="15881" max="15881" width="13.42578125" style="418" bestFit="1" customWidth="1"/>
    <col min="15882" max="15882" width="14.28515625" style="418" customWidth="1"/>
    <col min="15883" max="15883" width="8.5703125" style="418" customWidth="1"/>
    <col min="15884" max="15884" width="17.140625" style="418" customWidth="1"/>
    <col min="15885" max="15886" width="0" style="418" hidden="1" customWidth="1"/>
    <col min="15887" max="16128" width="11.42578125" style="418"/>
    <col min="16129" max="16129" width="22.42578125" style="418" bestFit="1" customWidth="1"/>
    <col min="16130" max="16130" width="3.140625" style="418" bestFit="1" customWidth="1"/>
    <col min="16131" max="16131" width="28.140625" style="418" bestFit="1" customWidth="1"/>
    <col min="16132" max="16132" width="29.42578125" style="418" bestFit="1" customWidth="1"/>
    <col min="16133" max="16133" width="27.28515625" style="418" bestFit="1" customWidth="1"/>
    <col min="16134" max="16134" width="0" style="418" hidden="1" customWidth="1"/>
    <col min="16135" max="16135" width="10.140625" style="418" bestFit="1" customWidth="1"/>
    <col min="16136" max="16136" width="11.5703125" style="418" customWidth="1"/>
    <col min="16137" max="16137" width="13.42578125" style="418" bestFit="1" customWidth="1"/>
    <col min="16138" max="16138" width="14.28515625" style="418" customWidth="1"/>
    <col min="16139" max="16139" width="8.5703125" style="418" customWidth="1"/>
    <col min="16140" max="16140" width="17.140625" style="418" customWidth="1"/>
    <col min="16141" max="16142" width="0" style="418" hidden="1" customWidth="1"/>
    <col min="16143" max="16384" width="11.42578125" style="418"/>
  </cols>
  <sheetData>
    <row r="1" spans="1:14" s="451" customFormat="1" ht="38.25">
      <c r="A1" s="447"/>
      <c r="B1" s="448"/>
      <c r="C1" s="447"/>
      <c r="D1" s="447" t="s">
        <v>293</v>
      </c>
      <c r="E1" s="449" t="s">
        <v>294</v>
      </c>
      <c r="F1" s="449" t="s">
        <v>294</v>
      </c>
      <c r="G1" s="449" t="s">
        <v>295</v>
      </c>
      <c r="H1" s="449" t="s">
        <v>296</v>
      </c>
      <c r="I1" s="449" t="s">
        <v>297</v>
      </c>
      <c r="J1" s="449" t="s">
        <v>201</v>
      </c>
      <c r="K1" s="449" t="s">
        <v>220</v>
      </c>
      <c r="L1" s="449" t="s">
        <v>298</v>
      </c>
      <c r="M1" s="450" t="s">
        <v>299</v>
      </c>
      <c r="N1" s="449" t="s">
        <v>223</v>
      </c>
    </row>
    <row r="2" spans="1:14">
      <c r="A2" s="452" t="s">
        <v>300</v>
      </c>
      <c r="B2" s="453">
        <v>1</v>
      </c>
      <c r="C2" s="454" t="s">
        <v>301</v>
      </c>
      <c r="D2" s="453" t="s">
        <v>151</v>
      </c>
      <c r="E2" s="455">
        <v>50</v>
      </c>
      <c r="F2" s="455"/>
      <c r="G2" s="455">
        <v>0</v>
      </c>
      <c r="H2" s="455"/>
      <c r="I2" s="455">
        <v>0</v>
      </c>
      <c r="J2" s="456">
        <v>1</v>
      </c>
      <c r="K2" s="455">
        <f>INT(40/E2)</f>
        <v>0</v>
      </c>
      <c r="L2" s="455">
        <v>0</v>
      </c>
      <c r="M2" s="457"/>
      <c r="N2" s="458"/>
    </row>
    <row r="3" spans="1:14">
      <c r="A3" s="459" t="s">
        <v>300</v>
      </c>
      <c r="B3" s="453">
        <v>1</v>
      </c>
      <c r="C3" s="454" t="s">
        <v>301</v>
      </c>
      <c r="D3" s="453" t="s">
        <v>99</v>
      </c>
      <c r="E3" s="455">
        <v>50</v>
      </c>
      <c r="F3" s="455"/>
      <c r="G3" s="455">
        <v>0</v>
      </c>
      <c r="H3" s="455"/>
      <c r="I3" s="455">
        <v>0</v>
      </c>
      <c r="J3" s="456">
        <v>1</v>
      </c>
      <c r="K3" s="455">
        <f t="shared" ref="K3:K28" si="0">INT(40/E3)</f>
        <v>0</v>
      </c>
      <c r="L3" s="455">
        <v>0</v>
      </c>
      <c r="M3" s="457"/>
      <c r="N3" s="458"/>
    </row>
    <row r="4" spans="1:14">
      <c r="A4" s="459" t="s">
        <v>300</v>
      </c>
      <c r="B4" s="453">
        <v>1</v>
      </c>
      <c r="C4" s="454" t="s">
        <v>301</v>
      </c>
      <c r="D4" s="453" t="s">
        <v>302</v>
      </c>
      <c r="E4" s="455">
        <v>50</v>
      </c>
      <c r="F4" s="455"/>
      <c r="G4" s="455">
        <v>0</v>
      </c>
      <c r="H4" s="455"/>
      <c r="I4" s="455">
        <v>0</v>
      </c>
      <c r="J4" s="456">
        <v>1</v>
      </c>
      <c r="K4" s="455">
        <f t="shared" si="0"/>
        <v>0</v>
      </c>
      <c r="L4" s="455">
        <v>0</v>
      </c>
      <c r="M4" s="457"/>
      <c r="N4" s="458"/>
    </row>
    <row r="5" spans="1:14">
      <c r="A5" s="459" t="s">
        <v>300</v>
      </c>
      <c r="B5" s="453">
        <v>2</v>
      </c>
      <c r="C5" s="454" t="s">
        <v>204</v>
      </c>
      <c r="D5" s="453" t="s">
        <v>119</v>
      </c>
      <c r="E5" s="455">
        <v>50</v>
      </c>
      <c r="F5" s="455"/>
      <c r="G5" s="455">
        <v>100830</v>
      </c>
      <c r="H5" s="455">
        <f>G5*0.8</f>
        <v>80664</v>
      </c>
      <c r="I5" s="455">
        <f>H5*1.021</f>
        <v>82357.943999999989</v>
      </c>
      <c r="J5" s="456">
        <v>1.25</v>
      </c>
      <c r="K5" s="455">
        <f t="shared" si="0"/>
        <v>0</v>
      </c>
      <c r="L5" s="455">
        <v>0</v>
      </c>
      <c r="M5" s="457"/>
      <c r="N5" s="458"/>
    </row>
    <row r="6" spans="1:14">
      <c r="A6" s="459" t="s">
        <v>300</v>
      </c>
      <c r="B6" s="453">
        <v>2</v>
      </c>
      <c r="C6" s="454" t="s">
        <v>204</v>
      </c>
      <c r="D6" s="453" t="s">
        <v>303</v>
      </c>
      <c r="E6" s="455">
        <v>30</v>
      </c>
      <c r="F6" s="455"/>
      <c r="G6" s="455">
        <v>147019</v>
      </c>
      <c r="H6" s="455">
        <f t="shared" ref="H6:H28" si="1">G6*0.8</f>
        <v>117615.20000000001</v>
      </c>
      <c r="I6" s="455">
        <f t="shared" ref="I6:I28" si="2">H6*1.021</f>
        <v>120085.1192</v>
      </c>
      <c r="J6" s="456">
        <v>1.25</v>
      </c>
      <c r="K6" s="455">
        <f t="shared" si="0"/>
        <v>1</v>
      </c>
      <c r="L6" s="455">
        <f>I6*J6*K6</f>
        <v>150106.399</v>
      </c>
      <c r="M6" s="457">
        <f>+L6</f>
        <v>150106.399</v>
      </c>
      <c r="N6" s="458"/>
    </row>
    <row r="7" spans="1:14">
      <c r="A7" s="459" t="s">
        <v>300</v>
      </c>
      <c r="B7" s="453">
        <v>3</v>
      </c>
      <c r="C7" s="454" t="s">
        <v>48</v>
      </c>
      <c r="D7" s="453" t="s">
        <v>304</v>
      </c>
      <c r="E7" s="455">
        <v>15</v>
      </c>
      <c r="F7" s="455">
        <v>5880.7600000000011</v>
      </c>
      <c r="G7" s="455">
        <v>30744</v>
      </c>
      <c r="H7" s="455">
        <f t="shared" si="1"/>
        <v>24595.200000000001</v>
      </c>
      <c r="I7" s="455">
        <f t="shared" si="2"/>
        <v>25111.699199999999</v>
      </c>
      <c r="J7" s="456">
        <v>1.25</v>
      </c>
      <c r="K7" s="455">
        <f t="shared" si="0"/>
        <v>2</v>
      </c>
      <c r="L7" s="455">
        <f t="shared" ref="L7:L28" si="3">I7*J7*K7</f>
        <v>62779.248</v>
      </c>
      <c r="M7" s="457">
        <f>+L7</f>
        <v>62779.248</v>
      </c>
      <c r="N7" s="458"/>
    </row>
    <row r="8" spans="1:14">
      <c r="A8" s="459" t="s">
        <v>300</v>
      </c>
      <c r="B8" s="453">
        <v>3</v>
      </c>
      <c r="C8" s="454" t="s">
        <v>48</v>
      </c>
      <c r="D8" s="453" t="s">
        <v>305</v>
      </c>
      <c r="E8" s="455">
        <v>30</v>
      </c>
      <c r="F8" s="455">
        <v>9409.2160000000003</v>
      </c>
      <c r="G8" s="455">
        <v>15000</v>
      </c>
      <c r="H8" s="455">
        <f t="shared" si="1"/>
        <v>12000</v>
      </c>
      <c r="I8" s="455">
        <f t="shared" si="2"/>
        <v>12251.999999999998</v>
      </c>
      <c r="J8" s="456">
        <v>1.25</v>
      </c>
      <c r="K8" s="455">
        <f t="shared" si="0"/>
        <v>1</v>
      </c>
      <c r="L8" s="455">
        <f t="shared" si="3"/>
        <v>15314.999999999998</v>
      </c>
      <c r="M8" s="457">
        <f>+L8</f>
        <v>15314.999999999998</v>
      </c>
      <c r="N8" s="458"/>
    </row>
    <row r="9" spans="1:14">
      <c r="A9" s="459" t="s">
        <v>300</v>
      </c>
      <c r="B9" s="453">
        <v>4</v>
      </c>
      <c r="C9" s="454" t="s">
        <v>205</v>
      </c>
      <c r="D9" s="453" t="s">
        <v>306</v>
      </c>
      <c r="E9" s="455">
        <v>15</v>
      </c>
      <c r="F9" s="455">
        <v>5880.7600000000011</v>
      </c>
      <c r="G9" s="455">
        <v>10000</v>
      </c>
      <c r="H9" s="455">
        <f t="shared" si="1"/>
        <v>8000</v>
      </c>
      <c r="I9" s="455">
        <f t="shared" si="2"/>
        <v>8167.9999999999991</v>
      </c>
      <c r="J9" s="456">
        <v>1.25</v>
      </c>
      <c r="K9" s="455">
        <f t="shared" si="0"/>
        <v>2</v>
      </c>
      <c r="L9" s="455">
        <f t="shared" si="3"/>
        <v>20419.999999999996</v>
      </c>
      <c r="M9" s="457">
        <f>+L9</f>
        <v>20419.999999999996</v>
      </c>
      <c r="N9" s="458"/>
    </row>
    <row r="10" spans="1:14">
      <c r="A10" s="459" t="s">
        <v>300</v>
      </c>
      <c r="B10" s="453">
        <v>5</v>
      </c>
      <c r="C10" s="454" t="s">
        <v>206</v>
      </c>
      <c r="D10" s="453" t="s">
        <v>307</v>
      </c>
      <c r="E10" s="455">
        <v>30</v>
      </c>
      <c r="F10" s="455"/>
      <c r="G10" s="455">
        <v>35000</v>
      </c>
      <c r="H10" s="455">
        <f t="shared" si="1"/>
        <v>28000</v>
      </c>
      <c r="I10" s="455">
        <f t="shared" si="2"/>
        <v>28587.999999999996</v>
      </c>
      <c r="J10" s="456">
        <v>1.25</v>
      </c>
      <c r="K10" s="455">
        <f t="shared" si="0"/>
        <v>1</v>
      </c>
      <c r="L10" s="455">
        <f t="shared" si="3"/>
        <v>35734.999999999993</v>
      </c>
      <c r="M10" s="457">
        <f t="shared" ref="M10:M28" si="4">+L10</f>
        <v>35734.999999999993</v>
      </c>
      <c r="N10" s="458"/>
    </row>
    <row r="11" spans="1:14">
      <c r="A11" s="459" t="s">
        <v>300</v>
      </c>
      <c r="B11" s="453">
        <v>6</v>
      </c>
      <c r="C11" s="454" t="s">
        <v>207</v>
      </c>
      <c r="D11" s="453" t="s">
        <v>308</v>
      </c>
      <c r="E11" s="455">
        <v>20</v>
      </c>
      <c r="F11" s="455"/>
      <c r="G11" s="455">
        <v>220200</v>
      </c>
      <c r="H11" s="455">
        <f t="shared" si="1"/>
        <v>176160</v>
      </c>
      <c r="I11" s="455">
        <f t="shared" si="2"/>
        <v>179859.36</v>
      </c>
      <c r="J11" s="456">
        <v>0.5</v>
      </c>
      <c r="K11" s="455">
        <f t="shared" si="0"/>
        <v>2</v>
      </c>
      <c r="L11" s="455">
        <f t="shared" si="3"/>
        <v>179859.36</v>
      </c>
      <c r="M11" s="457">
        <f t="shared" si="4"/>
        <v>179859.36</v>
      </c>
      <c r="N11" s="458"/>
    </row>
    <row r="12" spans="1:14">
      <c r="A12" s="459" t="s">
        <v>309</v>
      </c>
      <c r="B12" s="453">
        <v>7</v>
      </c>
      <c r="C12" s="454" t="s">
        <v>208</v>
      </c>
      <c r="D12" s="453" t="s">
        <v>310</v>
      </c>
      <c r="E12" s="455">
        <v>25</v>
      </c>
      <c r="F12" s="455"/>
      <c r="G12" s="455">
        <v>419149</v>
      </c>
      <c r="H12" s="455">
        <f t="shared" si="1"/>
        <v>335319.2</v>
      </c>
      <c r="I12" s="455">
        <f t="shared" si="2"/>
        <v>342360.9032</v>
      </c>
      <c r="J12" s="456">
        <v>1.5</v>
      </c>
      <c r="K12" s="455">
        <f t="shared" si="0"/>
        <v>1</v>
      </c>
      <c r="L12" s="455">
        <f t="shared" si="3"/>
        <v>513541.35479999997</v>
      </c>
      <c r="M12" s="457">
        <f t="shared" si="4"/>
        <v>513541.35479999997</v>
      </c>
      <c r="N12" s="458"/>
    </row>
    <row r="13" spans="1:14">
      <c r="A13" s="459" t="s">
        <v>309</v>
      </c>
      <c r="B13" s="453">
        <v>8</v>
      </c>
      <c r="C13" s="454" t="s">
        <v>44</v>
      </c>
      <c r="D13" s="453" t="s">
        <v>311</v>
      </c>
      <c r="E13" s="455">
        <v>25</v>
      </c>
      <c r="F13" s="455"/>
      <c r="G13" s="455">
        <v>44800</v>
      </c>
      <c r="H13" s="455">
        <f t="shared" si="1"/>
        <v>35840</v>
      </c>
      <c r="I13" s="455">
        <f t="shared" si="2"/>
        <v>36592.639999999999</v>
      </c>
      <c r="J13" s="456">
        <v>1.5</v>
      </c>
      <c r="K13" s="455">
        <f t="shared" si="0"/>
        <v>1</v>
      </c>
      <c r="L13" s="455">
        <f t="shared" si="3"/>
        <v>54888.959999999999</v>
      </c>
      <c r="M13" s="457">
        <f t="shared" si="4"/>
        <v>54888.959999999999</v>
      </c>
      <c r="N13" s="458"/>
    </row>
    <row r="14" spans="1:14">
      <c r="A14" s="459" t="s">
        <v>312</v>
      </c>
      <c r="B14" s="453">
        <v>9</v>
      </c>
      <c r="C14" s="454" t="s">
        <v>209</v>
      </c>
      <c r="D14" s="453" t="s">
        <v>313</v>
      </c>
      <c r="E14" s="455">
        <v>25</v>
      </c>
      <c r="F14" s="455"/>
      <c r="G14" s="455">
        <v>350713</v>
      </c>
      <c r="H14" s="455">
        <f t="shared" si="1"/>
        <v>280570.40000000002</v>
      </c>
      <c r="I14" s="455">
        <f t="shared" si="2"/>
        <v>286462.37839999999</v>
      </c>
      <c r="J14" s="456">
        <v>1.25</v>
      </c>
      <c r="K14" s="455">
        <f t="shared" si="0"/>
        <v>1</v>
      </c>
      <c r="L14" s="455">
        <f t="shared" si="3"/>
        <v>358077.973</v>
      </c>
      <c r="M14" s="457">
        <f t="shared" si="4"/>
        <v>358077.973</v>
      </c>
      <c r="N14" s="458"/>
    </row>
    <row r="15" spans="1:14">
      <c r="A15" s="459" t="s">
        <v>312</v>
      </c>
      <c r="B15" s="453">
        <v>9</v>
      </c>
      <c r="C15" s="454" t="s">
        <v>209</v>
      </c>
      <c r="D15" s="453" t="s">
        <v>314</v>
      </c>
      <c r="E15" s="455">
        <v>15</v>
      </c>
      <c r="F15" s="455"/>
      <c r="G15" s="455">
        <v>240027</v>
      </c>
      <c r="H15" s="455">
        <f t="shared" si="1"/>
        <v>192021.6</v>
      </c>
      <c r="I15" s="455">
        <f t="shared" si="2"/>
        <v>196054.05359999998</v>
      </c>
      <c r="J15" s="456">
        <v>1.25</v>
      </c>
      <c r="K15" s="455">
        <f t="shared" si="0"/>
        <v>2</v>
      </c>
      <c r="L15" s="455">
        <f t="shared" si="3"/>
        <v>490135.13399999996</v>
      </c>
      <c r="M15" s="457"/>
      <c r="N15" s="458"/>
    </row>
    <row r="16" spans="1:14">
      <c r="A16" s="459" t="s">
        <v>312</v>
      </c>
      <c r="B16" s="453">
        <v>9</v>
      </c>
      <c r="C16" s="454" t="s">
        <v>209</v>
      </c>
      <c r="D16" s="453" t="s">
        <v>315</v>
      </c>
      <c r="E16" s="455">
        <v>15</v>
      </c>
      <c r="F16" s="455">
        <v>84171.12000000001</v>
      </c>
      <c r="G16" s="455">
        <v>61740</v>
      </c>
      <c r="H16" s="455">
        <f t="shared" si="1"/>
        <v>49392</v>
      </c>
      <c r="I16" s="455">
        <f t="shared" si="2"/>
        <v>50429.231999999996</v>
      </c>
      <c r="J16" s="456">
        <v>1.25</v>
      </c>
      <c r="K16" s="455">
        <f t="shared" si="0"/>
        <v>2</v>
      </c>
      <c r="L16" s="455">
        <f t="shared" si="3"/>
        <v>126073.07999999999</v>
      </c>
      <c r="M16" s="457">
        <f t="shared" si="4"/>
        <v>126073.07999999999</v>
      </c>
      <c r="N16" s="458"/>
    </row>
    <row r="17" spans="1:15">
      <c r="A17" s="459" t="s">
        <v>316</v>
      </c>
      <c r="B17" s="453"/>
      <c r="C17" s="454" t="s">
        <v>210</v>
      </c>
      <c r="D17" s="453" t="s">
        <v>317</v>
      </c>
      <c r="E17" s="455">
        <v>25</v>
      </c>
      <c r="F17" s="455"/>
      <c r="G17" s="455">
        <v>230358</v>
      </c>
      <c r="H17" s="455">
        <f t="shared" si="1"/>
        <v>184286.40000000002</v>
      </c>
      <c r="I17" s="455">
        <f t="shared" si="2"/>
        <v>188156.41440000001</v>
      </c>
      <c r="J17" s="456">
        <v>1.25</v>
      </c>
      <c r="K17" s="455">
        <f t="shared" si="0"/>
        <v>1</v>
      </c>
      <c r="L17" s="455">
        <f t="shared" si="3"/>
        <v>235195.51800000001</v>
      </c>
      <c r="M17" s="457"/>
      <c r="N17" s="458"/>
    </row>
    <row r="18" spans="1:15">
      <c r="A18" s="459" t="s">
        <v>309</v>
      </c>
      <c r="B18" s="453">
        <v>10</v>
      </c>
      <c r="C18" s="454" t="s">
        <v>211</v>
      </c>
      <c r="D18" s="453" t="s">
        <v>318</v>
      </c>
      <c r="E18" s="455">
        <v>15</v>
      </c>
      <c r="F18" s="455"/>
      <c r="G18" s="455">
        <v>104102</v>
      </c>
      <c r="H18" s="455">
        <f t="shared" si="1"/>
        <v>83281.600000000006</v>
      </c>
      <c r="I18" s="455">
        <f t="shared" si="2"/>
        <v>85030.513599999991</v>
      </c>
      <c r="J18" s="456">
        <v>1.25</v>
      </c>
      <c r="K18" s="455">
        <f t="shared" si="0"/>
        <v>2</v>
      </c>
      <c r="L18" s="455">
        <f t="shared" si="3"/>
        <v>212576.28399999999</v>
      </c>
      <c r="M18" s="457">
        <f t="shared" si="4"/>
        <v>212576.28399999999</v>
      </c>
      <c r="N18" s="458"/>
    </row>
    <row r="19" spans="1:15">
      <c r="A19" s="459" t="s">
        <v>309</v>
      </c>
      <c r="B19" s="453">
        <v>10</v>
      </c>
      <c r="C19" s="454" t="s">
        <v>211</v>
      </c>
      <c r="D19" s="453" t="s">
        <v>319</v>
      </c>
      <c r="E19" s="455">
        <v>15</v>
      </c>
      <c r="F19" s="455">
        <v>54133.040000000008</v>
      </c>
      <c r="G19" s="455">
        <v>5969</v>
      </c>
      <c r="H19" s="455">
        <f t="shared" si="1"/>
        <v>4775.2</v>
      </c>
      <c r="I19" s="455">
        <f t="shared" si="2"/>
        <v>4875.4791999999998</v>
      </c>
      <c r="J19" s="456">
        <v>1.25</v>
      </c>
      <c r="K19" s="455">
        <f t="shared" si="0"/>
        <v>2</v>
      </c>
      <c r="L19" s="455">
        <f t="shared" si="3"/>
        <v>12188.698</v>
      </c>
      <c r="M19" s="457">
        <f t="shared" si="4"/>
        <v>12188.698</v>
      </c>
      <c r="N19" s="458"/>
    </row>
    <row r="20" spans="1:15">
      <c r="A20" s="459" t="s">
        <v>309</v>
      </c>
      <c r="B20" s="453">
        <v>10</v>
      </c>
      <c r="C20" s="454" t="s">
        <v>320</v>
      </c>
      <c r="D20" s="453" t="s">
        <v>321</v>
      </c>
      <c r="E20" s="455">
        <v>30</v>
      </c>
      <c r="F20" s="455"/>
      <c r="G20" s="455">
        <v>141898</v>
      </c>
      <c r="H20" s="455">
        <f t="shared" si="1"/>
        <v>113518.40000000001</v>
      </c>
      <c r="I20" s="455">
        <f t="shared" si="2"/>
        <v>115902.2864</v>
      </c>
      <c r="J20" s="456">
        <v>1.25</v>
      </c>
      <c r="K20" s="455">
        <f t="shared" si="0"/>
        <v>1</v>
      </c>
      <c r="L20" s="455">
        <f t="shared" si="3"/>
        <v>144877.85800000001</v>
      </c>
      <c r="M20" s="457"/>
      <c r="N20" s="458"/>
    </row>
    <row r="21" spans="1:15">
      <c r="A21" s="459" t="s">
        <v>309</v>
      </c>
      <c r="B21" s="453">
        <v>10</v>
      </c>
      <c r="C21" s="454" t="s">
        <v>212</v>
      </c>
      <c r="D21" s="453" t="s">
        <v>322</v>
      </c>
      <c r="E21" s="455">
        <v>25</v>
      </c>
      <c r="F21" s="455"/>
      <c r="G21" s="455">
        <v>250000</v>
      </c>
      <c r="H21" s="455">
        <f t="shared" si="1"/>
        <v>200000</v>
      </c>
      <c r="I21" s="455">
        <f t="shared" si="2"/>
        <v>204199.99999999997</v>
      </c>
      <c r="J21" s="456">
        <v>1.25</v>
      </c>
      <c r="K21" s="455">
        <f t="shared" si="0"/>
        <v>1</v>
      </c>
      <c r="L21" s="455">
        <f t="shared" si="3"/>
        <v>255249.99999999997</v>
      </c>
      <c r="M21" s="457">
        <f t="shared" si="4"/>
        <v>255249.99999999997</v>
      </c>
      <c r="N21" s="458"/>
    </row>
    <row r="22" spans="1:15">
      <c r="A22" s="459" t="s">
        <v>309</v>
      </c>
      <c r="B22" s="453">
        <v>12</v>
      </c>
      <c r="C22" s="454" t="s">
        <v>213</v>
      </c>
      <c r="D22" s="453" t="s">
        <v>323</v>
      </c>
      <c r="E22" s="455">
        <v>30</v>
      </c>
      <c r="F22" s="455"/>
      <c r="G22" s="455">
        <v>154167</v>
      </c>
      <c r="H22" s="455">
        <f t="shared" si="1"/>
        <v>123333.6</v>
      </c>
      <c r="I22" s="455">
        <f t="shared" si="2"/>
        <v>125923.6056</v>
      </c>
      <c r="J22" s="456">
        <v>1.25</v>
      </c>
      <c r="K22" s="455">
        <f t="shared" si="0"/>
        <v>1</v>
      </c>
      <c r="L22" s="455">
        <f t="shared" si="3"/>
        <v>157404.50699999998</v>
      </c>
      <c r="M22" s="457">
        <f t="shared" si="4"/>
        <v>157404.50699999998</v>
      </c>
      <c r="N22" s="458"/>
    </row>
    <row r="23" spans="1:15">
      <c r="A23" s="459" t="s">
        <v>309</v>
      </c>
      <c r="B23" s="453">
        <v>12</v>
      </c>
      <c r="C23" s="454" t="s">
        <v>213</v>
      </c>
      <c r="D23" s="453" t="s">
        <v>324</v>
      </c>
      <c r="E23" s="455">
        <v>15</v>
      </c>
      <c r="F23" s="455"/>
      <c r="G23" s="455">
        <v>54737</v>
      </c>
      <c r="H23" s="455">
        <f t="shared" si="1"/>
        <v>43789.600000000006</v>
      </c>
      <c r="I23" s="455">
        <f t="shared" si="2"/>
        <v>44709.181600000004</v>
      </c>
      <c r="J23" s="456">
        <v>1.25</v>
      </c>
      <c r="K23" s="455">
        <f t="shared" si="0"/>
        <v>2</v>
      </c>
      <c r="L23" s="455">
        <f t="shared" si="3"/>
        <v>111772.95400000001</v>
      </c>
      <c r="M23" s="457"/>
      <c r="N23" s="458"/>
    </row>
    <row r="24" spans="1:15">
      <c r="A24" s="459" t="s">
        <v>312</v>
      </c>
      <c r="B24" s="453">
        <v>13</v>
      </c>
      <c r="C24" s="453" t="s">
        <v>38</v>
      </c>
      <c r="D24" s="453" t="s">
        <v>325</v>
      </c>
      <c r="E24" s="455">
        <v>15</v>
      </c>
      <c r="F24" s="455"/>
      <c r="G24" s="455">
        <v>81508</v>
      </c>
      <c r="H24" s="455">
        <f t="shared" si="1"/>
        <v>65206.400000000001</v>
      </c>
      <c r="I24" s="455">
        <f t="shared" si="2"/>
        <v>66575.734400000001</v>
      </c>
      <c r="J24" s="456">
        <v>1.25</v>
      </c>
      <c r="K24" s="455">
        <f t="shared" si="0"/>
        <v>2</v>
      </c>
      <c r="L24" s="455">
        <f t="shared" si="3"/>
        <v>166439.33600000001</v>
      </c>
      <c r="M24" s="457">
        <f t="shared" si="4"/>
        <v>166439.33600000001</v>
      </c>
      <c r="N24" s="458"/>
    </row>
    <row r="25" spans="1:15">
      <c r="A25" s="459" t="s">
        <v>312</v>
      </c>
      <c r="B25" s="453">
        <v>13</v>
      </c>
      <c r="C25" s="453" t="s">
        <v>38</v>
      </c>
      <c r="D25" s="453" t="s">
        <v>326</v>
      </c>
      <c r="E25" s="455">
        <v>10</v>
      </c>
      <c r="F25" s="455"/>
      <c r="G25" s="455">
        <v>162584</v>
      </c>
      <c r="H25" s="455">
        <f t="shared" si="1"/>
        <v>130067.20000000001</v>
      </c>
      <c r="I25" s="455">
        <f t="shared" si="2"/>
        <v>132798.61120000001</v>
      </c>
      <c r="J25" s="456">
        <v>1.25</v>
      </c>
      <c r="K25" s="455">
        <f t="shared" si="0"/>
        <v>4</v>
      </c>
      <c r="L25" s="455">
        <f t="shared" si="3"/>
        <v>663993.0560000001</v>
      </c>
      <c r="M25" s="457"/>
      <c r="N25" s="458"/>
    </row>
    <row r="26" spans="1:15">
      <c r="A26" s="459" t="s">
        <v>312</v>
      </c>
      <c r="B26" s="453">
        <v>13</v>
      </c>
      <c r="C26" s="453" t="s">
        <v>38</v>
      </c>
      <c r="D26" s="453" t="s">
        <v>327</v>
      </c>
      <c r="E26" s="455">
        <v>20</v>
      </c>
      <c r="F26" s="455"/>
      <c r="G26" s="455">
        <v>60000</v>
      </c>
      <c r="H26" s="455">
        <f t="shared" si="1"/>
        <v>48000</v>
      </c>
      <c r="I26" s="455">
        <f t="shared" si="2"/>
        <v>49007.999999999993</v>
      </c>
      <c r="J26" s="456">
        <v>1.25</v>
      </c>
      <c r="K26" s="455">
        <f t="shared" si="0"/>
        <v>2</v>
      </c>
      <c r="L26" s="455">
        <f t="shared" si="3"/>
        <v>122519.99999999999</v>
      </c>
      <c r="M26" s="457"/>
      <c r="N26" s="458"/>
    </row>
    <row r="27" spans="1:15">
      <c r="A27" s="459" t="s">
        <v>312</v>
      </c>
      <c r="B27" s="453">
        <v>13</v>
      </c>
      <c r="C27" s="453" t="s">
        <v>38</v>
      </c>
      <c r="D27" s="453" t="s">
        <v>328</v>
      </c>
      <c r="E27" s="460" t="s">
        <v>329</v>
      </c>
      <c r="F27" s="455"/>
      <c r="G27" s="455">
        <f>[49]Equipements!J74</f>
        <v>489790</v>
      </c>
      <c r="H27" s="455">
        <f t="shared" si="1"/>
        <v>391832</v>
      </c>
      <c r="I27" s="455">
        <f t="shared" si="2"/>
        <v>400060.47199999995</v>
      </c>
      <c r="J27" s="456">
        <v>1.25</v>
      </c>
      <c r="K27" s="455">
        <v>1</v>
      </c>
      <c r="L27" s="455">
        <f t="shared" si="3"/>
        <v>500075.58999999997</v>
      </c>
      <c r="M27" s="457">
        <f t="shared" si="4"/>
        <v>500075.58999999997</v>
      </c>
      <c r="N27" s="458"/>
    </row>
    <row r="28" spans="1:15">
      <c r="A28" s="461" t="s">
        <v>312</v>
      </c>
      <c r="B28" s="462">
        <v>14</v>
      </c>
      <c r="C28" s="454" t="s">
        <v>214</v>
      </c>
      <c r="D28" s="453" t="s">
        <v>38</v>
      </c>
      <c r="E28" s="455">
        <v>30</v>
      </c>
      <c r="F28" s="455"/>
      <c r="G28" s="455">
        <v>25000</v>
      </c>
      <c r="H28" s="455">
        <f t="shared" si="1"/>
        <v>20000</v>
      </c>
      <c r="I28" s="455">
        <f t="shared" si="2"/>
        <v>20419.999999999996</v>
      </c>
      <c r="J28" s="456">
        <v>1.25</v>
      </c>
      <c r="K28" s="455">
        <f t="shared" si="0"/>
        <v>1</v>
      </c>
      <c r="L28" s="455">
        <f t="shared" si="3"/>
        <v>25524.999999999996</v>
      </c>
      <c r="M28" s="457">
        <f t="shared" si="4"/>
        <v>25524.999999999996</v>
      </c>
      <c r="N28" s="458"/>
    </row>
    <row r="29" spans="1:15">
      <c r="A29" s="463"/>
      <c r="B29" s="464"/>
      <c r="C29" s="465"/>
      <c r="D29" s="466"/>
      <c r="E29" s="467"/>
      <c r="F29" s="468"/>
      <c r="G29" s="468"/>
      <c r="H29" s="468">
        <f>SUM(H2:H28)</f>
        <v>2748268.0000000005</v>
      </c>
      <c r="I29" s="468">
        <f>SUM(I2:I28)</f>
        <v>2805981.628</v>
      </c>
      <c r="J29" s="468"/>
      <c r="K29" s="468"/>
      <c r="L29" s="469">
        <f>SUM(L2:L28)</f>
        <v>4614750.3097999999</v>
      </c>
      <c r="M29" s="468">
        <f>SUM(M2:M28)</f>
        <v>2846255.7897999999</v>
      </c>
      <c r="N29" s="468">
        <f>SUM(N2:N28)</f>
        <v>0</v>
      </c>
      <c r="O29" s="470">
        <f>'[49]Modèle financier'!K6/'[49]Prix de revient'!D8</f>
        <v>1.1350176624849507E-2</v>
      </c>
    </row>
    <row r="31" spans="1:15">
      <c r="F31" s="418"/>
      <c r="G31" s="418"/>
      <c r="H31" s="418"/>
      <c r="I31" s="418"/>
      <c r="J31" s="418"/>
      <c r="K31" s="418"/>
    </row>
    <row r="32" spans="1:15">
      <c r="F32" s="418"/>
      <c r="G32" s="418"/>
      <c r="H32" s="418"/>
      <c r="I32" s="418"/>
      <c r="J32" s="418"/>
      <c r="K32" s="418"/>
    </row>
    <row r="33" spans="6:11">
      <c r="F33" s="418"/>
      <c r="G33" s="418"/>
      <c r="H33" s="418"/>
      <c r="I33" s="418"/>
      <c r="J33" s="418"/>
      <c r="K33" s="418"/>
    </row>
  </sheetData>
  <pageMargins left="0.70866141732283472" right="0.70866141732283472" top="0.74803149606299213" bottom="0.74803149606299213" header="0.31496062992125984" footer="0.31496062992125984"/>
  <pageSetup paperSize="9" scale="72" orientation="landscape" r:id="rId1"/>
  <headerFooter>
    <oddHeader>&amp;LSODEGIS&amp;CREMPLACEMENT DES COMPOSANTS
RESIDENCE UNIVERSITAIRE
CAMPUS UNIVERSITAIRE DE SAINT-PIERRE&amp;RPLS
VD</oddHeader>
  </headerFooter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F0"/>
    <pageSetUpPr fitToPage="1"/>
  </sheetPr>
  <dimension ref="A1:N52"/>
  <sheetViews>
    <sheetView showGridLines="0" topLeftCell="A13" zoomScale="85" zoomScaleNormal="85" workbookViewId="0">
      <selection activeCell="G9" sqref="G9"/>
    </sheetView>
  </sheetViews>
  <sheetFormatPr baseColWidth="10" defaultRowHeight="12.75"/>
  <cols>
    <col min="1" max="1" width="9.140625" style="13" customWidth="1"/>
    <col min="2" max="2" width="11.5703125" style="2" hidden="1" customWidth="1"/>
    <col min="3" max="3" width="10.140625" style="2" bestFit="1" customWidth="1"/>
    <col min="4" max="4" width="15.7109375" style="2" bestFit="1" customWidth="1"/>
    <col min="5" max="5" width="10.140625" style="2" customWidth="1"/>
    <col min="6" max="7" width="11.42578125" style="2"/>
    <col min="8" max="8" width="13.140625" style="2" bestFit="1" customWidth="1"/>
    <col min="9" max="9" width="2.140625" style="2" customWidth="1"/>
    <col min="10" max="10" width="7.5703125" style="2" bestFit="1" customWidth="1"/>
    <col min="11" max="12" width="11.5703125" style="2" bestFit="1" customWidth="1"/>
    <col min="13" max="13" width="9.28515625" style="2" bestFit="1" customWidth="1"/>
    <col min="14" max="14" width="9.42578125" style="2" bestFit="1" customWidth="1"/>
    <col min="15" max="256" width="11.42578125" style="2"/>
    <col min="257" max="257" width="9.140625" style="2" customWidth="1"/>
    <col min="258" max="258" width="0" style="2" hidden="1" customWidth="1"/>
    <col min="259" max="259" width="10.140625" style="2" bestFit="1" customWidth="1"/>
    <col min="260" max="260" width="15.7109375" style="2" bestFit="1" customWidth="1"/>
    <col min="261" max="261" width="10.140625" style="2" customWidth="1"/>
    <col min="262" max="263" width="11.42578125" style="2"/>
    <col min="264" max="264" width="13.140625" style="2" bestFit="1" customWidth="1"/>
    <col min="265" max="265" width="2.140625" style="2" customWidth="1"/>
    <col min="266" max="266" width="7.5703125" style="2" bestFit="1" customWidth="1"/>
    <col min="267" max="268" width="11.5703125" style="2" bestFit="1" customWidth="1"/>
    <col min="269" max="269" width="9.28515625" style="2" bestFit="1" customWidth="1"/>
    <col min="270" max="270" width="9.42578125" style="2" bestFit="1" customWidth="1"/>
    <col min="271" max="512" width="11.42578125" style="2"/>
    <col min="513" max="513" width="9.140625" style="2" customWidth="1"/>
    <col min="514" max="514" width="0" style="2" hidden="1" customWidth="1"/>
    <col min="515" max="515" width="10.140625" style="2" bestFit="1" customWidth="1"/>
    <col min="516" max="516" width="15.7109375" style="2" bestFit="1" customWidth="1"/>
    <col min="517" max="517" width="10.140625" style="2" customWidth="1"/>
    <col min="518" max="519" width="11.42578125" style="2"/>
    <col min="520" max="520" width="13.140625" style="2" bestFit="1" customWidth="1"/>
    <col min="521" max="521" width="2.140625" style="2" customWidth="1"/>
    <col min="522" max="522" width="7.5703125" style="2" bestFit="1" customWidth="1"/>
    <col min="523" max="524" width="11.5703125" style="2" bestFit="1" customWidth="1"/>
    <col min="525" max="525" width="9.28515625" style="2" bestFit="1" customWidth="1"/>
    <col min="526" max="526" width="9.42578125" style="2" bestFit="1" customWidth="1"/>
    <col min="527" max="768" width="11.42578125" style="2"/>
    <col min="769" max="769" width="9.140625" style="2" customWidth="1"/>
    <col min="770" max="770" width="0" style="2" hidden="1" customWidth="1"/>
    <col min="771" max="771" width="10.140625" style="2" bestFit="1" customWidth="1"/>
    <col min="772" max="772" width="15.7109375" style="2" bestFit="1" customWidth="1"/>
    <col min="773" max="773" width="10.140625" style="2" customWidth="1"/>
    <col min="774" max="775" width="11.42578125" style="2"/>
    <col min="776" max="776" width="13.140625" style="2" bestFit="1" customWidth="1"/>
    <col min="777" max="777" width="2.140625" style="2" customWidth="1"/>
    <col min="778" max="778" width="7.5703125" style="2" bestFit="1" customWidth="1"/>
    <col min="779" max="780" width="11.5703125" style="2" bestFit="1" customWidth="1"/>
    <col min="781" max="781" width="9.28515625" style="2" bestFit="1" customWidth="1"/>
    <col min="782" max="782" width="9.42578125" style="2" bestFit="1" customWidth="1"/>
    <col min="783" max="1024" width="11.42578125" style="2"/>
    <col min="1025" max="1025" width="9.140625" style="2" customWidth="1"/>
    <col min="1026" max="1026" width="0" style="2" hidden="1" customWidth="1"/>
    <col min="1027" max="1027" width="10.140625" style="2" bestFit="1" customWidth="1"/>
    <col min="1028" max="1028" width="15.7109375" style="2" bestFit="1" customWidth="1"/>
    <col min="1029" max="1029" width="10.140625" style="2" customWidth="1"/>
    <col min="1030" max="1031" width="11.42578125" style="2"/>
    <col min="1032" max="1032" width="13.140625" style="2" bestFit="1" customWidth="1"/>
    <col min="1033" max="1033" width="2.140625" style="2" customWidth="1"/>
    <col min="1034" max="1034" width="7.5703125" style="2" bestFit="1" customWidth="1"/>
    <col min="1035" max="1036" width="11.5703125" style="2" bestFit="1" customWidth="1"/>
    <col min="1037" max="1037" width="9.28515625" style="2" bestFit="1" customWidth="1"/>
    <col min="1038" max="1038" width="9.42578125" style="2" bestFit="1" customWidth="1"/>
    <col min="1039" max="1280" width="11.42578125" style="2"/>
    <col min="1281" max="1281" width="9.140625" style="2" customWidth="1"/>
    <col min="1282" max="1282" width="0" style="2" hidden="1" customWidth="1"/>
    <col min="1283" max="1283" width="10.140625" style="2" bestFit="1" customWidth="1"/>
    <col min="1284" max="1284" width="15.7109375" style="2" bestFit="1" customWidth="1"/>
    <col min="1285" max="1285" width="10.140625" style="2" customWidth="1"/>
    <col min="1286" max="1287" width="11.42578125" style="2"/>
    <col min="1288" max="1288" width="13.140625" style="2" bestFit="1" customWidth="1"/>
    <col min="1289" max="1289" width="2.140625" style="2" customWidth="1"/>
    <col min="1290" max="1290" width="7.5703125" style="2" bestFit="1" customWidth="1"/>
    <col min="1291" max="1292" width="11.5703125" style="2" bestFit="1" customWidth="1"/>
    <col min="1293" max="1293" width="9.28515625" style="2" bestFit="1" customWidth="1"/>
    <col min="1294" max="1294" width="9.42578125" style="2" bestFit="1" customWidth="1"/>
    <col min="1295" max="1536" width="11.42578125" style="2"/>
    <col min="1537" max="1537" width="9.140625" style="2" customWidth="1"/>
    <col min="1538" max="1538" width="0" style="2" hidden="1" customWidth="1"/>
    <col min="1539" max="1539" width="10.140625" style="2" bestFit="1" customWidth="1"/>
    <col min="1540" max="1540" width="15.7109375" style="2" bestFit="1" customWidth="1"/>
    <col min="1541" max="1541" width="10.140625" style="2" customWidth="1"/>
    <col min="1542" max="1543" width="11.42578125" style="2"/>
    <col min="1544" max="1544" width="13.140625" style="2" bestFit="1" customWidth="1"/>
    <col min="1545" max="1545" width="2.140625" style="2" customWidth="1"/>
    <col min="1546" max="1546" width="7.5703125" style="2" bestFit="1" customWidth="1"/>
    <col min="1547" max="1548" width="11.5703125" style="2" bestFit="1" customWidth="1"/>
    <col min="1549" max="1549" width="9.28515625" style="2" bestFit="1" customWidth="1"/>
    <col min="1550" max="1550" width="9.42578125" style="2" bestFit="1" customWidth="1"/>
    <col min="1551" max="1792" width="11.42578125" style="2"/>
    <col min="1793" max="1793" width="9.140625" style="2" customWidth="1"/>
    <col min="1794" max="1794" width="0" style="2" hidden="1" customWidth="1"/>
    <col min="1795" max="1795" width="10.140625" style="2" bestFit="1" customWidth="1"/>
    <col min="1796" max="1796" width="15.7109375" style="2" bestFit="1" customWidth="1"/>
    <col min="1797" max="1797" width="10.140625" style="2" customWidth="1"/>
    <col min="1798" max="1799" width="11.42578125" style="2"/>
    <col min="1800" max="1800" width="13.140625" style="2" bestFit="1" customWidth="1"/>
    <col min="1801" max="1801" width="2.140625" style="2" customWidth="1"/>
    <col min="1802" max="1802" width="7.5703125" style="2" bestFit="1" customWidth="1"/>
    <col min="1803" max="1804" width="11.5703125" style="2" bestFit="1" customWidth="1"/>
    <col min="1805" max="1805" width="9.28515625" style="2" bestFit="1" customWidth="1"/>
    <col min="1806" max="1806" width="9.42578125" style="2" bestFit="1" customWidth="1"/>
    <col min="1807" max="2048" width="11.42578125" style="2"/>
    <col min="2049" max="2049" width="9.140625" style="2" customWidth="1"/>
    <col min="2050" max="2050" width="0" style="2" hidden="1" customWidth="1"/>
    <col min="2051" max="2051" width="10.140625" style="2" bestFit="1" customWidth="1"/>
    <col min="2052" max="2052" width="15.7109375" style="2" bestFit="1" customWidth="1"/>
    <col min="2053" max="2053" width="10.140625" style="2" customWidth="1"/>
    <col min="2054" max="2055" width="11.42578125" style="2"/>
    <col min="2056" max="2056" width="13.140625" style="2" bestFit="1" customWidth="1"/>
    <col min="2057" max="2057" width="2.140625" style="2" customWidth="1"/>
    <col min="2058" max="2058" width="7.5703125" style="2" bestFit="1" customWidth="1"/>
    <col min="2059" max="2060" width="11.5703125" style="2" bestFit="1" customWidth="1"/>
    <col min="2061" max="2061" width="9.28515625" style="2" bestFit="1" customWidth="1"/>
    <col min="2062" max="2062" width="9.42578125" style="2" bestFit="1" customWidth="1"/>
    <col min="2063" max="2304" width="11.42578125" style="2"/>
    <col min="2305" max="2305" width="9.140625" style="2" customWidth="1"/>
    <col min="2306" max="2306" width="0" style="2" hidden="1" customWidth="1"/>
    <col min="2307" max="2307" width="10.140625" style="2" bestFit="1" customWidth="1"/>
    <col min="2308" max="2308" width="15.7109375" style="2" bestFit="1" customWidth="1"/>
    <col min="2309" max="2309" width="10.140625" style="2" customWidth="1"/>
    <col min="2310" max="2311" width="11.42578125" style="2"/>
    <col min="2312" max="2312" width="13.140625" style="2" bestFit="1" customWidth="1"/>
    <col min="2313" max="2313" width="2.140625" style="2" customWidth="1"/>
    <col min="2314" max="2314" width="7.5703125" style="2" bestFit="1" customWidth="1"/>
    <col min="2315" max="2316" width="11.5703125" style="2" bestFit="1" customWidth="1"/>
    <col min="2317" max="2317" width="9.28515625" style="2" bestFit="1" customWidth="1"/>
    <col min="2318" max="2318" width="9.42578125" style="2" bestFit="1" customWidth="1"/>
    <col min="2319" max="2560" width="11.42578125" style="2"/>
    <col min="2561" max="2561" width="9.140625" style="2" customWidth="1"/>
    <col min="2562" max="2562" width="0" style="2" hidden="1" customWidth="1"/>
    <col min="2563" max="2563" width="10.140625" style="2" bestFit="1" customWidth="1"/>
    <col min="2564" max="2564" width="15.7109375" style="2" bestFit="1" customWidth="1"/>
    <col min="2565" max="2565" width="10.140625" style="2" customWidth="1"/>
    <col min="2566" max="2567" width="11.42578125" style="2"/>
    <col min="2568" max="2568" width="13.140625" style="2" bestFit="1" customWidth="1"/>
    <col min="2569" max="2569" width="2.140625" style="2" customWidth="1"/>
    <col min="2570" max="2570" width="7.5703125" style="2" bestFit="1" customWidth="1"/>
    <col min="2571" max="2572" width="11.5703125" style="2" bestFit="1" customWidth="1"/>
    <col min="2573" max="2573" width="9.28515625" style="2" bestFit="1" customWidth="1"/>
    <col min="2574" max="2574" width="9.42578125" style="2" bestFit="1" customWidth="1"/>
    <col min="2575" max="2816" width="11.42578125" style="2"/>
    <col min="2817" max="2817" width="9.140625" style="2" customWidth="1"/>
    <col min="2818" max="2818" width="0" style="2" hidden="1" customWidth="1"/>
    <col min="2819" max="2819" width="10.140625" style="2" bestFit="1" customWidth="1"/>
    <col min="2820" max="2820" width="15.7109375" style="2" bestFit="1" customWidth="1"/>
    <col min="2821" max="2821" width="10.140625" style="2" customWidth="1"/>
    <col min="2822" max="2823" width="11.42578125" style="2"/>
    <col min="2824" max="2824" width="13.140625" style="2" bestFit="1" customWidth="1"/>
    <col min="2825" max="2825" width="2.140625" style="2" customWidth="1"/>
    <col min="2826" max="2826" width="7.5703125" style="2" bestFit="1" customWidth="1"/>
    <col min="2827" max="2828" width="11.5703125" style="2" bestFit="1" customWidth="1"/>
    <col min="2829" max="2829" width="9.28515625" style="2" bestFit="1" customWidth="1"/>
    <col min="2830" max="2830" width="9.42578125" style="2" bestFit="1" customWidth="1"/>
    <col min="2831" max="3072" width="11.42578125" style="2"/>
    <col min="3073" max="3073" width="9.140625" style="2" customWidth="1"/>
    <col min="3074" max="3074" width="0" style="2" hidden="1" customWidth="1"/>
    <col min="3075" max="3075" width="10.140625" style="2" bestFit="1" customWidth="1"/>
    <col min="3076" max="3076" width="15.7109375" style="2" bestFit="1" customWidth="1"/>
    <col min="3077" max="3077" width="10.140625" style="2" customWidth="1"/>
    <col min="3078" max="3079" width="11.42578125" style="2"/>
    <col min="3080" max="3080" width="13.140625" style="2" bestFit="1" customWidth="1"/>
    <col min="3081" max="3081" width="2.140625" style="2" customWidth="1"/>
    <col min="3082" max="3082" width="7.5703125" style="2" bestFit="1" customWidth="1"/>
    <col min="3083" max="3084" width="11.5703125" style="2" bestFit="1" customWidth="1"/>
    <col min="3085" max="3085" width="9.28515625" style="2" bestFit="1" customWidth="1"/>
    <col min="3086" max="3086" width="9.42578125" style="2" bestFit="1" customWidth="1"/>
    <col min="3087" max="3328" width="11.42578125" style="2"/>
    <col min="3329" max="3329" width="9.140625" style="2" customWidth="1"/>
    <col min="3330" max="3330" width="0" style="2" hidden="1" customWidth="1"/>
    <col min="3331" max="3331" width="10.140625" style="2" bestFit="1" customWidth="1"/>
    <col min="3332" max="3332" width="15.7109375" style="2" bestFit="1" customWidth="1"/>
    <col min="3333" max="3333" width="10.140625" style="2" customWidth="1"/>
    <col min="3334" max="3335" width="11.42578125" style="2"/>
    <col min="3336" max="3336" width="13.140625" style="2" bestFit="1" customWidth="1"/>
    <col min="3337" max="3337" width="2.140625" style="2" customWidth="1"/>
    <col min="3338" max="3338" width="7.5703125" style="2" bestFit="1" customWidth="1"/>
    <col min="3339" max="3340" width="11.5703125" style="2" bestFit="1" customWidth="1"/>
    <col min="3341" max="3341" width="9.28515625" style="2" bestFit="1" customWidth="1"/>
    <col min="3342" max="3342" width="9.42578125" style="2" bestFit="1" customWidth="1"/>
    <col min="3343" max="3584" width="11.42578125" style="2"/>
    <col min="3585" max="3585" width="9.140625" style="2" customWidth="1"/>
    <col min="3586" max="3586" width="0" style="2" hidden="1" customWidth="1"/>
    <col min="3587" max="3587" width="10.140625" style="2" bestFit="1" customWidth="1"/>
    <col min="3588" max="3588" width="15.7109375" style="2" bestFit="1" customWidth="1"/>
    <col min="3589" max="3589" width="10.140625" style="2" customWidth="1"/>
    <col min="3590" max="3591" width="11.42578125" style="2"/>
    <col min="3592" max="3592" width="13.140625" style="2" bestFit="1" customWidth="1"/>
    <col min="3593" max="3593" width="2.140625" style="2" customWidth="1"/>
    <col min="3594" max="3594" width="7.5703125" style="2" bestFit="1" customWidth="1"/>
    <col min="3595" max="3596" width="11.5703125" style="2" bestFit="1" customWidth="1"/>
    <col min="3597" max="3597" width="9.28515625" style="2" bestFit="1" customWidth="1"/>
    <col min="3598" max="3598" width="9.42578125" style="2" bestFit="1" customWidth="1"/>
    <col min="3599" max="3840" width="11.42578125" style="2"/>
    <col min="3841" max="3841" width="9.140625" style="2" customWidth="1"/>
    <col min="3842" max="3842" width="0" style="2" hidden="1" customWidth="1"/>
    <col min="3843" max="3843" width="10.140625" style="2" bestFit="1" customWidth="1"/>
    <col min="3844" max="3844" width="15.7109375" style="2" bestFit="1" customWidth="1"/>
    <col min="3845" max="3845" width="10.140625" style="2" customWidth="1"/>
    <col min="3846" max="3847" width="11.42578125" style="2"/>
    <col min="3848" max="3848" width="13.140625" style="2" bestFit="1" customWidth="1"/>
    <col min="3849" max="3849" width="2.140625" style="2" customWidth="1"/>
    <col min="3850" max="3850" width="7.5703125" style="2" bestFit="1" customWidth="1"/>
    <col min="3851" max="3852" width="11.5703125" style="2" bestFit="1" customWidth="1"/>
    <col min="3853" max="3853" width="9.28515625" style="2" bestFit="1" customWidth="1"/>
    <col min="3854" max="3854" width="9.42578125" style="2" bestFit="1" customWidth="1"/>
    <col min="3855" max="4096" width="11.42578125" style="2"/>
    <col min="4097" max="4097" width="9.140625" style="2" customWidth="1"/>
    <col min="4098" max="4098" width="0" style="2" hidden="1" customWidth="1"/>
    <col min="4099" max="4099" width="10.140625" style="2" bestFit="1" customWidth="1"/>
    <col min="4100" max="4100" width="15.7109375" style="2" bestFit="1" customWidth="1"/>
    <col min="4101" max="4101" width="10.140625" style="2" customWidth="1"/>
    <col min="4102" max="4103" width="11.42578125" style="2"/>
    <col min="4104" max="4104" width="13.140625" style="2" bestFit="1" customWidth="1"/>
    <col min="4105" max="4105" width="2.140625" style="2" customWidth="1"/>
    <col min="4106" max="4106" width="7.5703125" style="2" bestFit="1" customWidth="1"/>
    <col min="4107" max="4108" width="11.5703125" style="2" bestFit="1" customWidth="1"/>
    <col min="4109" max="4109" width="9.28515625" style="2" bestFit="1" customWidth="1"/>
    <col min="4110" max="4110" width="9.42578125" style="2" bestFit="1" customWidth="1"/>
    <col min="4111" max="4352" width="11.42578125" style="2"/>
    <col min="4353" max="4353" width="9.140625" style="2" customWidth="1"/>
    <col min="4354" max="4354" width="0" style="2" hidden="1" customWidth="1"/>
    <col min="4355" max="4355" width="10.140625" style="2" bestFit="1" customWidth="1"/>
    <col min="4356" max="4356" width="15.7109375" style="2" bestFit="1" customWidth="1"/>
    <col min="4357" max="4357" width="10.140625" style="2" customWidth="1"/>
    <col min="4358" max="4359" width="11.42578125" style="2"/>
    <col min="4360" max="4360" width="13.140625" style="2" bestFit="1" customWidth="1"/>
    <col min="4361" max="4361" width="2.140625" style="2" customWidth="1"/>
    <col min="4362" max="4362" width="7.5703125" style="2" bestFit="1" customWidth="1"/>
    <col min="4363" max="4364" width="11.5703125" style="2" bestFit="1" customWidth="1"/>
    <col min="4365" max="4365" width="9.28515625" style="2" bestFit="1" customWidth="1"/>
    <col min="4366" max="4366" width="9.42578125" style="2" bestFit="1" customWidth="1"/>
    <col min="4367" max="4608" width="11.42578125" style="2"/>
    <col min="4609" max="4609" width="9.140625" style="2" customWidth="1"/>
    <col min="4610" max="4610" width="0" style="2" hidden="1" customWidth="1"/>
    <col min="4611" max="4611" width="10.140625" style="2" bestFit="1" customWidth="1"/>
    <col min="4612" max="4612" width="15.7109375" style="2" bestFit="1" customWidth="1"/>
    <col min="4613" max="4613" width="10.140625" style="2" customWidth="1"/>
    <col min="4614" max="4615" width="11.42578125" style="2"/>
    <col min="4616" max="4616" width="13.140625" style="2" bestFit="1" customWidth="1"/>
    <col min="4617" max="4617" width="2.140625" style="2" customWidth="1"/>
    <col min="4618" max="4618" width="7.5703125" style="2" bestFit="1" customWidth="1"/>
    <col min="4619" max="4620" width="11.5703125" style="2" bestFit="1" customWidth="1"/>
    <col min="4621" max="4621" width="9.28515625" style="2" bestFit="1" customWidth="1"/>
    <col min="4622" max="4622" width="9.42578125" style="2" bestFit="1" customWidth="1"/>
    <col min="4623" max="4864" width="11.42578125" style="2"/>
    <col min="4865" max="4865" width="9.140625" style="2" customWidth="1"/>
    <col min="4866" max="4866" width="0" style="2" hidden="1" customWidth="1"/>
    <col min="4867" max="4867" width="10.140625" style="2" bestFit="1" customWidth="1"/>
    <col min="4868" max="4868" width="15.7109375" style="2" bestFit="1" customWidth="1"/>
    <col min="4869" max="4869" width="10.140625" style="2" customWidth="1"/>
    <col min="4870" max="4871" width="11.42578125" style="2"/>
    <col min="4872" max="4872" width="13.140625" style="2" bestFit="1" customWidth="1"/>
    <col min="4873" max="4873" width="2.140625" style="2" customWidth="1"/>
    <col min="4874" max="4874" width="7.5703125" style="2" bestFit="1" customWidth="1"/>
    <col min="4875" max="4876" width="11.5703125" style="2" bestFit="1" customWidth="1"/>
    <col min="4877" max="4877" width="9.28515625" style="2" bestFit="1" customWidth="1"/>
    <col min="4878" max="4878" width="9.42578125" style="2" bestFit="1" customWidth="1"/>
    <col min="4879" max="5120" width="11.42578125" style="2"/>
    <col min="5121" max="5121" width="9.140625" style="2" customWidth="1"/>
    <col min="5122" max="5122" width="0" style="2" hidden="1" customWidth="1"/>
    <col min="5123" max="5123" width="10.140625" style="2" bestFit="1" customWidth="1"/>
    <col min="5124" max="5124" width="15.7109375" style="2" bestFit="1" customWidth="1"/>
    <col min="5125" max="5125" width="10.140625" style="2" customWidth="1"/>
    <col min="5126" max="5127" width="11.42578125" style="2"/>
    <col min="5128" max="5128" width="13.140625" style="2" bestFit="1" customWidth="1"/>
    <col min="5129" max="5129" width="2.140625" style="2" customWidth="1"/>
    <col min="5130" max="5130" width="7.5703125" style="2" bestFit="1" customWidth="1"/>
    <col min="5131" max="5132" width="11.5703125" style="2" bestFit="1" customWidth="1"/>
    <col min="5133" max="5133" width="9.28515625" style="2" bestFit="1" customWidth="1"/>
    <col min="5134" max="5134" width="9.42578125" style="2" bestFit="1" customWidth="1"/>
    <col min="5135" max="5376" width="11.42578125" style="2"/>
    <col min="5377" max="5377" width="9.140625" style="2" customWidth="1"/>
    <col min="5378" max="5378" width="0" style="2" hidden="1" customWidth="1"/>
    <col min="5379" max="5379" width="10.140625" style="2" bestFit="1" customWidth="1"/>
    <col min="5380" max="5380" width="15.7109375" style="2" bestFit="1" customWidth="1"/>
    <col min="5381" max="5381" width="10.140625" style="2" customWidth="1"/>
    <col min="5382" max="5383" width="11.42578125" style="2"/>
    <col min="5384" max="5384" width="13.140625" style="2" bestFit="1" customWidth="1"/>
    <col min="5385" max="5385" width="2.140625" style="2" customWidth="1"/>
    <col min="5386" max="5386" width="7.5703125" style="2" bestFit="1" customWidth="1"/>
    <col min="5387" max="5388" width="11.5703125" style="2" bestFit="1" customWidth="1"/>
    <col min="5389" max="5389" width="9.28515625" style="2" bestFit="1" customWidth="1"/>
    <col min="5390" max="5390" width="9.42578125" style="2" bestFit="1" customWidth="1"/>
    <col min="5391" max="5632" width="11.42578125" style="2"/>
    <col min="5633" max="5633" width="9.140625" style="2" customWidth="1"/>
    <col min="5634" max="5634" width="0" style="2" hidden="1" customWidth="1"/>
    <col min="5635" max="5635" width="10.140625" style="2" bestFit="1" customWidth="1"/>
    <col min="5636" max="5636" width="15.7109375" style="2" bestFit="1" customWidth="1"/>
    <col min="5637" max="5637" width="10.140625" style="2" customWidth="1"/>
    <col min="5638" max="5639" width="11.42578125" style="2"/>
    <col min="5640" max="5640" width="13.140625" style="2" bestFit="1" customWidth="1"/>
    <col min="5641" max="5641" width="2.140625" style="2" customWidth="1"/>
    <col min="5642" max="5642" width="7.5703125" style="2" bestFit="1" customWidth="1"/>
    <col min="5643" max="5644" width="11.5703125" style="2" bestFit="1" customWidth="1"/>
    <col min="5645" max="5645" width="9.28515625" style="2" bestFit="1" customWidth="1"/>
    <col min="5646" max="5646" width="9.42578125" style="2" bestFit="1" customWidth="1"/>
    <col min="5647" max="5888" width="11.42578125" style="2"/>
    <col min="5889" max="5889" width="9.140625" style="2" customWidth="1"/>
    <col min="5890" max="5890" width="0" style="2" hidden="1" customWidth="1"/>
    <col min="5891" max="5891" width="10.140625" style="2" bestFit="1" customWidth="1"/>
    <col min="5892" max="5892" width="15.7109375" style="2" bestFit="1" customWidth="1"/>
    <col min="5893" max="5893" width="10.140625" style="2" customWidth="1"/>
    <col min="5894" max="5895" width="11.42578125" style="2"/>
    <col min="5896" max="5896" width="13.140625" style="2" bestFit="1" customWidth="1"/>
    <col min="5897" max="5897" width="2.140625" style="2" customWidth="1"/>
    <col min="5898" max="5898" width="7.5703125" style="2" bestFit="1" customWidth="1"/>
    <col min="5899" max="5900" width="11.5703125" style="2" bestFit="1" customWidth="1"/>
    <col min="5901" max="5901" width="9.28515625" style="2" bestFit="1" customWidth="1"/>
    <col min="5902" max="5902" width="9.42578125" style="2" bestFit="1" customWidth="1"/>
    <col min="5903" max="6144" width="11.42578125" style="2"/>
    <col min="6145" max="6145" width="9.140625" style="2" customWidth="1"/>
    <col min="6146" max="6146" width="0" style="2" hidden="1" customWidth="1"/>
    <col min="6147" max="6147" width="10.140625" style="2" bestFit="1" customWidth="1"/>
    <col min="6148" max="6148" width="15.7109375" style="2" bestFit="1" customWidth="1"/>
    <col min="6149" max="6149" width="10.140625" style="2" customWidth="1"/>
    <col min="6150" max="6151" width="11.42578125" style="2"/>
    <col min="6152" max="6152" width="13.140625" style="2" bestFit="1" customWidth="1"/>
    <col min="6153" max="6153" width="2.140625" style="2" customWidth="1"/>
    <col min="6154" max="6154" width="7.5703125" style="2" bestFit="1" customWidth="1"/>
    <col min="6155" max="6156" width="11.5703125" style="2" bestFit="1" customWidth="1"/>
    <col min="6157" max="6157" width="9.28515625" style="2" bestFit="1" customWidth="1"/>
    <col min="6158" max="6158" width="9.42578125" style="2" bestFit="1" customWidth="1"/>
    <col min="6159" max="6400" width="11.42578125" style="2"/>
    <col min="6401" max="6401" width="9.140625" style="2" customWidth="1"/>
    <col min="6402" max="6402" width="0" style="2" hidden="1" customWidth="1"/>
    <col min="6403" max="6403" width="10.140625" style="2" bestFit="1" customWidth="1"/>
    <col min="6404" max="6404" width="15.7109375" style="2" bestFit="1" customWidth="1"/>
    <col min="6405" max="6405" width="10.140625" style="2" customWidth="1"/>
    <col min="6406" max="6407" width="11.42578125" style="2"/>
    <col min="6408" max="6408" width="13.140625" style="2" bestFit="1" customWidth="1"/>
    <col min="6409" max="6409" width="2.140625" style="2" customWidth="1"/>
    <col min="6410" max="6410" width="7.5703125" style="2" bestFit="1" customWidth="1"/>
    <col min="6411" max="6412" width="11.5703125" style="2" bestFit="1" customWidth="1"/>
    <col min="6413" max="6413" width="9.28515625" style="2" bestFit="1" customWidth="1"/>
    <col min="6414" max="6414" width="9.42578125" style="2" bestFit="1" customWidth="1"/>
    <col min="6415" max="6656" width="11.42578125" style="2"/>
    <col min="6657" max="6657" width="9.140625" style="2" customWidth="1"/>
    <col min="6658" max="6658" width="0" style="2" hidden="1" customWidth="1"/>
    <col min="6659" max="6659" width="10.140625" style="2" bestFit="1" customWidth="1"/>
    <col min="6660" max="6660" width="15.7109375" style="2" bestFit="1" customWidth="1"/>
    <col min="6661" max="6661" width="10.140625" style="2" customWidth="1"/>
    <col min="6662" max="6663" width="11.42578125" style="2"/>
    <col min="6664" max="6664" width="13.140625" style="2" bestFit="1" customWidth="1"/>
    <col min="6665" max="6665" width="2.140625" style="2" customWidth="1"/>
    <col min="6666" max="6666" width="7.5703125" style="2" bestFit="1" customWidth="1"/>
    <col min="6667" max="6668" width="11.5703125" style="2" bestFit="1" customWidth="1"/>
    <col min="6669" max="6669" width="9.28515625" style="2" bestFit="1" customWidth="1"/>
    <col min="6670" max="6670" width="9.42578125" style="2" bestFit="1" customWidth="1"/>
    <col min="6671" max="6912" width="11.42578125" style="2"/>
    <col min="6913" max="6913" width="9.140625" style="2" customWidth="1"/>
    <col min="6914" max="6914" width="0" style="2" hidden="1" customWidth="1"/>
    <col min="6915" max="6915" width="10.140625" style="2" bestFit="1" customWidth="1"/>
    <col min="6916" max="6916" width="15.7109375" style="2" bestFit="1" customWidth="1"/>
    <col min="6917" max="6917" width="10.140625" style="2" customWidth="1"/>
    <col min="6918" max="6919" width="11.42578125" style="2"/>
    <col min="6920" max="6920" width="13.140625" style="2" bestFit="1" customWidth="1"/>
    <col min="6921" max="6921" width="2.140625" style="2" customWidth="1"/>
    <col min="6922" max="6922" width="7.5703125" style="2" bestFit="1" customWidth="1"/>
    <col min="6923" max="6924" width="11.5703125" style="2" bestFit="1" customWidth="1"/>
    <col min="6925" max="6925" width="9.28515625" style="2" bestFit="1" customWidth="1"/>
    <col min="6926" max="6926" width="9.42578125" style="2" bestFit="1" customWidth="1"/>
    <col min="6927" max="7168" width="11.42578125" style="2"/>
    <col min="7169" max="7169" width="9.140625" style="2" customWidth="1"/>
    <col min="7170" max="7170" width="0" style="2" hidden="1" customWidth="1"/>
    <col min="7171" max="7171" width="10.140625" style="2" bestFit="1" customWidth="1"/>
    <col min="7172" max="7172" width="15.7109375" style="2" bestFit="1" customWidth="1"/>
    <col min="7173" max="7173" width="10.140625" style="2" customWidth="1"/>
    <col min="7174" max="7175" width="11.42578125" style="2"/>
    <col min="7176" max="7176" width="13.140625" style="2" bestFit="1" customWidth="1"/>
    <col min="7177" max="7177" width="2.140625" style="2" customWidth="1"/>
    <col min="7178" max="7178" width="7.5703125" style="2" bestFit="1" customWidth="1"/>
    <col min="7179" max="7180" width="11.5703125" style="2" bestFit="1" customWidth="1"/>
    <col min="7181" max="7181" width="9.28515625" style="2" bestFit="1" customWidth="1"/>
    <col min="7182" max="7182" width="9.42578125" style="2" bestFit="1" customWidth="1"/>
    <col min="7183" max="7424" width="11.42578125" style="2"/>
    <col min="7425" max="7425" width="9.140625" style="2" customWidth="1"/>
    <col min="7426" max="7426" width="0" style="2" hidden="1" customWidth="1"/>
    <col min="7427" max="7427" width="10.140625" style="2" bestFit="1" customWidth="1"/>
    <col min="7428" max="7428" width="15.7109375" style="2" bestFit="1" customWidth="1"/>
    <col min="7429" max="7429" width="10.140625" style="2" customWidth="1"/>
    <col min="7430" max="7431" width="11.42578125" style="2"/>
    <col min="7432" max="7432" width="13.140625" style="2" bestFit="1" customWidth="1"/>
    <col min="7433" max="7433" width="2.140625" style="2" customWidth="1"/>
    <col min="7434" max="7434" width="7.5703125" style="2" bestFit="1" customWidth="1"/>
    <col min="7435" max="7436" width="11.5703125" style="2" bestFit="1" customWidth="1"/>
    <col min="7437" max="7437" width="9.28515625" style="2" bestFit="1" customWidth="1"/>
    <col min="7438" max="7438" width="9.42578125" style="2" bestFit="1" customWidth="1"/>
    <col min="7439" max="7680" width="11.42578125" style="2"/>
    <col min="7681" max="7681" width="9.140625" style="2" customWidth="1"/>
    <col min="7682" max="7682" width="0" style="2" hidden="1" customWidth="1"/>
    <col min="7683" max="7683" width="10.140625" style="2" bestFit="1" customWidth="1"/>
    <col min="7684" max="7684" width="15.7109375" style="2" bestFit="1" customWidth="1"/>
    <col min="7685" max="7685" width="10.140625" style="2" customWidth="1"/>
    <col min="7686" max="7687" width="11.42578125" style="2"/>
    <col min="7688" max="7688" width="13.140625" style="2" bestFit="1" customWidth="1"/>
    <col min="7689" max="7689" width="2.140625" style="2" customWidth="1"/>
    <col min="7690" max="7690" width="7.5703125" style="2" bestFit="1" customWidth="1"/>
    <col min="7691" max="7692" width="11.5703125" style="2" bestFit="1" customWidth="1"/>
    <col min="7693" max="7693" width="9.28515625" style="2" bestFit="1" customWidth="1"/>
    <col min="7694" max="7694" width="9.42578125" style="2" bestFit="1" customWidth="1"/>
    <col min="7695" max="7936" width="11.42578125" style="2"/>
    <col min="7937" max="7937" width="9.140625" style="2" customWidth="1"/>
    <col min="7938" max="7938" width="0" style="2" hidden="1" customWidth="1"/>
    <col min="7939" max="7939" width="10.140625" style="2" bestFit="1" customWidth="1"/>
    <col min="7940" max="7940" width="15.7109375" style="2" bestFit="1" customWidth="1"/>
    <col min="7941" max="7941" width="10.140625" style="2" customWidth="1"/>
    <col min="7942" max="7943" width="11.42578125" style="2"/>
    <col min="7944" max="7944" width="13.140625" style="2" bestFit="1" customWidth="1"/>
    <col min="7945" max="7945" width="2.140625" style="2" customWidth="1"/>
    <col min="7946" max="7946" width="7.5703125" style="2" bestFit="1" customWidth="1"/>
    <col min="7947" max="7948" width="11.5703125" style="2" bestFit="1" customWidth="1"/>
    <col min="7949" max="7949" width="9.28515625" style="2" bestFit="1" customWidth="1"/>
    <col min="7950" max="7950" width="9.42578125" style="2" bestFit="1" customWidth="1"/>
    <col min="7951" max="8192" width="11.42578125" style="2"/>
    <col min="8193" max="8193" width="9.140625" style="2" customWidth="1"/>
    <col min="8194" max="8194" width="0" style="2" hidden="1" customWidth="1"/>
    <col min="8195" max="8195" width="10.140625" style="2" bestFit="1" customWidth="1"/>
    <col min="8196" max="8196" width="15.7109375" style="2" bestFit="1" customWidth="1"/>
    <col min="8197" max="8197" width="10.140625" style="2" customWidth="1"/>
    <col min="8198" max="8199" width="11.42578125" style="2"/>
    <col min="8200" max="8200" width="13.140625" style="2" bestFit="1" customWidth="1"/>
    <col min="8201" max="8201" width="2.140625" style="2" customWidth="1"/>
    <col min="8202" max="8202" width="7.5703125" style="2" bestFit="1" customWidth="1"/>
    <col min="8203" max="8204" width="11.5703125" style="2" bestFit="1" customWidth="1"/>
    <col min="8205" max="8205" width="9.28515625" style="2" bestFit="1" customWidth="1"/>
    <col min="8206" max="8206" width="9.42578125" style="2" bestFit="1" customWidth="1"/>
    <col min="8207" max="8448" width="11.42578125" style="2"/>
    <col min="8449" max="8449" width="9.140625" style="2" customWidth="1"/>
    <col min="8450" max="8450" width="0" style="2" hidden="1" customWidth="1"/>
    <col min="8451" max="8451" width="10.140625" style="2" bestFit="1" customWidth="1"/>
    <col min="8452" max="8452" width="15.7109375" style="2" bestFit="1" customWidth="1"/>
    <col min="8453" max="8453" width="10.140625" style="2" customWidth="1"/>
    <col min="8454" max="8455" width="11.42578125" style="2"/>
    <col min="8456" max="8456" width="13.140625" style="2" bestFit="1" customWidth="1"/>
    <col min="8457" max="8457" width="2.140625" style="2" customWidth="1"/>
    <col min="8458" max="8458" width="7.5703125" style="2" bestFit="1" customWidth="1"/>
    <col min="8459" max="8460" width="11.5703125" style="2" bestFit="1" customWidth="1"/>
    <col min="8461" max="8461" width="9.28515625" style="2" bestFit="1" customWidth="1"/>
    <col min="8462" max="8462" width="9.42578125" style="2" bestFit="1" customWidth="1"/>
    <col min="8463" max="8704" width="11.42578125" style="2"/>
    <col min="8705" max="8705" width="9.140625" style="2" customWidth="1"/>
    <col min="8706" max="8706" width="0" style="2" hidden="1" customWidth="1"/>
    <col min="8707" max="8707" width="10.140625" style="2" bestFit="1" customWidth="1"/>
    <col min="8708" max="8708" width="15.7109375" style="2" bestFit="1" customWidth="1"/>
    <col min="8709" max="8709" width="10.140625" style="2" customWidth="1"/>
    <col min="8710" max="8711" width="11.42578125" style="2"/>
    <col min="8712" max="8712" width="13.140625" style="2" bestFit="1" customWidth="1"/>
    <col min="8713" max="8713" width="2.140625" style="2" customWidth="1"/>
    <col min="8714" max="8714" width="7.5703125" style="2" bestFit="1" customWidth="1"/>
    <col min="8715" max="8716" width="11.5703125" style="2" bestFit="1" customWidth="1"/>
    <col min="8717" max="8717" width="9.28515625" style="2" bestFit="1" customWidth="1"/>
    <col min="8718" max="8718" width="9.42578125" style="2" bestFit="1" customWidth="1"/>
    <col min="8719" max="8960" width="11.42578125" style="2"/>
    <col min="8961" max="8961" width="9.140625" style="2" customWidth="1"/>
    <col min="8962" max="8962" width="0" style="2" hidden="1" customWidth="1"/>
    <col min="8963" max="8963" width="10.140625" style="2" bestFit="1" customWidth="1"/>
    <col min="8964" max="8964" width="15.7109375" style="2" bestFit="1" customWidth="1"/>
    <col min="8965" max="8965" width="10.140625" style="2" customWidth="1"/>
    <col min="8966" max="8967" width="11.42578125" style="2"/>
    <col min="8968" max="8968" width="13.140625" style="2" bestFit="1" customWidth="1"/>
    <col min="8969" max="8969" width="2.140625" style="2" customWidth="1"/>
    <col min="8970" max="8970" width="7.5703125" style="2" bestFit="1" customWidth="1"/>
    <col min="8971" max="8972" width="11.5703125" style="2" bestFit="1" customWidth="1"/>
    <col min="8973" max="8973" width="9.28515625" style="2" bestFit="1" customWidth="1"/>
    <col min="8974" max="8974" width="9.42578125" style="2" bestFit="1" customWidth="1"/>
    <col min="8975" max="9216" width="11.42578125" style="2"/>
    <col min="9217" max="9217" width="9.140625" style="2" customWidth="1"/>
    <col min="9218" max="9218" width="0" style="2" hidden="1" customWidth="1"/>
    <col min="9219" max="9219" width="10.140625" style="2" bestFit="1" customWidth="1"/>
    <col min="9220" max="9220" width="15.7109375" style="2" bestFit="1" customWidth="1"/>
    <col min="9221" max="9221" width="10.140625" style="2" customWidth="1"/>
    <col min="9222" max="9223" width="11.42578125" style="2"/>
    <col min="9224" max="9224" width="13.140625" style="2" bestFit="1" customWidth="1"/>
    <col min="9225" max="9225" width="2.140625" style="2" customWidth="1"/>
    <col min="9226" max="9226" width="7.5703125" style="2" bestFit="1" customWidth="1"/>
    <col min="9227" max="9228" width="11.5703125" style="2" bestFit="1" customWidth="1"/>
    <col min="9229" max="9229" width="9.28515625" style="2" bestFit="1" customWidth="1"/>
    <col min="9230" max="9230" width="9.42578125" style="2" bestFit="1" customWidth="1"/>
    <col min="9231" max="9472" width="11.42578125" style="2"/>
    <col min="9473" max="9473" width="9.140625" style="2" customWidth="1"/>
    <col min="9474" max="9474" width="0" style="2" hidden="1" customWidth="1"/>
    <col min="9475" max="9475" width="10.140625" style="2" bestFit="1" customWidth="1"/>
    <col min="9476" max="9476" width="15.7109375" style="2" bestFit="1" customWidth="1"/>
    <col min="9477" max="9477" width="10.140625" style="2" customWidth="1"/>
    <col min="9478" max="9479" width="11.42578125" style="2"/>
    <col min="9480" max="9480" width="13.140625" style="2" bestFit="1" customWidth="1"/>
    <col min="9481" max="9481" width="2.140625" style="2" customWidth="1"/>
    <col min="9482" max="9482" width="7.5703125" style="2" bestFit="1" customWidth="1"/>
    <col min="9483" max="9484" width="11.5703125" style="2" bestFit="1" customWidth="1"/>
    <col min="9485" max="9485" width="9.28515625" style="2" bestFit="1" customWidth="1"/>
    <col min="9486" max="9486" width="9.42578125" style="2" bestFit="1" customWidth="1"/>
    <col min="9487" max="9728" width="11.42578125" style="2"/>
    <col min="9729" max="9729" width="9.140625" style="2" customWidth="1"/>
    <col min="9730" max="9730" width="0" style="2" hidden="1" customWidth="1"/>
    <col min="9731" max="9731" width="10.140625" style="2" bestFit="1" customWidth="1"/>
    <col min="9732" max="9732" width="15.7109375" style="2" bestFit="1" customWidth="1"/>
    <col min="9733" max="9733" width="10.140625" style="2" customWidth="1"/>
    <col min="9734" max="9735" width="11.42578125" style="2"/>
    <col min="9736" max="9736" width="13.140625" style="2" bestFit="1" customWidth="1"/>
    <col min="9737" max="9737" width="2.140625" style="2" customWidth="1"/>
    <col min="9738" max="9738" width="7.5703125" style="2" bestFit="1" customWidth="1"/>
    <col min="9739" max="9740" width="11.5703125" style="2" bestFit="1" customWidth="1"/>
    <col min="9741" max="9741" width="9.28515625" style="2" bestFit="1" customWidth="1"/>
    <col min="9742" max="9742" width="9.42578125" style="2" bestFit="1" customWidth="1"/>
    <col min="9743" max="9984" width="11.42578125" style="2"/>
    <col min="9985" max="9985" width="9.140625" style="2" customWidth="1"/>
    <col min="9986" max="9986" width="0" style="2" hidden="1" customWidth="1"/>
    <col min="9987" max="9987" width="10.140625" style="2" bestFit="1" customWidth="1"/>
    <col min="9988" max="9988" width="15.7109375" style="2" bestFit="1" customWidth="1"/>
    <col min="9989" max="9989" width="10.140625" style="2" customWidth="1"/>
    <col min="9990" max="9991" width="11.42578125" style="2"/>
    <col min="9992" max="9992" width="13.140625" style="2" bestFit="1" customWidth="1"/>
    <col min="9993" max="9993" width="2.140625" style="2" customWidth="1"/>
    <col min="9994" max="9994" width="7.5703125" style="2" bestFit="1" customWidth="1"/>
    <col min="9995" max="9996" width="11.5703125" style="2" bestFit="1" customWidth="1"/>
    <col min="9997" max="9997" width="9.28515625" style="2" bestFit="1" customWidth="1"/>
    <col min="9998" max="9998" width="9.42578125" style="2" bestFit="1" customWidth="1"/>
    <col min="9999" max="10240" width="11.42578125" style="2"/>
    <col min="10241" max="10241" width="9.140625" style="2" customWidth="1"/>
    <col min="10242" max="10242" width="0" style="2" hidden="1" customWidth="1"/>
    <col min="10243" max="10243" width="10.140625" style="2" bestFit="1" customWidth="1"/>
    <col min="10244" max="10244" width="15.7109375" style="2" bestFit="1" customWidth="1"/>
    <col min="10245" max="10245" width="10.140625" style="2" customWidth="1"/>
    <col min="10246" max="10247" width="11.42578125" style="2"/>
    <col min="10248" max="10248" width="13.140625" style="2" bestFit="1" customWidth="1"/>
    <col min="10249" max="10249" width="2.140625" style="2" customWidth="1"/>
    <col min="10250" max="10250" width="7.5703125" style="2" bestFit="1" customWidth="1"/>
    <col min="10251" max="10252" width="11.5703125" style="2" bestFit="1" customWidth="1"/>
    <col min="10253" max="10253" width="9.28515625" style="2" bestFit="1" customWidth="1"/>
    <col min="10254" max="10254" width="9.42578125" style="2" bestFit="1" customWidth="1"/>
    <col min="10255" max="10496" width="11.42578125" style="2"/>
    <col min="10497" max="10497" width="9.140625" style="2" customWidth="1"/>
    <col min="10498" max="10498" width="0" style="2" hidden="1" customWidth="1"/>
    <col min="10499" max="10499" width="10.140625" style="2" bestFit="1" customWidth="1"/>
    <col min="10500" max="10500" width="15.7109375" style="2" bestFit="1" customWidth="1"/>
    <col min="10501" max="10501" width="10.140625" style="2" customWidth="1"/>
    <col min="10502" max="10503" width="11.42578125" style="2"/>
    <col min="10504" max="10504" width="13.140625" style="2" bestFit="1" customWidth="1"/>
    <col min="10505" max="10505" width="2.140625" style="2" customWidth="1"/>
    <col min="10506" max="10506" width="7.5703125" style="2" bestFit="1" customWidth="1"/>
    <col min="10507" max="10508" width="11.5703125" style="2" bestFit="1" customWidth="1"/>
    <col min="10509" max="10509" width="9.28515625" style="2" bestFit="1" customWidth="1"/>
    <col min="10510" max="10510" width="9.42578125" style="2" bestFit="1" customWidth="1"/>
    <col min="10511" max="10752" width="11.42578125" style="2"/>
    <col min="10753" max="10753" width="9.140625" style="2" customWidth="1"/>
    <col min="10754" max="10754" width="0" style="2" hidden="1" customWidth="1"/>
    <col min="10755" max="10755" width="10.140625" style="2" bestFit="1" customWidth="1"/>
    <col min="10756" max="10756" width="15.7109375" style="2" bestFit="1" customWidth="1"/>
    <col min="10757" max="10757" width="10.140625" style="2" customWidth="1"/>
    <col min="10758" max="10759" width="11.42578125" style="2"/>
    <col min="10760" max="10760" width="13.140625" style="2" bestFit="1" customWidth="1"/>
    <col min="10761" max="10761" width="2.140625" style="2" customWidth="1"/>
    <col min="10762" max="10762" width="7.5703125" style="2" bestFit="1" customWidth="1"/>
    <col min="10763" max="10764" width="11.5703125" style="2" bestFit="1" customWidth="1"/>
    <col min="10765" max="10765" width="9.28515625" style="2" bestFit="1" customWidth="1"/>
    <col min="10766" max="10766" width="9.42578125" style="2" bestFit="1" customWidth="1"/>
    <col min="10767" max="11008" width="11.42578125" style="2"/>
    <col min="11009" max="11009" width="9.140625" style="2" customWidth="1"/>
    <col min="11010" max="11010" width="0" style="2" hidden="1" customWidth="1"/>
    <col min="11011" max="11011" width="10.140625" style="2" bestFit="1" customWidth="1"/>
    <col min="11012" max="11012" width="15.7109375" style="2" bestFit="1" customWidth="1"/>
    <col min="11013" max="11013" width="10.140625" style="2" customWidth="1"/>
    <col min="11014" max="11015" width="11.42578125" style="2"/>
    <col min="11016" max="11016" width="13.140625" style="2" bestFit="1" customWidth="1"/>
    <col min="11017" max="11017" width="2.140625" style="2" customWidth="1"/>
    <col min="11018" max="11018" width="7.5703125" style="2" bestFit="1" customWidth="1"/>
    <col min="11019" max="11020" width="11.5703125" style="2" bestFit="1" customWidth="1"/>
    <col min="11021" max="11021" width="9.28515625" style="2" bestFit="1" customWidth="1"/>
    <col min="11022" max="11022" width="9.42578125" style="2" bestFit="1" customWidth="1"/>
    <col min="11023" max="11264" width="11.42578125" style="2"/>
    <col min="11265" max="11265" width="9.140625" style="2" customWidth="1"/>
    <col min="11266" max="11266" width="0" style="2" hidden="1" customWidth="1"/>
    <col min="11267" max="11267" width="10.140625" style="2" bestFit="1" customWidth="1"/>
    <col min="11268" max="11268" width="15.7109375" style="2" bestFit="1" customWidth="1"/>
    <col min="11269" max="11269" width="10.140625" style="2" customWidth="1"/>
    <col min="11270" max="11271" width="11.42578125" style="2"/>
    <col min="11272" max="11272" width="13.140625" style="2" bestFit="1" customWidth="1"/>
    <col min="11273" max="11273" width="2.140625" style="2" customWidth="1"/>
    <col min="11274" max="11274" width="7.5703125" style="2" bestFit="1" customWidth="1"/>
    <col min="11275" max="11276" width="11.5703125" style="2" bestFit="1" customWidth="1"/>
    <col min="11277" max="11277" width="9.28515625" style="2" bestFit="1" customWidth="1"/>
    <col min="11278" max="11278" width="9.42578125" style="2" bestFit="1" customWidth="1"/>
    <col min="11279" max="11520" width="11.42578125" style="2"/>
    <col min="11521" max="11521" width="9.140625" style="2" customWidth="1"/>
    <col min="11522" max="11522" width="0" style="2" hidden="1" customWidth="1"/>
    <col min="11523" max="11523" width="10.140625" style="2" bestFit="1" customWidth="1"/>
    <col min="11524" max="11524" width="15.7109375" style="2" bestFit="1" customWidth="1"/>
    <col min="11525" max="11525" width="10.140625" style="2" customWidth="1"/>
    <col min="11526" max="11527" width="11.42578125" style="2"/>
    <col min="11528" max="11528" width="13.140625" style="2" bestFit="1" customWidth="1"/>
    <col min="11529" max="11529" width="2.140625" style="2" customWidth="1"/>
    <col min="11530" max="11530" width="7.5703125" style="2" bestFit="1" customWidth="1"/>
    <col min="11531" max="11532" width="11.5703125" style="2" bestFit="1" customWidth="1"/>
    <col min="11533" max="11533" width="9.28515625" style="2" bestFit="1" customWidth="1"/>
    <col min="11534" max="11534" width="9.42578125" style="2" bestFit="1" customWidth="1"/>
    <col min="11535" max="11776" width="11.42578125" style="2"/>
    <col min="11777" max="11777" width="9.140625" style="2" customWidth="1"/>
    <col min="11778" max="11778" width="0" style="2" hidden="1" customWidth="1"/>
    <col min="11779" max="11779" width="10.140625" style="2" bestFit="1" customWidth="1"/>
    <col min="11780" max="11780" width="15.7109375" style="2" bestFit="1" customWidth="1"/>
    <col min="11781" max="11781" width="10.140625" style="2" customWidth="1"/>
    <col min="11782" max="11783" width="11.42578125" style="2"/>
    <col min="11784" max="11784" width="13.140625" style="2" bestFit="1" customWidth="1"/>
    <col min="11785" max="11785" width="2.140625" style="2" customWidth="1"/>
    <col min="11786" max="11786" width="7.5703125" style="2" bestFit="1" customWidth="1"/>
    <col min="11787" max="11788" width="11.5703125" style="2" bestFit="1" customWidth="1"/>
    <col min="11789" max="11789" width="9.28515625" style="2" bestFit="1" customWidth="1"/>
    <col min="11790" max="11790" width="9.42578125" style="2" bestFit="1" customWidth="1"/>
    <col min="11791" max="12032" width="11.42578125" style="2"/>
    <col min="12033" max="12033" width="9.140625" style="2" customWidth="1"/>
    <col min="12034" max="12034" width="0" style="2" hidden="1" customWidth="1"/>
    <col min="12035" max="12035" width="10.140625" style="2" bestFit="1" customWidth="1"/>
    <col min="12036" max="12036" width="15.7109375" style="2" bestFit="1" customWidth="1"/>
    <col min="12037" max="12037" width="10.140625" style="2" customWidth="1"/>
    <col min="12038" max="12039" width="11.42578125" style="2"/>
    <col min="12040" max="12040" width="13.140625" style="2" bestFit="1" customWidth="1"/>
    <col min="12041" max="12041" width="2.140625" style="2" customWidth="1"/>
    <col min="12042" max="12042" width="7.5703125" style="2" bestFit="1" customWidth="1"/>
    <col min="12043" max="12044" width="11.5703125" style="2" bestFit="1" customWidth="1"/>
    <col min="12045" max="12045" width="9.28515625" style="2" bestFit="1" customWidth="1"/>
    <col min="12046" max="12046" width="9.42578125" style="2" bestFit="1" customWidth="1"/>
    <col min="12047" max="12288" width="11.42578125" style="2"/>
    <col min="12289" max="12289" width="9.140625" style="2" customWidth="1"/>
    <col min="12290" max="12290" width="0" style="2" hidden="1" customWidth="1"/>
    <col min="12291" max="12291" width="10.140625" style="2" bestFit="1" customWidth="1"/>
    <col min="12292" max="12292" width="15.7109375" style="2" bestFit="1" customWidth="1"/>
    <col min="12293" max="12293" width="10.140625" style="2" customWidth="1"/>
    <col min="12294" max="12295" width="11.42578125" style="2"/>
    <col min="12296" max="12296" width="13.140625" style="2" bestFit="1" customWidth="1"/>
    <col min="12297" max="12297" width="2.140625" style="2" customWidth="1"/>
    <col min="12298" max="12298" width="7.5703125" style="2" bestFit="1" customWidth="1"/>
    <col min="12299" max="12300" width="11.5703125" style="2" bestFit="1" customWidth="1"/>
    <col min="12301" max="12301" width="9.28515625" style="2" bestFit="1" customWidth="1"/>
    <col min="12302" max="12302" width="9.42578125" style="2" bestFit="1" customWidth="1"/>
    <col min="12303" max="12544" width="11.42578125" style="2"/>
    <col min="12545" max="12545" width="9.140625" style="2" customWidth="1"/>
    <col min="12546" max="12546" width="0" style="2" hidden="1" customWidth="1"/>
    <col min="12547" max="12547" width="10.140625" style="2" bestFit="1" customWidth="1"/>
    <col min="12548" max="12548" width="15.7109375" style="2" bestFit="1" customWidth="1"/>
    <col min="12549" max="12549" width="10.140625" style="2" customWidth="1"/>
    <col min="12550" max="12551" width="11.42578125" style="2"/>
    <col min="12552" max="12552" width="13.140625" style="2" bestFit="1" customWidth="1"/>
    <col min="12553" max="12553" width="2.140625" style="2" customWidth="1"/>
    <col min="12554" max="12554" width="7.5703125" style="2" bestFit="1" customWidth="1"/>
    <col min="12555" max="12556" width="11.5703125" style="2" bestFit="1" customWidth="1"/>
    <col min="12557" max="12557" width="9.28515625" style="2" bestFit="1" customWidth="1"/>
    <col min="12558" max="12558" width="9.42578125" style="2" bestFit="1" customWidth="1"/>
    <col min="12559" max="12800" width="11.42578125" style="2"/>
    <col min="12801" max="12801" width="9.140625" style="2" customWidth="1"/>
    <col min="12802" max="12802" width="0" style="2" hidden="1" customWidth="1"/>
    <col min="12803" max="12803" width="10.140625" style="2" bestFit="1" customWidth="1"/>
    <col min="12804" max="12804" width="15.7109375" style="2" bestFit="1" customWidth="1"/>
    <col min="12805" max="12805" width="10.140625" style="2" customWidth="1"/>
    <col min="12806" max="12807" width="11.42578125" style="2"/>
    <col min="12808" max="12808" width="13.140625" style="2" bestFit="1" customWidth="1"/>
    <col min="12809" max="12809" width="2.140625" style="2" customWidth="1"/>
    <col min="12810" max="12810" width="7.5703125" style="2" bestFit="1" customWidth="1"/>
    <col min="12811" max="12812" width="11.5703125" style="2" bestFit="1" customWidth="1"/>
    <col min="12813" max="12813" width="9.28515625" style="2" bestFit="1" customWidth="1"/>
    <col min="12814" max="12814" width="9.42578125" style="2" bestFit="1" customWidth="1"/>
    <col min="12815" max="13056" width="11.42578125" style="2"/>
    <col min="13057" max="13057" width="9.140625" style="2" customWidth="1"/>
    <col min="13058" max="13058" width="0" style="2" hidden="1" customWidth="1"/>
    <col min="13059" max="13059" width="10.140625" style="2" bestFit="1" customWidth="1"/>
    <col min="13060" max="13060" width="15.7109375" style="2" bestFit="1" customWidth="1"/>
    <col min="13061" max="13061" width="10.140625" style="2" customWidth="1"/>
    <col min="13062" max="13063" width="11.42578125" style="2"/>
    <col min="13064" max="13064" width="13.140625" style="2" bestFit="1" customWidth="1"/>
    <col min="13065" max="13065" width="2.140625" style="2" customWidth="1"/>
    <col min="13066" max="13066" width="7.5703125" style="2" bestFit="1" customWidth="1"/>
    <col min="13067" max="13068" width="11.5703125" style="2" bestFit="1" customWidth="1"/>
    <col min="13069" max="13069" width="9.28515625" style="2" bestFit="1" customWidth="1"/>
    <col min="13070" max="13070" width="9.42578125" style="2" bestFit="1" customWidth="1"/>
    <col min="13071" max="13312" width="11.42578125" style="2"/>
    <col min="13313" max="13313" width="9.140625" style="2" customWidth="1"/>
    <col min="13314" max="13314" width="0" style="2" hidden="1" customWidth="1"/>
    <col min="13315" max="13315" width="10.140625" style="2" bestFit="1" customWidth="1"/>
    <col min="13316" max="13316" width="15.7109375" style="2" bestFit="1" customWidth="1"/>
    <col min="13317" max="13317" width="10.140625" style="2" customWidth="1"/>
    <col min="13318" max="13319" width="11.42578125" style="2"/>
    <col min="13320" max="13320" width="13.140625" style="2" bestFit="1" customWidth="1"/>
    <col min="13321" max="13321" width="2.140625" style="2" customWidth="1"/>
    <col min="13322" max="13322" width="7.5703125" style="2" bestFit="1" customWidth="1"/>
    <col min="13323" max="13324" width="11.5703125" style="2" bestFit="1" customWidth="1"/>
    <col min="13325" max="13325" width="9.28515625" style="2" bestFit="1" customWidth="1"/>
    <col min="13326" max="13326" width="9.42578125" style="2" bestFit="1" customWidth="1"/>
    <col min="13327" max="13568" width="11.42578125" style="2"/>
    <col min="13569" max="13569" width="9.140625" style="2" customWidth="1"/>
    <col min="13570" max="13570" width="0" style="2" hidden="1" customWidth="1"/>
    <col min="13571" max="13571" width="10.140625" style="2" bestFit="1" customWidth="1"/>
    <col min="13572" max="13572" width="15.7109375" style="2" bestFit="1" customWidth="1"/>
    <col min="13573" max="13573" width="10.140625" style="2" customWidth="1"/>
    <col min="13574" max="13575" width="11.42578125" style="2"/>
    <col min="13576" max="13576" width="13.140625" style="2" bestFit="1" customWidth="1"/>
    <col min="13577" max="13577" width="2.140625" style="2" customWidth="1"/>
    <col min="13578" max="13578" width="7.5703125" style="2" bestFit="1" customWidth="1"/>
    <col min="13579" max="13580" width="11.5703125" style="2" bestFit="1" customWidth="1"/>
    <col min="13581" max="13581" width="9.28515625" style="2" bestFit="1" customWidth="1"/>
    <col min="13582" max="13582" width="9.42578125" style="2" bestFit="1" customWidth="1"/>
    <col min="13583" max="13824" width="11.42578125" style="2"/>
    <col min="13825" max="13825" width="9.140625" style="2" customWidth="1"/>
    <col min="13826" max="13826" width="0" style="2" hidden="1" customWidth="1"/>
    <col min="13827" max="13827" width="10.140625" style="2" bestFit="1" customWidth="1"/>
    <col min="13828" max="13828" width="15.7109375" style="2" bestFit="1" customWidth="1"/>
    <col min="13829" max="13829" width="10.140625" style="2" customWidth="1"/>
    <col min="13830" max="13831" width="11.42578125" style="2"/>
    <col min="13832" max="13832" width="13.140625" style="2" bestFit="1" customWidth="1"/>
    <col min="13833" max="13833" width="2.140625" style="2" customWidth="1"/>
    <col min="13834" max="13834" width="7.5703125" style="2" bestFit="1" customWidth="1"/>
    <col min="13835" max="13836" width="11.5703125" style="2" bestFit="1" customWidth="1"/>
    <col min="13837" max="13837" width="9.28515625" style="2" bestFit="1" customWidth="1"/>
    <col min="13838" max="13838" width="9.42578125" style="2" bestFit="1" customWidth="1"/>
    <col min="13839" max="14080" width="11.42578125" style="2"/>
    <col min="14081" max="14081" width="9.140625" style="2" customWidth="1"/>
    <col min="14082" max="14082" width="0" style="2" hidden="1" customWidth="1"/>
    <col min="14083" max="14083" width="10.140625" style="2" bestFit="1" customWidth="1"/>
    <col min="14084" max="14084" width="15.7109375" style="2" bestFit="1" customWidth="1"/>
    <col min="14085" max="14085" width="10.140625" style="2" customWidth="1"/>
    <col min="14086" max="14087" width="11.42578125" style="2"/>
    <col min="14088" max="14088" width="13.140625" style="2" bestFit="1" customWidth="1"/>
    <col min="14089" max="14089" width="2.140625" style="2" customWidth="1"/>
    <col min="14090" max="14090" width="7.5703125" style="2" bestFit="1" customWidth="1"/>
    <col min="14091" max="14092" width="11.5703125" style="2" bestFit="1" customWidth="1"/>
    <col min="14093" max="14093" width="9.28515625" style="2" bestFit="1" customWidth="1"/>
    <col min="14094" max="14094" width="9.42578125" style="2" bestFit="1" customWidth="1"/>
    <col min="14095" max="14336" width="11.42578125" style="2"/>
    <col min="14337" max="14337" width="9.140625" style="2" customWidth="1"/>
    <col min="14338" max="14338" width="0" style="2" hidden="1" customWidth="1"/>
    <col min="14339" max="14339" width="10.140625" style="2" bestFit="1" customWidth="1"/>
    <col min="14340" max="14340" width="15.7109375" style="2" bestFit="1" customWidth="1"/>
    <col min="14341" max="14341" width="10.140625" style="2" customWidth="1"/>
    <col min="14342" max="14343" width="11.42578125" style="2"/>
    <col min="14344" max="14344" width="13.140625" style="2" bestFit="1" customWidth="1"/>
    <col min="14345" max="14345" width="2.140625" style="2" customWidth="1"/>
    <col min="14346" max="14346" width="7.5703125" style="2" bestFit="1" customWidth="1"/>
    <col min="14347" max="14348" width="11.5703125" style="2" bestFit="1" customWidth="1"/>
    <col min="14349" max="14349" width="9.28515625" style="2" bestFit="1" customWidth="1"/>
    <col min="14350" max="14350" width="9.42578125" style="2" bestFit="1" customWidth="1"/>
    <col min="14351" max="14592" width="11.42578125" style="2"/>
    <col min="14593" max="14593" width="9.140625" style="2" customWidth="1"/>
    <col min="14594" max="14594" width="0" style="2" hidden="1" customWidth="1"/>
    <col min="14595" max="14595" width="10.140625" style="2" bestFit="1" customWidth="1"/>
    <col min="14596" max="14596" width="15.7109375" style="2" bestFit="1" customWidth="1"/>
    <col min="14597" max="14597" width="10.140625" style="2" customWidth="1"/>
    <col min="14598" max="14599" width="11.42578125" style="2"/>
    <col min="14600" max="14600" width="13.140625" style="2" bestFit="1" customWidth="1"/>
    <col min="14601" max="14601" width="2.140625" style="2" customWidth="1"/>
    <col min="14602" max="14602" width="7.5703125" style="2" bestFit="1" customWidth="1"/>
    <col min="14603" max="14604" width="11.5703125" style="2" bestFit="1" customWidth="1"/>
    <col min="14605" max="14605" width="9.28515625" style="2" bestFit="1" customWidth="1"/>
    <col min="14606" max="14606" width="9.42578125" style="2" bestFit="1" customWidth="1"/>
    <col min="14607" max="14848" width="11.42578125" style="2"/>
    <col min="14849" max="14849" width="9.140625" style="2" customWidth="1"/>
    <col min="14850" max="14850" width="0" style="2" hidden="1" customWidth="1"/>
    <col min="14851" max="14851" width="10.140625" style="2" bestFit="1" customWidth="1"/>
    <col min="14852" max="14852" width="15.7109375" style="2" bestFit="1" customWidth="1"/>
    <col min="14853" max="14853" width="10.140625" style="2" customWidth="1"/>
    <col min="14854" max="14855" width="11.42578125" style="2"/>
    <col min="14856" max="14856" width="13.140625" style="2" bestFit="1" customWidth="1"/>
    <col min="14857" max="14857" width="2.140625" style="2" customWidth="1"/>
    <col min="14858" max="14858" width="7.5703125" style="2" bestFit="1" customWidth="1"/>
    <col min="14859" max="14860" width="11.5703125" style="2" bestFit="1" customWidth="1"/>
    <col min="14861" max="14861" width="9.28515625" style="2" bestFit="1" customWidth="1"/>
    <col min="14862" max="14862" width="9.42578125" style="2" bestFit="1" customWidth="1"/>
    <col min="14863" max="15104" width="11.42578125" style="2"/>
    <col min="15105" max="15105" width="9.140625" style="2" customWidth="1"/>
    <col min="15106" max="15106" width="0" style="2" hidden="1" customWidth="1"/>
    <col min="15107" max="15107" width="10.140625" style="2" bestFit="1" customWidth="1"/>
    <col min="15108" max="15108" width="15.7109375" style="2" bestFit="1" customWidth="1"/>
    <col min="15109" max="15109" width="10.140625" style="2" customWidth="1"/>
    <col min="15110" max="15111" width="11.42578125" style="2"/>
    <col min="15112" max="15112" width="13.140625" style="2" bestFit="1" customWidth="1"/>
    <col min="15113" max="15113" width="2.140625" style="2" customWidth="1"/>
    <col min="15114" max="15114" width="7.5703125" style="2" bestFit="1" customWidth="1"/>
    <col min="15115" max="15116" width="11.5703125" style="2" bestFit="1" customWidth="1"/>
    <col min="15117" max="15117" width="9.28515625" style="2" bestFit="1" customWidth="1"/>
    <col min="15118" max="15118" width="9.42578125" style="2" bestFit="1" customWidth="1"/>
    <col min="15119" max="15360" width="11.42578125" style="2"/>
    <col min="15361" max="15361" width="9.140625" style="2" customWidth="1"/>
    <col min="15362" max="15362" width="0" style="2" hidden="1" customWidth="1"/>
    <col min="15363" max="15363" width="10.140625" style="2" bestFit="1" customWidth="1"/>
    <col min="15364" max="15364" width="15.7109375" style="2" bestFit="1" customWidth="1"/>
    <col min="15365" max="15365" width="10.140625" style="2" customWidth="1"/>
    <col min="15366" max="15367" width="11.42578125" style="2"/>
    <col min="15368" max="15368" width="13.140625" style="2" bestFit="1" customWidth="1"/>
    <col min="15369" max="15369" width="2.140625" style="2" customWidth="1"/>
    <col min="15370" max="15370" width="7.5703125" style="2" bestFit="1" customWidth="1"/>
    <col min="15371" max="15372" width="11.5703125" style="2" bestFit="1" customWidth="1"/>
    <col min="15373" max="15373" width="9.28515625" style="2" bestFit="1" customWidth="1"/>
    <col min="15374" max="15374" width="9.42578125" style="2" bestFit="1" customWidth="1"/>
    <col min="15375" max="15616" width="11.42578125" style="2"/>
    <col min="15617" max="15617" width="9.140625" style="2" customWidth="1"/>
    <col min="15618" max="15618" width="0" style="2" hidden="1" customWidth="1"/>
    <col min="15619" max="15619" width="10.140625" style="2" bestFit="1" customWidth="1"/>
    <col min="15620" max="15620" width="15.7109375" style="2" bestFit="1" customWidth="1"/>
    <col min="15621" max="15621" width="10.140625" style="2" customWidth="1"/>
    <col min="15622" max="15623" width="11.42578125" style="2"/>
    <col min="15624" max="15624" width="13.140625" style="2" bestFit="1" customWidth="1"/>
    <col min="15625" max="15625" width="2.140625" style="2" customWidth="1"/>
    <col min="15626" max="15626" width="7.5703125" style="2" bestFit="1" customWidth="1"/>
    <col min="15627" max="15628" width="11.5703125" style="2" bestFit="1" customWidth="1"/>
    <col min="15629" max="15629" width="9.28515625" style="2" bestFit="1" customWidth="1"/>
    <col min="15630" max="15630" width="9.42578125" style="2" bestFit="1" customWidth="1"/>
    <col min="15631" max="15872" width="11.42578125" style="2"/>
    <col min="15873" max="15873" width="9.140625" style="2" customWidth="1"/>
    <col min="15874" max="15874" width="0" style="2" hidden="1" customWidth="1"/>
    <col min="15875" max="15875" width="10.140625" style="2" bestFit="1" customWidth="1"/>
    <col min="15876" max="15876" width="15.7109375" style="2" bestFit="1" customWidth="1"/>
    <col min="15877" max="15877" width="10.140625" style="2" customWidth="1"/>
    <col min="15878" max="15879" width="11.42578125" style="2"/>
    <col min="15880" max="15880" width="13.140625" style="2" bestFit="1" customWidth="1"/>
    <col min="15881" max="15881" width="2.140625" style="2" customWidth="1"/>
    <col min="15882" max="15882" width="7.5703125" style="2" bestFit="1" customWidth="1"/>
    <col min="15883" max="15884" width="11.5703125" style="2" bestFit="1" customWidth="1"/>
    <col min="15885" max="15885" width="9.28515625" style="2" bestFit="1" customWidth="1"/>
    <col min="15886" max="15886" width="9.42578125" style="2" bestFit="1" customWidth="1"/>
    <col min="15887" max="16128" width="11.42578125" style="2"/>
    <col min="16129" max="16129" width="9.140625" style="2" customWidth="1"/>
    <col min="16130" max="16130" width="0" style="2" hidden="1" customWidth="1"/>
    <col min="16131" max="16131" width="10.140625" style="2" bestFit="1" customWidth="1"/>
    <col min="16132" max="16132" width="15.7109375" style="2" bestFit="1" customWidth="1"/>
    <col min="16133" max="16133" width="10.140625" style="2" customWidth="1"/>
    <col min="16134" max="16135" width="11.42578125" style="2"/>
    <col min="16136" max="16136" width="13.140625" style="2" bestFit="1" customWidth="1"/>
    <col min="16137" max="16137" width="2.140625" style="2" customWidth="1"/>
    <col min="16138" max="16138" width="7.5703125" style="2" bestFit="1" customWidth="1"/>
    <col min="16139" max="16140" width="11.5703125" style="2" bestFit="1" customWidth="1"/>
    <col min="16141" max="16141" width="9.28515625" style="2" bestFit="1" customWidth="1"/>
    <col min="16142" max="16142" width="9.42578125" style="2" bestFit="1" customWidth="1"/>
    <col min="16143" max="16384" width="11.42578125" style="2"/>
  </cols>
  <sheetData>
    <row r="1" spans="1:14" s="16" customFormat="1" ht="38.25" customHeight="1">
      <c r="A1" s="693" t="s">
        <v>35</v>
      </c>
      <c r="B1" s="695" t="s">
        <v>330</v>
      </c>
      <c r="C1" s="697" t="s">
        <v>331</v>
      </c>
      <c r="D1" s="698"/>
      <c r="E1" s="699"/>
      <c r="F1" s="695" t="s">
        <v>332</v>
      </c>
      <c r="G1" s="695" t="s">
        <v>333</v>
      </c>
      <c r="H1" s="695" t="s">
        <v>334</v>
      </c>
      <c r="J1" s="690" t="s">
        <v>335</v>
      </c>
      <c r="K1" s="691"/>
      <c r="L1" s="691"/>
      <c r="M1" s="691"/>
      <c r="N1" s="692"/>
    </row>
    <row r="2" spans="1:14" s="16" customFormat="1" ht="25.5">
      <c r="A2" s="694"/>
      <c r="B2" s="696"/>
      <c r="C2" s="472" t="s">
        <v>336</v>
      </c>
      <c r="D2" s="472" t="s">
        <v>77</v>
      </c>
      <c r="E2" s="472" t="s">
        <v>42</v>
      </c>
      <c r="F2" s="696"/>
      <c r="G2" s="696"/>
      <c r="H2" s="696"/>
      <c r="J2" s="473"/>
      <c r="K2" s="473" t="s">
        <v>337</v>
      </c>
      <c r="L2" s="473" t="s">
        <v>338</v>
      </c>
      <c r="M2" s="473" t="s">
        <v>339</v>
      </c>
      <c r="N2" s="474" t="s">
        <v>340</v>
      </c>
    </row>
    <row r="3" spans="1:14">
      <c r="A3" s="475"/>
      <c r="B3" s="476"/>
      <c r="C3" s="476"/>
      <c r="D3" s="476"/>
      <c r="E3" s="476"/>
      <c r="F3" s="476"/>
      <c r="G3" s="476"/>
      <c r="H3" s="477"/>
      <c r="J3" s="478" t="s">
        <v>341</v>
      </c>
      <c r="K3" s="479">
        <v>119.69</v>
      </c>
      <c r="L3" s="480"/>
      <c r="M3" s="150"/>
      <c r="N3" s="481"/>
    </row>
    <row r="4" spans="1:14">
      <c r="A4" s="475"/>
      <c r="B4" s="476"/>
      <c r="C4" s="482"/>
      <c r="D4" s="482"/>
      <c r="E4" s="482"/>
      <c r="F4" s="482"/>
      <c r="G4" s="482"/>
      <c r="H4" s="483"/>
      <c r="J4" s="484" t="s">
        <v>342</v>
      </c>
      <c r="K4" s="485">
        <v>120.31</v>
      </c>
      <c r="L4" s="486">
        <f>(K4-K3)/K3</f>
        <v>5.180048458517876E-3</v>
      </c>
      <c r="M4" s="487"/>
      <c r="N4" s="488"/>
    </row>
    <row r="5" spans="1:14">
      <c r="A5" s="475">
        <v>2016</v>
      </c>
      <c r="B5" s="476">
        <v>42370</v>
      </c>
      <c r="C5" s="489"/>
      <c r="D5" s="489"/>
      <c r="E5" s="489"/>
      <c r="F5" s="489"/>
      <c r="G5" s="489"/>
      <c r="H5" s="490"/>
      <c r="J5" s="484" t="s">
        <v>343</v>
      </c>
      <c r="K5" s="485">
        <v>120.95</v>
      </c>
      <c r="L5" s="486">
        <f t="shared" ref="L5:L22" si="0">(K5-K4)/K4</f>
        <v>5.3195910564375407E-3</v>
      </c>
      <c r="M5" s="487"/>
      <c r="N5" s="488"/>
    </row>
    <row r="6" spans="1:14">
      <c r="A6" s="475">
        <f t="shared" ref="A6:A49" si="1">A5+1</f>
        <v>2017</v>
      </c>
      <c r="B6" s="476">
        <v>42736</v>
      </c>
      <c r="C6" s="489"/>
      <c r="D6" s="489"/>
      <c r="E6" s="489"/>
      <c r="F6" s="489"/>
      <c r="G6" s="489"/>
      <c r="H6" s="490"/>
      <c r="J6" s="484" t="s">
        <v>344</v>
      </c>
      <c r="K6" s="485">
        <v>121.68</v>
      </c>
      <c r="L6" s="486">
        <f t="shared" si="0"/>
        <v>6.0355518809425707E-3</v>
      </c>
      <c r="M6" s="487">
        <v>120.66</v>
      </c>
      <c r="N6" s="488"/>
    </row>
    <row r="7" spans="1:14">
      <c r="A7" s="475">
        <f t="shared" si="1"/>
        <v>2018</v>
      </c>
      <c r="B7" s="476">
        <v>43101</v>
      </c>
      <c r="C7" s="489"/>
      <c r="D7" s="489"/>
      <c r="E7" s="489"/>
      <c r="F7" s="489"/>
      <c r="G7" s="489"/>
      <c r="H7" s="490"/>
      <c r="J7" s="484" t="s">
        <v>345</v>
      </c>
      <c r="K7" s="485">
        <v>122.37</v>
      </c>
      <c r="L7" s="486">
        <f t="shared" si="0"/>
        <v>5.6706114398421903E-3</v>
      </c>
      <c r="M7" s="487"/>
      <c r="N7" s="488"/>
    </row>
    <row r="8" spans="1:14">
      <c r="A8" s="475">
        <f t="shared" si="1"/>
        <v>2019</v>
      </c>
      <c r="B8" s="476">
        <v>43617</v>
      </c>
      <c r="C8" s="491">
        <f>+'[49]PLS 40 ans Tr'!R2</f>
        <v>290589</v>
      </c>
      <c r="D8" s="491">
        <f>+'[49]PLS 40 ans Tr'!S2</f>
        <v>0</v>
      </c>
      <c r="E8" s="491">
        <f>+'[49]PLS 40 ans Tr'!T2</f>
        <v>290589</v>
      </c>
      <c r="F8" s="491">
        <f>+[49]GER!$AB7</f>
        <v>0</v>
      </c>
      <c r="G8" s="491">
        <f>$G$52/40/2</f>
        <v>13333.137500000001</v>
      </c>
      <c r="H8" s="491">
        <f>C8+F8+G8</f>
        <v>303922.13750000001</v>
      </c>
      <c r="J8" s="484" t="s">
        <v>346</v>
      </c>
      <c r="K8" s="485">
        <v>122.96</v>
      </c>
      <c r="L8" s="486">
        <f t="shared" si="0"/>
        <v>4.8214431641741369E-3</v>
      </c>
      <c r="M8" s="487"/>
      <c r="N8" s="488"/>
    </row>
    <row r="9" spans="1:14">
      <c r="A9" s="475">
        <f t="shared" si="1"/>
        <v>2020</v>
      </c>
      <c r="B9" s="476">
        <v>43831</v>
      </c>
      <c r="C9" s="491">
        <f>'[49]PLS 40 ans Tr'!R3</f>
        <v>274555.03534730757</v>
      </c>
      <c r="D9" s="491">
        <f>'[49]PLS 40 ans Tr'!S3</f>
        <v>69077.57287130758</v>
      </c>
      <c r="E9" s="491">
        <f>'[49]PLS 40 ans Tr'!T3</f>
        <v>205477.46247599999</v>
      </c>
      <c r="F9" s="491">
        <f>+[49]GER!$AB8</f>
        <v>0</v>
      </c>
      <c r="G9" s="491">
        <f t="shared" ref="G9:G47" si="2">$G$52/40</f>
        <v>26666.275000000001</v>
      </c>
      <c r="H9" s="491">
        <f t="shared" ref="H9:H49" si="3">C9+F9+G9</f>
        <v>301221.31034730759</v>
      </c>
      <c r="J9" s="484" t="s">
        <v>347</v>
      </c>
      <c r="K9" s="485">
        <v>123.55</v>
      </c>
      <c r="L9" s="486">
        <f t="shared" si="0"/>
        <v>4.7983083929733529E-3</v>
      </c>
      <c r="M9" s="487"/>
      <c r="N9" s="488"/>
    </row>
    <row r="10" spans="1:14">
      <c r="A10" s="475">
        <f t="shared" si="1"/>
        <v>2021</v>
      </c>
      <c r="B10" s="476">
        <v>44197</v>
      </c>
      <c r="C10" s="491">
        <f>'[49]PLS 40 ans Tr'!R7</f>
        <v>274555.03534730762</v>
      </c>
      <c r="D10" s="491">
        <f>'[49]PLS 40 ans Tr'!S7</f>
        <v>71502.195679090539</v>
      </c>
      <c r="E10" s="491">
        <f>'[49]PLS 40 ans Tr'!T7</f>
        <v>203052.83966821709</v>
      </c>
      <c r="F10" s="491">
        <f>+[49]GER!$AB9</f>
        <v>0</v>
      </c>
      <c r="G10" s="491">
        <f t="shared" si="2"/>
        <v>26666.275000000001</v>
      </c>
      <c r="H10" s="491">
        <f t="shared" si="3"/>
        <v>301221.31034730765</v>
      </c>
      <c r="J10" s="484" t="s">
        <v>348</v>
      </c>
      <c r="K10" s="485">
        <v>123.97</v>
      </c>
      <c r="L10" s="486">
        <f t="shared" si="0"/>
        <v>3.3994334277620535E-3</v>
      </c>
      <c r="M10" s="487">
        <v>123.21</v>
      </c>
      <c r="N10" s="492">
        <f>(M10-M6)/M6</f>
        <v>2.1133764296369942E-2</v>
      </c>
    </row>
    <row r="11" spans="1:14">
      <c r="A11" s="475">
        <f t="shared" si="1"/>
        <v>2022</v>
      </c>
      <c r="B11" s="476">
        <v>44562</v>
      </c>
      <c r="C11" s="491">
        <f>'[49]PLS 40 ans Tr'!R11</f>
        <v>274555.03534730757</v>
      </c>
      <c r="D11" s="491">
        <f>'[49]PLS 40 ans Tr'!S11</f>
        <v>74011.922747426579</v>
      </c>
      <c r="E11" s="491">
        <f>'[49]PLS 40 ans Tr'!T11</f>
        <v>200543.11259988099</v>
      </c>
      <c r="F11" s="491">
        <f>+[49]GER!$AB10</f>
        <v>0</v>
      </c>
      <c r="G11" s="491">
        <f t="shared" si="2"/>
        <v>26666.275000000001</v>
      </c>
      <c r="H11" s="491">
        <f t="shared" si="3"/>
        <v>301221.31034730759</v>
      </c>
      <c r="J11" s="484" t="s">
        <v>349</v>
      </c>
      <c r="K11" s="485">
        <v>124.25</v>
      </c>
      <c r="L11" s="486">
        <f t="shared" si="0"/>
        <v>2.2586109542631376E-3</v>
      </c>
      <c r="M11" s="487"/>
      <c r="N11" s="488"/>
    </row>
    <row r="12" spans="1:14">
      <c r="A12" s="475">
        <f t="shared" si="1"/>
        <v>2023</v>
      </c>
      <c r="B12" s="476">
        <v>44927</v>
      </c>
      <c r="C12" s="491">
        <f>'[49]PLS 40 ans Tr'!R15</f>
        <v>274555.03534730757</v>
      </c>
      <c r="D12" s="491">
        <f>'[49]PLS 40 ans Tr'!S15</f>
        <v>76609.741235861264</v>
      </c>
      <c r="E12" s="491">
        <f>'[49]PLS 40 ans Tr'!T15</f>
        <v>197945.2941114463</v>
      </c>
      <c r="F12" s="491">
        <f>+[49]GER!$AB11</f>
        <v>0</v>
      </c>
      <c r="G12" s="491">
        <f t="shared" si="2"/>
        <v>26666.275000000001</v>
      </c>
      <c r="H12" s="491">
        <f t="shared" si="3"/>
        <v>301221.31034730759</v>
      </c>
      <c r="J12" s="484" t="s">
        <v>350</v>
      </c>
      <c r="K12" s="493">
        <v>124.44</v>
      </c>
      <c r="L12" s="486">
        <f t="shared" si="0"/>
        <v>1.5291750503017925E-3</v>
      </c>
      <c r="M12" s="487"/>
      <c r="N12" s="488"/>
    </row>
    <row r="13" spans="1:14">
      <c r="A13" s="475">
        <f t="shared" si="1"/>
        <v>2024</v>
      </c>
      <c r="B13" s="476">
        <v>45292</v>
      </c>
      <c r="C13" s="491">
        <f>'[49]PLS 40 ans Tr'!R19</f>
        <v>274555.03534730757</v>
      </c>
      <c r="D13" s="491">
        <f>'[49]PLS 40 ans Tr'!S19</f>
        <v>79298.743153239979</v>
      </c>
      <c r="E13" s="491">
        <f>'[49]PLS 40 ans Tr'!T19</f>
        <v>195256.29219406759</v>
      </c>
      <c r="F13" s="491">
        <f>+[49]GER!$AB12</f>
        <v>65925.004425714287</v>
      </c>
      <c r="G13" s="491">
        <f t="shared" si="2"/>
        <v>26666.275000000001</v>
      </c>
      <c r="H13" s="491">
        <f t="shared" si="3"/>
        <v>367146.31477302185</v>
      </c>
      <c r="J13" s="484" t="s">
        <v>351</v>
      </c>
      <c r="K13" s="485">
        <v>124.66</v>
      </c>
      <c r="L13" s="486">
        <f t="shared" si="0"/>
        <v>1.7679202828672362E-3</v>
      </c>
      <c r="M13" s="487"/>
      <c r="N13" s="488"/>
    </row>
    <row r="14" spans="1:14">
      <c r="A14" s="475">
        <f t="shared" si="1"/>
        <v>2025</v>
      </c>
      <c r="B14" s="476">
        <v>45658</v>
      </c>
      <c r="C14" s="491">
        <f>'[49]PLS 40 ans Tr'!R23</f>
        <v>271013.45785099943</v>
      </c>
      <c r="D14" s="491">
        <f>'[49]PLS 40 ans Tr'!S23</f>
        <v>82082.128973357685</v>
      </c>
      <c r="E14" s="491">
        <f>'[49]PLS 40 ans Tr'!T23</f>
        <v>188931.32887764173</v>
      </c>
      <c r="F14" s="491">
        <f>+[49]GER!$AB13</f>
        <v>131850.00885142857</v>
      </c>
      <c r="G14" s="491">
        <f t="shared" si="2"/>
        <v>26666.275000000001</v>
      </c>
      <c r="H14" s="491">
        <f t="shared" si="3"/>
        <v>429529.74170242803</v>
      </c>
      <c r="J14" s="484" t="s">
        <v>352</v>
      </c>
      <c r="K14" s="494">
        <v>124.83</v>
      </c>
      <c r="L14" s="486">
        <f t="shared" si="0"/>
        <v>1.3637092892668193E-3</v>
      </c>
      <c r="M14" s="487">
        <v>124.54</v>
      </c>
      <c r="N14" s="492">
        <f>(M14-M10)/M10</f>
        <v>1.0794578362146031E-2</v>
      </c>
    </row>
    <row r="15" spans="1:14">
      <c r="A15" s="475">
        <f t="shared" si="1"/>
        <v>2026</v>
      </c>
      <c r="B15" s="476">
        <v>46023</v>
      </c>
      <c r="C15" s="491">
        <f>'[49]PLS 40 ans Tr'!R27</f>
        <v>271013.45785099937</v>
      </c>
      <c r="D15" s="491">
        <f>'[49]PLS 40 ans Tr'!S27</f>
        <v>84963.211700322514</v>
      </c>
      <c r="E15" s="491">
        <f>'[49]PLS 40 ans Tr'!T27</f>
        <v>186050.24615067686</v>
      </c>
      <c r="F15" s="491">
        <f>+[49]GER!$AB14</f>
        <v>131850.00885142857</v>
      </c>
      <c r="G15" s="491">
        <f t="shared" si="2"/>
        <v>26666.275000000001</v>
      </c>
      <c r="H15" s="491">
        <f t="shared" si="3"/>
        <v>429529.74170242797</v>
      </c>
      <c r="J15" s="484" t="s">
        <v>353</v>
      </c>
      <c r="K15" s="495">
        <v>125</v>
      </c>
      <c r="L15" s="486">
        <f t="shared" si="0"/>
        <v>1.3618521188816927E-3</v>
      </c>
      <c r="M15" s="487"/>
      <c r="N15" s="488"/>
    </row>
    <row r="16" spans="1:14">
      <c r="A16" s="475">
        <f t="shared" si="1"/>
        <v>2027</v>
      </c>
      <c r="B16" s="476">
        <v>46388</v>
      </c>
      <c r="C16" s="491">
        <f>'[49]PLS 40 ans Tr'!R31</f>
        <v>271013.45785099943</v>
      </c>
      <c r="D16" s="491">
        <f>'[49]PLS 40 ans Tr'!S31</f>
        <v>87945.420431003848</v>
      </c>
      <c r="E16" s="491">
        <f>'[49]PLS 40 ans Tr'!T31</f>
        <v>183068.03741999558</v>
      </c>
      <c r="F16" s="491">
        <f>+[49]GER!$AB15</f>
        <v>131850.00885142857</v>
      </c>
      <c r="G16" s="491">
        <f t="shared" si="2"/>
        <v>26666.275000000001</v>
      </c>
      <c r="H16" s="491">
        <f t="shared" si="3"/>
        <v>429529.74170242803</v>
      </c>
      <c r="J16" s="484" t="s">
        <v>354</v>
      </c>
      <c r="K16" s="494">
        <v>125.15</v>
      </c>
      <c r="L16" s="486">
        <f t="shared" si="0"/>
        <v>1.2000000000000454E-3</v>
      </c>
      <c r="M16" s="487"/>
      <c r="N16" s="488"/>
    </row>
    <row r="17" spans="1:14">
      <c r="A17" s="475">
        <f t="shared" si="1"/>
        <v>2028</v>
      </c>
      <c r="B17" s="476">
        <v>46753</v>
      </c>
      <c r="C17" s="491">
        <f>'[49]PLS 40 ans Tr'!R35</f>
        <v>271013.45785099943</v>
      </c>
      <c r="D17" s="491">
        <f>'[49]PLS 40 ans Tr'!S35</f>
        <v>91032.304688132019</v>
      </c>
      <c r="E17" s="491">
        <f>'[49]PLS 40 ans Tr'!T35</f>
        <v>179981.15316286735</v>
      </c>
      <c r="F17" s="491">
        <f>+[49]GER!$AB16</f>
        <v>131850.00885142857</v>
      </c>
      <c r="G17" s="491">
        <f t="shared" si="2"/>
        <v>26666.275000000001</v>
      </c>
      <c r="H17" s="491">
        <f t="shared" si="3"/>
        <v>429529.74170242803</v>
      </c>
      <c r="J17" s="484" t="s">
        <v>355</v>
      </c>
      <c r="K17" s="485">
        <v>125.24</v>
      </c>
      <c r="L17" s="486">
        <f t="shared" si="0"/>
        <v>7.1913703555724488E-4</v>
      </c>
      <c r="M17" s="487"/>
      <c r="N17" s="488"/>
    </row>
    <row r="18" spans="1:14">
      <c r="A18" s="475">
        <f t="shared" si="1"/>
        <v>2029</v>
      </c>
      <c r="B18" s="476">
        <v>47119</v>
      </c>
      <c r="C18" s="491">
        <f>'[49]PLS 40 ans Tr'!R39</f>
        <v>271013.45785099937</v>
      </c>
      <c r="D18" s="491">
        <f>'[49]PLS 40 ans Tr'!S39</f>
        <v>94227.538582685433</v>
      </c>
      <c r="E18" s="491">
        <f>'[49]PLS 40 ans Tr'!T39</f>
        <v>176785.91926831397</v>
      </c>
      <c r="F18" s="491">
        <f>+[49]GER!$AB17</f>
        <v>131850.00885142857</v>
      </c>
      <c r="G18" s="491">
        <f t="shared" si="2"/>
        <v>26666.275000000001</v>
      </c>
      <c r="H18" s="491">
        <f t="shared" si="3"/>
        <v>429529.74170242797</v>
      </c>
      <c r="J18" s="484" t="s">
        <v>356</v>
      </c>
      <c r="K18" s="485">
        <v>125.29</v>
      </c>
      <c r="L18" s="486">
        <f t="shared" si="0"/>
        <v>3.9923347173436097E-4</v>
      </c>
      <c r="M18" s="487">
        <v>125.17</v>
      </c>
      <c r="N18" s="492">
        <f>(M18-M14)/M14</f>
        <v>5.0586157057972972E-3</v>
      </c>
    </row>
    <row r="19" spans="1:14">
      <c r="A19" s="475">
        <f t="shared" si="1"/>
        <v>2030</v>
      </c>
      <c r="B19" s="476">
        <v>47484</v>
      </c>
      <c r="C19" s="491">
        <f>'[49]PLS 40 ans Tr'!R43</f>
        <v>271013.45785099932</v>
      </c>
      <c r="D19" s="491">
        <f>'[49]PLS 40 ans Tr'!S43</f>
        <v>97534.925186937675</v>
      </c>
      <c r="E19" s="491">
        <f>'[49]PLS 40 ans Tr'!T43</f>
        <v>173478.53266406167</v>
      </c>
      <c r="F19" s="491">
        <f>+[49]GER!$AB18</f>
        <v>131850.00885142857</v>
      </c>
      <c r="G19" s="491">
        <f t="shared" si="2"/>
        <v>26666.275000000001</v>
      </c>
      <c r="H19" s="491">
        <f t="shared" si="3"/>
        <v>429529.74170242791</v>
      </c>
      <c r="J19" s="484" t="s">
        <v>357</v>
      </c>
      <c r="K19" s="485">
        <v>125.19</v>
      </c>
      <c r="L19" s="486">
        <f t="shared" si="0"/>
        <v>-7.9814829595345612E-4</v>
      </c>
      <c r="M19" s="487"/>
      <c r="N19" s="488"/>
    </row>
    <row r="20" spans="1:14">
      <c r="A20" s="475">
        <f t="shared" si="1"/>
        <v>2031</v>
      </c>
      <c r="B20" s="476">
        <v>48945</v>
      </c>
      <c r="C20" s="491">
        <f>'[49]PLS 40 ans Tr'!R47</f>
        <v>271013.45785099932</v>
      </c>
      <c r="D20" s="491">
        <f>'[49]PLS 40 ans Tr'!S47</f>
        <v>100958.40106099914</v>
      </c>
      <c r="E20" s="491">
        <f>'[49]PLS 40 ans Tr'!T47</f>
        <v>170055.05679000018</v>
      </c>
      <c r="F20" s="491">
        <f>+[49]GER!$AB19</f>
        <v>131850.00885142857</v>
      </c>
      <c r="G20" s="491">
        <f t="shared" si="2"/>
        <v>26666.275000000001</v>
      </c>
      <c r="H20" s="491">
        <f t="shared" si="3"/>
        <v>429529.74170242791</v>
      </c>
      <c r="J20" s="484" t="s">
        <v>358</v>
      </c>
      <c r="K20" s="485">
        <v>125.25</v>
      </c>
      <c r="L20" s="486">
        <f t="shared" si="0"/>
        <v>4.7927150730890867E-4</v>
      </c>
      <c r="M20" s="487"/>
      <c r="N20" s="488"/>
    </row>
    <row r="21" spans="1:14">
      <c r="A21" s="475">
        <f t="shared" si="1"/>
        <v>2032</v>
      </c>
      <c r="B21" s="476">
        <v>49310</v>
      </c>
      <c r="C21" s="491">
        <f>'[49]PLS 40 ans Tr'!R51</f>
        <v>271013.45785099932</v>
      </c>
      <c r="D21" s="491">
        <f>'[49]PLS 40 ans Tr'!S51</f>
        <v>104502.0409382402</v>
      </c>
      <c r="E21" s="491">
        <f>'[49]PLS 40 ans Tr'!T51</f>
        <v>166511.41691275913</v>
      </c>
      <c r="F21" s="491">
        <f>+[49]GER!$AB20</f>
        <v>131850.00885142857</v>
      </c>
      <c r="G21" s="491">
        <f t="shared" si="2"/>
        <v>26666.275000000001</v>
      </c>
      <c r="H21" s="491">
        <f t="shared" si="3"/>
        <v>429529.74170242791</v>
      </c>
      <c r="J21" s="484" t="s">
        <v>359</v>
      </c>
      <c r="K21" s="485">
        <v>125.26</v>
      </c>
      <c r="L21" s="486">
        <f t="shared" si="0"/>
        <v>7.9840319361318296E-5</v>
      </c>
      <c r="M21" s="487"/>
      <c r="N21" s="488"/>
    </row>
    <row r="22" spans="1:14">
      <c r="A22" s="475">
        <f t="shared" si="1"/>
        <v>2033</v>
      </c>
      <c r="B22" s="476">
        <v>49675</v>
      </c>
      <c r="C22" s="491">
        <f>'[49]PLS 40 ans Tr'!R55</f>
        <v>271013.45785099926</v>
      </c>
      <c r="D22" s="491">
        <f>'[49]PLS 40 ans Tr'!S55</f>
        <v>108170.06257517237</v>
      </c>
      <c r="E22" s="491">
        <f>'[49]PLS 40 ans Tr'!T55</f>
        <v>162843.39527582689</v>
      </c>
      <c r="F22" s="491">
        <f>+[49]GER!$AB21</f>
        <v>131850.00885142857</v>
      </c>
      <c r="G22" s="491">
        <f t="shared" si="2"/>
        <v>26666.275000000001</v>
      </c>
      <c r="H22" s="491">
        <f t="shared" si="3"/>
        <v>429529.74170242785</v>
      </c>
      <c r="J22" s="496" t="s">
        <v>360</v>
      </c>
      <c r="K22" s="497">
        <v>125.28</v>
      </c>
      <c r="L22" s="498">
        <f t="shared" si="0"/>
        <v>1.5966789078713094E-4</v>
      </c>
      <c r="M22" s="499">
        <v>125.25</v>
      </c>
      <c r="N22" s="500">
        <f>(M22-M18)/M18</f>
        <v>6.3913078213628099E-4</v>
      </c>
    </row>
    <row r="23" spans="1:14">
      <c r="A23" s="475">
        <f t="shared" si="1"/>
        <v>2034</v>
      </c>
      <c r="B23" s="476">
        <v>50041</v>
      </c>
      <c r="C23" s="491">
        <f>'[49]PLS 40 ans Tr'!R59</f>
        <v>271013.4578509992</v>
      </c>
      <c r="D23" s="491">
        <f>'[49]PLS 40 ans Tr'!S59</f>
        <v>111966.83177156089</v>
      </c>
      <c r="E23" s="491">
        <f>'[49]PLS 40 ans Tr'!T59</f>
        <v>159046.62607943831</v>
      </c>
      <c r="F23" s="491">
        <f>+[49]GER!$AB22</f>
        <v>131850.00885142857</v>
      </c>
      <c r="G23" s="491">
        <f t="shared" si="2"/>
        <v>26666.275000000001</v>
      </c>
      <c r="H23" s="491">
        <f t="shared" si="3"/>
        <v>429529.7417024278</v>
      </c>
    </row>
    <row r="24" spans="1:14">
      <c r="A24" s="475">
        <f t="shared" si="1"/>
        <v>2035</v>
      </c>
      <c r="B24" s="476">
        <v>50406</v>
      </c>
      <c r="C24" s="491">
        <f>'[49]PLS 40 ans Tr'!R63</f>
        <v>271013.4578509992</v>
      </c>
      <c r="D24" s="491">
        <f>'[49]PLS 40 ans Tr'!S63</f>
        <v>115896.86756674264</v>
      </c>
      <c r="E24" s="491">
        <f>'[49]PLS 40 ans Tr'!T63</f>
        <v>155116.59028425656</v>
      </c>
      <c r="F24" s="491">
        <f>+[49]GER!$AB23</f>
        <v>131850.00885142857</v>
      </c>
      <c r="G24" s="491">
        <f t="shared" si="2"/>
        <v>26666.275000000001</v>
      </c>
      <c r="H24" s="491">
        <f t="shared" si="3"/>
        <v>429529.7417024278</v>
      </c>
    </row>
    <row r="25" spans="1:14">
      <c r="A25" s="475">
        <f t="shared" si="1"/>
        <v>2036</v>
      </c>
      <c r="B25" s="476">
        <v>50771</v>
      </c>
      <c r="C25" s="491">
        <f>'[49]PLS 40 ans Tr'!R67</f>
        <v>271013.45785099908</v>
      </c>
      <c r="D25" s="491">
        <f>'[49]PLS 40 ans Tr'!S67</f>
        <v>119964.84761833525</v>
      </c>
      <c r="E25" s="491">
        <f>'[49]PLS 40 ans Tr'!T67</f>
        <v>151048.61023266386</v>
      </c>
      <c r="F25" s="491">
        <f>+[49]GER!$AB24</f>
        <v>131850.00885142857</v>
      </c>
      <c r="G25" s="491">
        <f t="shared" si="2"/>
        <v>26666.275000000001</v>
      </c>
      <c r="H25" s="491">
        <f t="shared" si="3"/>
        <v>429529.74170242768</v>
      </c>
      <c r="J25" s="501"/>
      <c r="K25" s="502"/>
      <c r="L25" s="502"/>
      <c r="M25" s="206"/>
    </row>
    <row r="26" spans="1:14">
      <c r="A26" s="475">
        <f t="shared" si="1"/>
        <v>2037</v>
      </c>
      <c r="B26" s="476">
        <v>51136</v>
      </c>
      <c r="C26" s="491">
        <f>'[49]PLS 40 ans Tr'!R71</f>
        <v>271013.45785099902</v>
      </c>
      <c r="D26" s="491">
        <f>'[49]PLS 40 ans Tr'!S71</f>
        <v>124175.61376973873</v>
      </c>
      <c r="E26" s="491">
        <f>'[49]PLS 40 ans Tr'!T71</f>
        <v>146837.84408126029</v>
      </c>
      <c r="F26" s="491">
        <f>+[49]GER!$AB25</f>
        <v>131850.00885142857</v>
      </c>
      <c r="G26" s="491">
        <f t="shared" si="2"/>
        <v>26666.275000000001</v>
      </c>
      <c r="H26" s="491">
        <f t="shared" si="3"/>
        <v>429529.74170242762</v>
      </c>
      <c r="J26" s="501"/>
      <c r="K26" s="502"/>
      <c r="L26" s="502"/>
      <c r="M26" s="206"/>
    </row>
    <row r="27" spans="1:14">
      <c r="A27" s="475">
        <f t="shared" si="1"/>
        <v>2038</v>
      </c>
      <c r="B27" s="476">
        <v>51502</v>
      </c>
      <c r="C27" s="491">
        <f>'[49]PLS 40 ans Tr'!R75</f>
        <v>271013.45785099897</v>
      </c>
      <c r="D27" s="491">
        <f>'[49]PLS 40 ans Tr'!S75</f>
        <v>128534.17781305654</v>
      </c>
      <c r="E27" s="491">
        <f>'[49]PLS 40 ans Tr'!T75</f>
        <v>142479.28003794246</v>
      </c>
      <c r="F27" s="491">
        <f>+[49]GER!$AB26</f>
        <v>131850.00885142857</v>
      </c>
      <c r="G27" s="491">
        <f t="shared" si="2"/>
        <v>26666.275000000001</v>
      </c>
      <c r="H27" s="491">
        <f t="shared" si="3"/>
        <v>429529.74170242756</v>
      </c>
      <c r="J27" s="501"/>
      <c r="K27" s="502"/>
      <c r="L27" s="502"/>
      <c r="M27" s="206"/>
    </row>
    <row r="28" spans="1:14">
      <c r="A28" s="475">
        <f t="shared" si="1"/>
        <v>2039</v>
      </c>
      <c r="B28" s="476">
        <v>51867</v>
      </c>
      <c r="C28" s="491">
        <f>'[49]PLS 40 ans Tr'!R79</f>
        <v>271013.45785099897</v>
      </c>
      <c r="D28" s="491">
        <f>'[49]PLS 40 ans Tr'!S79</f>
        <v>133045.72745429474</v>
      </c>
      <c r="E28" s="491">
        <f>'[49]PLS 40 ans Tr'!T79</f>
        <v>137967.73039670417</v>
      </c>
      <c r="F28" s="491">
        <f>+[49]GER!$AB27</f>
        <v>131850.00885142857</v>
      </c>
      <c r="G28" s="491">
        <f t="shared" si="2"/>
        <v>26666.275000000001</v>
      </c>
      <c r="H28" s="491">
        <f t="shared" si="3"/>
        <v>429529.74170242756</v>
      </c>
      <c r="J28" s="501"/>
      <c r="K28" s="502"/>
      <c r="L28" s="502"/>
      <c r="M28" s="206"/>
    </row>
    <row r="29" spans="1:14">
      <c r="A29" s="475">
        <f t="shared" si="1"/>
        <v>2040</v>
      </c>
      <c r="B29" s="476">
        <v>52232</v>
      </c>
      <c r="C29" s="491">
        <f>'[49]PLS 40 ans Tr'!R83</f>
        <v>271013.45785099885</v>
      </c>
      <c r="D29" s="491">
        <f>'[49]PLS 40 ans Tr'!S83</f>
        <v>137715.63248794043</v>
      </c>
      <c r="E29" s="491">
        <f>'[49]PLS 40 ans Tr'!T83</f>
        <v>133297.82536305842</v>
      </c>
      <c r="F29" s="491">
        <f>+[49]GER!$AB28</f>
        <v>131850.00885142857</v>
      </c>
      <c r="G29" s="491">
        <f t="shared" si="2"/>
        <v>26666.275000000001</v>
      </c>
      <c r="H29" s="491">
        <f t="shared" si="3"/>
        <v>429529.74170242745</v>
      </c>
      <c r="J29" s="501"/>
      <c r="K29" s="502"/>
      <c r="L29" s="502"/>
      <c r="M29" s="206"/>
    </row>
    <row r="30" spans="1:14">
      <c r="A30" s="475">
        <f t="shared" si="1"/>
        <v>2041</v>
      </c>
      <c r="B30" s="476">
        <v>52597</v>
      </c>
      <c r="C30" s="491">
        <f>'[49]PLS 40 ans Tr'!R87</f>
        <v>271013.45785099879</v>
      </c>
      <c r="D30" s="491">
        <f>'[49]PLS 40 ans Tr'!S87</f>
        <v>142549.45118826709</v>
      </c>
      <c r="E30" s="491">
        <f>'[49]PLS 40 ans Tr'!T87</f>
        <v>128464.00666273173</v>
      </c>
      <c r="F30" s="491">
        <f>+[49]GER!$AB29</f>
        <v>131850.00885142857</v>
      </c>
      <c r="G30" s="491">
        <f t="shared" si="2"/>
        <v>26666.275000000001</v>
      </c>
      <c r="H30" s="491">
        <f t="shared" si="3"/>
        <v>429529.74170242739</v>
      </c>
      <c r="J30" s="501"/>
      <c r="K30" s="502"/>
      <c r="L30" s="502"/>
      <c r="M30" s="206"/>
    </row>
    <row r="31" spans="1:14">
      <c r="A31" s="475">
        <f t="shared" si="1"/>
        <v>2042</v>
      </c>
      <c r="B31" s="476">
        <v>52963</v>
      </c>
      <c r="C31" s="491">
        <f>'[49]PLS 40 ans Tr'!R91</f>
        <v>271013.45785099879</v>
      </c>
      <c r="D31" s="491">
        <f>'[49]PLS 40 ans Tr'!S91</f>
        <v>147552.93692497525</v>
      </c>
      <c r="E31" s="491">
        <f>'[49]PLS 40 ans Tr'!T91</f>
        <v>123460.52092602357</v>
      </c>
      <c r="F31" s="491">
        <f>+[49]GER!$AB30</f>
        <v>131850.00885142857</v>
      </c>
      <c r="G31" s="491">
        <f t="shared" si="2"/>
        <v>26666.275000000001</v>
      </c>
      <c r="H31" s="491">
        <f t="shared" si="3"/>
        <v>429529.74170242739</v>
      </c>
      <c r="J31" s="501"/>
      <c r="K31" s="502"/>
      <c r="L31" s="502"/>
      <c r="M31" s="206"/>
    </row>
    <row r="32" spans="1:14">
      <c r="A32" s="475">
        <f t="shared" si="1"/>
        <v>2043</v>
      </c>
      <c r="B32" s="476">
        <v>53328</v>
      </c>
      <c r="C32" s="491">
        <f>'[49]PLS 40 ans Tr'!R95</f>
        <v>271013.45785099867</v>
      </c>
      <c r="D32" s="491">
        <f>'[49]PLS 40 ans Tr'!S95</f>
        <v>152732.04501104174</v>
      </c>
      <c r="E32" s="491">
        <f>'[49]PLS 40 ans Tr'!T95</f>
        <v>118281.41283995693</v>
      </c>
      <c r="F32" s="491">
        <f>+[49]GER!$AB31</f>
        <v>131850.00885142857</v>
      </c>
      <c r="G32" s="491">
        <f t="shared" si="2"/>
        <v>26666.275000000001</v>
      </c>
      <c r="H32" s="491">
        <f t="shared" si="3"/>
        <v>429529.74170242727</v>
      </c>
      <c r="J32" s="501"/>
      <c r="K32" s="502"/>
      <c r="L32" s="502"/>
      <c r="M32" s="206"/>
    </row>
    <row r="33" spans="1:13">
      <c r="A33" s="475">
        <f t="shared" si="1"/>
        <v>2044</v>
      </c>
      <c r="B33" s="476">
        <v>53693</v>
      </c>
      <c r="C33" s="491">
        <f>'[49]PLS 40 ans Tr'!R99</f>
        <v>271013.45785099862</v>
      </c>
      <c r="D33" s="491">
        <f>'[49]PLS 40 ans Tr'!S99</f>
        <v>158092.93979092926</v>
      </c>
      <c r="E33" s="491">
        <f>'[49]PLS 40 ans Tr'!T99</f>
        <v>112920.51806006939</v>
      </c>
      <c r="F33" s="491">
        <f>+[49]GER!$AB32</f>
        <v>131850.00885142857</v>
      </c>
      <c r="G33" s="491">
        <f t="shared" si="2"/>
        <v>26666.275000000001</v>
      </c>
      <c r="H33" s="491">
        <f t="shared" si="3"/>
        <v>429529.74170242721</v>
      </c>
      <c r="J33" s="501"/>
      <c r="K33" s="502"/>
      <c r="L33" s="502"/>
      <c r="M33" s="206"/>
    </row>
    <row r="34" spans="1:13">
      <c r="A34" s="475">
        <f t="shared" si="1"/>
        <v>2045</v>
      </c>
      <c r="B34" s="476">
        <v>54058</v>
      </c>
      <c r="C34" s="491">
        <f>'[49]PLS 40 ans Tr'!R103</f>
        <v>271013.45785099856</v>
      </c>
      <c r="D34" s="491">
        <f>'[49]PLS 40 ans Tr'!S103</f>
        <v>163642.00197759079</v>
      </c>
      <c r="E34" s="491">
        <f>'[49]PLS 40 ans Tr'!T103</f>
        <v>107371.45587340777</v>
      </c>
      <c r="F34" s="491">
        <f>+[49]GER!$AB33</f>
        <v>131850.00885142857</v>
      </c>
      <c r="G34" s="491">
        <f t="shared" si="2"/>
        <v>26666.275000000001</v>
      </c>
      <c r="H34" s="491">
        <f t="shared" si="3"/>
        <v>429529.74170242716</v>
      </c>
      <c r="J34" s="501"/>
      <c r="K34" s="502"/>
      <c r="L34" s="502"/>
      <c r="M34" s="206"/>
    </row>
    <row r="35" spans="1:13">
      <c r="A35" s="475">
        <f t="shared" si="1"/>
        <v>2046</v>
      </c>
      <c r="B35" s="476">
        <v>54424</v>
      </c>
      <c r="C35" s="491">
        <f>'[49]PLS 40 ans Tr'!R107</f>
        <v>271013.4578509985</v>
      </c>
      <c r="D35" s="491">
        <f>'[49]PLS 40 ans Tr'!S107</f>
        <v>169385.83624700413</v>
      </c>
      <c r="E35" s="491">
        <f>'[49]PLS 40 ans Tr'!T107</f>
        <v>101627.62160399434</v>
      </c>
      <c r="F35" s="491">
        <f>+[49]GER!$AB34</f>
        <v>131850.00885142857</v>
      </c>
      <c r="G35" s="491">
        <f t="shared" si="2"/>
        <v>26666.275000000001</v>
      </c>
      <c r="H35" s="491">
        <f t="shared" si="3"/>
        <v>429529.7417024271</v>
      </c>
      <c r="J35" s="501"/>
      <c r="K35" s="502"/>
      <c r="L35" s="502"/>
      <c r="M35" s="206"/>
    </row>
    <row r="36" spans="1:13">
      <c r="A36" s="475">
        <f t="shared" si="1"/>
        <v>2047</v>
      </c>
      <c r="B36" s="476">
        <v>54789</v>
      </c>
      <c r="C36" s="491">
        <f>'[49]PLS 40 ans Tr'!R111</f>
        <v>271013.45785099838</v>
      </c>
      <c r="D36" s="491">
        <f>'[49]PLS 40 ans Tr'!S111</f>
        <v>175331.2790992739</v>
      </c>
      <c r="E36" s="491">
        <f>'[49]PLS 40 ans Tr'!T111</f>
        <v>95682.17875172451</v>
      </c>
      <c r="F36" s="491">
        <f>+[49]GER!$AB35</f>
        <v>131850.00885142857</v>
      </c>
      <c r="G36" s="491">
        <f t="shared" si="2"/>
        <v>26666.275000000001</v>
      </c>
      <c r="H36" s="491">
        <f t="shared" si="3"/>
        <v>429529.74170242698</v>
      </c>
      <c r="J36" s="501"/>
      <c r="K36" s="502"/>
      <c r="L36" s="502"/>
      <c r="M36" s="206"/>
    </row>
    <row r="37" spans="1:13">
      <c r="A37" s="475">
        <f t="shared" si="1"/>
        <v>2048</v>
      </c>
      <c r="B37" s="476">
        <v>55154</v>
      </c>
      <c r="C37" s="491">
        <f>'[49]PLS 40 ans Tr'!R115</f>
        <v>271013.45785099827</v>
      </c>
      <c r="D37" s="491">
        <f>'[49]PLS 40 ans Tr'!S115</f>
        <v>181485.4069956583</v>
      </c>
      <c r="E37" s="491">
        <f>'[49]PLS 40 ans Tr'!T115</f>
        <v>89528.050855340014</v>
      </c>
      <c r="F37" s="491">
        <f>+[49]GER!$AB36</f>
        <v>131850.00885142857</v>
      </c>
      <c r="G37" s="491">
        <f t="shared" si="2"/>
        <v>26666.275000000001</v>
      </c>
      <c r="H37" s="491">
        <f t="shared" si="3"/>
        <v>429529.74170242687</v>
      </c>
      <c r="J37" s="501"/>
      <c r="K37" s="502"/>
      <c r="L37" s="502"/>
      <c r="M37" s="206"/>
    </row>
    <row r="38" spans="1:13">
      <c r="A38" s="475">
        <f t="shared" si="1"/>
        <v>2049</v>
      </c>
      <c r="B38" s="476">
        <v>55519</v>
      </c>
      <c r="C38" s="491">
        <f>'[49]PLS 40 ans Tr'!R119</f>
        <v>271013.45785099827</v>
      </c>
      <c r="D38" s="491">
        <f>'[49]PLS 40 ans Tr'!S119</f>
        <v>187855.54478120583</v>
      </c>
      <c r="E38" s="491">
        <f>'[49]PLS 40 ans Tr'!T119</f>
        <v>83157.913069792397</v>
      </c>
      <c r="F38" s="491">
        <f>+[49]GER!$AB37</f>
        <v>131850.00885142857</v>
      </c>
      <c r="G38" s="491">
        <f t="shared" si="2"/>
        <v>26666.275000000001</v>
      </c>
      <c r="H38" s="491">
        <f t="shared" si="3"/>
        <v>429529.74170242687</v>
      </c>
      <c r="J38" s="501"/>
      <c r="K38" s="502"/>
      <c r="L38" s="502"/>
      <c r="M38" s="206"/>
    </row>
    <row r="39" spans="1:13">
      <c r="A39" s="475">
        <f t="shared" si="1"/>
        <v>2050</v>
      </c>
      <c r="B39" s="476">
        <v>55885</v>
      </c>
      <c r="C39" s="491">
        <f>'[49]PLS 40 ans Tr'!R123</f>
        <v>271013.45785099809</v>
      </c>
      <c r="D39" s="491">
        <f>'[49]PLS 40 ans Tr'!S123</f>
        <v>194449.27440302604</v>
      </c>
      <c r="E39" s="491">
        <f>'[49]PLS 40 ans Tr'!T123</f>
        <v>76564.183447972086</v>
      </c>
      <c r="F39" s="491">
        <f>+[49]GER!$AB38</f>
        <v>131850.00885142857</v>
      </c>
      <c r="G39" s="491">
        <f t="shared" si="2"/>
        <v>26666.275000000001</v>
      </c>
      <c r="H39" s="491">
        <f t="shared" si="3"/>
        <v>429529.74170242669</v>
      </c>
      <c r="J39" s="501"/>
      <c r="K39" s="502"/>
      <c r="L39" s="502"/>
      <c r="M39" s="206"/>
    </row>
    <row r="40" spans="1:13">
      <c r="A40" s="475">
        <f t="shared" si="1"/>
        <v>2051</v>
      </c>
      <c r="B40" s="476">
        <v>56250</v>
      </c>
      <c r="C40" s="491">
        <f>'[49]PLS 40 ans Tr'!R127</f>
        <v>271013.45785099798</v>
      </c>
      <c r="D40" s="491">
        <f>'[49]PLS 40 ans Tr'!S127</f>
        <v>201274.44393457207</v>
      </c>
      <c r="E40" s="491">
        <f>'[49]PLS 40 ans Tr'!T127</f>
        <v>69739.013916425873</v>
      </c>
      <c r="F40" s="491">
        <f>+[49]GER!$AB39</f>
        <v>131850.00885142857</v>
      </c>
      <c r="G40" s="491">
        <f t="shared" si="2"/>
        <v>26666.275000000001</v>
      </c>
      <c r="H40" s="491">
        <f t="shared" si="3"/>
        <v>429529.74170242657</v>
      </c>
      <c r="J40" s="501"/>
      <c r="K40" s="502"/>
      <c r="L40" s="502"/>
      <c r="M40" s="206"/>
    </row>
    <row r="41" spans="1:13">
      <c r="A41" s="475">
        <f t="shared" si="1"/>
        <v>2052</v>
      </c>
      <c r="B41" s="476">
        <v>56615</v>
      </c>
      <c r="C41" s="491">
        <f>'[49]PLS 40 ans Tr'!R131</f>
        <v>271013.4578509978</v>
      </c>
      <c r="D41" s="491">
        <f>'[49]PLS 40 ans Tr'!S131</f>
        <v>208339.17691667535</v>
      </c>
      <c r="E41" s="491">
        <f>'[49]PLS 40 ans Tr'!T131</f>
        <v>62674.280934322414</v>
      </c>
      <c r="F41" s="491">
        <f>+[49]GER!$AB40</f>
        <v>131850.00885142857</v>
      </c>
      <c r="G41" s="491">
        <f t="shared" si="2"/>
        <v>26666.275000000001</v>
      </c>
      <c r="H41" s="491">
        <f t="shared" si="3"/>
        <v>429529.7417024264</v>
      </c>
      <c r="J41" s="501"/>
      <c r="K41" s="502"/>
      <c r="L41" s="502"/>
      <c r="M41" s="206"/>
    </row>
    <row r="42" spans="1:13">
      <c r="A42" s="475">
        <f t="shared" si="1"/>
        <v>2053</v>
      </c>
      <c r="B42" s="476">
        <v>56980</v>
      </c>
      <c r="C42" s="491">
        <f>'[49]PLS 40 ans Tr'!R135</f>
        <v>271013.45785099757</v>
      </c>
      <c r="D42" s="491">
        <f>'[49]PLS 40 ans Tr'!S135</f>
        <v>215651.88202645048</v>
      </c>
      <c r="E42" s="491">
        <f>'[49]PLS 40 ans Tr'!T135</f>
        <v>55361.575824547108</v>
      </c>
      <c r="F42" s="491">
        <f>+[49]GER!$AB41</f>
        <v>131850.00885142857</v>
      </c>
      <c r="G42" s="491">
        <f t="shared" si="2"/>
        <v>26666.275000000001</v>
      </c>
      <c r="H42" s="491">
        <f t="shared" si="3"/>
        <v>429529.74170242617</v>
      </c>
      <c r="J42" s="501"/>
      <c r="K42" s="502"/>
      <c r="L42" s="502"/>
      <c r="M42" s="206"/>
    </row>
    <row r="43" spans="1:13">
      <c r="A43" s="475">
        <f t="shared" si="1"/>
        <v>2054</v>
      </c>
      <c r="B43" s="476">
        <v>57346</v>
      </c>
      <c r="C43" s="491">
        <f>'[49]PLS 40 ans Tr'!R139</f>
        <v>271013.45785099734</v>
      </c>
      <c r="D43" s="491">
        <f>'[49]PLS 40 ans Tr'!S139</f>
        <v>223221.26308557863</v>
      </c>
      <c r="E43" s="491">
        <f>'[49]PLS 40 ans Tr'!T139</f>
        <v>47792.19476541871</v>
      </c>
      <c r="F43" s="491">
        <f>+[49]GER!$AB42</f>
        <v>131850.00885142857</v>
      </c>
      <c r="G43" s="491">
        <f t="shared" si="2"/>
        <v>26666.275000000001</v>
      </c>
      <c r="H43" s="491">
        <f t="shared" si="3"/>
        <v>429529.74170242593</v>
      </c>
      <c r="J43" s="501"/>
      <c r="K43" s="502"/>
      <c r="L43" s="502"/>
      <c r="M43" s="206"/>
    </row>
    <row r="44" spans="1:13">
      <c r="A44" s="475">
        <f t="shared" si="1"/>
        <v>2055</v>
      </c>
      <c r="B44" s="476">
        <v>57711</v>
      </c>
      <c r="C44" s="491">
        <f>'[49]PLS 40 ans Tr'!R143</f>
        <v>271013.45785099693</v>
      </c>
      <c r="D44" s="491">
        <f>'[49]PLS 40 ans Tr'!S143</f>
        <v>231056.32941988207</v>
      </c>
      <c r="E44" s="491">
        <f>'[49]PLS 40 ans Tr'!T143</f>
        <v>39957.128431114907</v>
      </c>
      <c r="F44" s="491">
        <f>+[49]GER!$AB43</f>
        <v>131850.00885142857</v>
      </c>
      <c r="G44" s="491">
        <f t="shared" si="2"/>
        <v>26666.275000000001</v>
      </c>
      <c r="H44" s="491">
        <f t="shared" si="3"/>
        <v>429529.74170242553</v>
      </c>
      <c r="J44" s="501"/>
      <c r="K44" s="502"/>
      <c r="L44" s="502"/>
      <c r="M44" s="206"/>
    </row>
    <row r="45" spans="1:13">
      <c r="A45" s="475">
        <f t="shared" si="1"/>
        <v>2056</v>
      </c>
      <c r="B45" s="476">
        <v>58076</v>
      </c>
      <c r="C45" s="491">
        <f>'[49]PLS 40 ans Tr'!R147</f>
        <v>271013.45785099664</v>
      </c>
      <c r="D45" s="491">
        <f>'[49]PLS 40 ans Tr'!S147</f>
        <v>239166.40658251962</v>
      </c>
      <c r="E45" s="491">
        <f>'[49]PLS 40 ans Tr'!T147</f>
        <v>31847.051268477058</v>
      </c>
      <c r="F45" s="491">
        <f>+[49]GER!$AB44</f>
        <v>131850.00885142857</v>
      </c>
      <c r="G45" s="491">
        <f t="shared" si="2"/>
        <v>26666.275000000001</v>
      </c>
      <c r="H45" s="491">
        <f t="shared" si="3"/>
        <v>429529.74170242524</v>
      </c>
      <c r="J45" s="501"/>
      <c r="K45" s="502"/>
      <c r="L45" s="502"/>
      <c r="M45" s="206"/>
    </row>
    <row r="46" spans="1:13">
      <c r="A46" s="475">
        <f t="shared" si="1"/>
        <v>2057</v>
      </c>
      <c r="B46" s="476"/>
      <c r="C46" s="491">
        <f>'[49]PLS 40 ans Tr'!R151</f>
        <v>271013.45785099623</v>
      </c>
      <c r="D46" s="491">
        <f>'[49]PLS 40 ans Tr'!S151</f>
        <v>247561.14745356562</v>
      </c>
      <c r="E46" s="491">
        <f>'[49]PLS 40 ans Tr'!T151</f>
        <v>23452.310397430636</v>
      </c>
      <c r="F46" s="491">
        <f>+[49]GER!$AB45</f>
        <v>131850.00885142857</v>
      </c>
      <c r="G46" s="491">
        <f t="shared" si="2"/>
        <v>26666.275000000001</v>
      </c>
      <c r="H46" s="491">
        <f t="shared" si="3"/>
        <v>429529.74170242483</v>
      </c>
      <c r="J46" s="501"/>
      <c r="K46" s="502"/>
      <c r="L46" s="502"/>
      <c r="M46" s="206"/>
    </row>
    <row r="47" spans="1:13">
      <c r="A47" s="475">
        <f t="shared" si="1"/>
        <v>2058</v>
      </c>
      <c r="B47" s="476"/>
      <c r="C47" s="491">
        <f>'[49]PLS 40 ans Tr'!R155</f>
        <v>271013.45785099553</v>
      </c>
      <c r="D47" s="491">
        <f>'[49]PLS 40 ans Tr'!S155</f>
        <v>256250.54372918504</v>
      </c>
      <c r="E47" s="491">
        <f>'[49]PLS 40 ans Tr'!T155</f>
        <v>14762.914121810505</v>
      </c>
      <c r="F47" s="491">
        <f>+[49]GER!$AB46</f>
        <v>131850.00885142857</v>
      </c>
      <c r="G47" s="491">
        <f t="shared" si="2"/>
        <v>26666.275000000001</v>
      </c>
      <c r="H47" s="491">
        <f t="shared" si="3"/>
        <v>429529.74170242413</v>
      </c>
      <c r="J47" s="501"/>
      <c r="K47" s="502"/>
      <c r="L47" s="502"/>
      <c r="M47" s="206"/>
    </row>
    <row r="48" spans="1:13">
      <c r="A48" s="475">
        <f t="shared" si="1"/>
        <v>2059</v>
      </c>
      <c r="B48" s="476"/>
      <c r="C48" s="491">
        <f>'[49]PLS 40 ans Tr'!R159</f>
        <v>271013.45785099384</v>
      </c>
      <c r="D48" s="491">
        <f>'[49]PLS 40 ans Tr'!S159</f>
        <v>265244.93781407771</v>
      </c>
      <c r="E48" s="491">
        <f>'[49]PLS 40 ans Tr'!T159</f>
        <v>5768.5200369161375</v>
      </c>
      <c r="F48" s="491">
        <f>+[49]GER!$AB47</f>
        <v>65925.004425714287</v>
      </c>
      <c r="G48" s="491">
        <f>$G$52/40/2</f>
        <v>13333.137500000001</v>
      </c>
      <c r="H48" s="491">
        <f t="shared" si="3"/>
        <v>350271.59977670811</v>
      </c>
      <c r="J48" s="501"/>
      <c r="K48" s="502"/>
      <c r="L48" s="502"/>
      <c r="M48" s="206"/>
    </row>
    <row r="49" spans="1:13">
      <c r="A49" s="475">
        <f t="shared" si="1"/>
        <v>2060</v>
      </c>
      <c r="B49" s="476">
        <v>58441</v>
      </c>
      <c r="C49" s="491"/>
      <c r="D49" s="491"/>
      <c r="E49" s="491"/>
      <c r="F49" s="491"/>
      <c r="G49" s="491">
        <f>(C49+F49)*5%</f>
        <v>0</v>
      </c>
      <c r="H49" s="491">
        <f t="shared" si="3"/>
        <v>0</v>
      </c>
      <c r="J49" s="501"/>
      <c r="K49" s="502"/>
      <c r="L49" s="502"/>
      <c r="M49" s="206"/>
    </row>
    <row r="50" spans="1:13">
      <c r="A50" s="503"/>
      <c r="B50" s="499"/>
      <c r="C50" s="499"/>
      <c r="D50" s="499"/>
      <c r="E50" s="499"/>
      <c r="F50" s="499"/>
      <c r="G50" s="499"/>
      <c r="H50" s="499"/>
      <c r="J50" s="501"/>
      <c r="K50" s="502"/>
      <c r="L50" s="502"/>
      <c r="M50" s="206"/>
    </row>
    <row r="51" spans="1:13">
      <c r="A51" s="504"/>
      <c r="B51" s="505"/>
      <c r="C51" s="506">
        <f t="shared" ref="C51:H51" si="4">SUM(C8:C50)</f>
        <v>11148835.20152148</v>
      </c>
      <c r="D51" s="506">
        <f t="shared" si="4"/>
        <v>5854058.7556869229</v>
      </c>
      <c r="E51" s="506">
        <f t="shared" si="4"/>
        <v>5294776.4458345566</v>
      </c>
      <c r="F51" s="506">
        <f t="shared" si="4"/>
        <v>4614750.309799999</v>
      </c>
      <c r="G51" s="506">
        <f t="shared" si="4"/>
        <v>1066651.0000000005</v>
      </c>
      <c r="H51" s="506">
        <f t="shared" si="4"/>
        <v>16830236.511321485</v>
      </c>
      <c r="J51" s="501"/>
      <c r="K51" s="502"/>
      <c r="L51" s="502"/>
      <c r="M51" s="206"/>
    </row>
    <row r="52" spans="1:13">
      <c r="C52" s="507">
        <f>C51-'[49]PLS 40 ans Tr'!G163</f>
        <v>-3.7252902984619141E-8</v>
      </c>
      <c r="D52" s="507">
        <f>D51-'[49]PLS 40 ans Tr'!H163</f>
        <v>0</v>
      </c>
      <c r="E52" s="507">
        <f>E51-'[49]PLS 40 ans Tr'!I163</f>
        <v>0</v>
      </c>
      <c r="F52" s="130">
        <f>F51-[49]GER!Z49</f>
        <v>0</v>
      </c>
      <c r="G52" s="130">
        <v>1066651</v>
      </c>
      <c r="J52" s="501"/>
      <c r="K52" s="502"/>
      <c r="L52" s="502"/>
      <c r="M52" s="206"/>
    </row>
  </sheetData>
  <mergeCells count="7">
    <mergeCell ref="J1:N1"/>
    <mergeCell ref="A1:A2"/>
    <mergeCell ref="B1:B2"/>
    <mergeCell ref="C1:E1"/>
    <mergeCell ref="F1:F2"/>
    <mergeCell ref="G1:G2"/>
    <mergeCell ref="H1:H2"/>
  </mergeCells>
  <printOptions horizontalCentered="1"/>
  <pageMargins left="0.11811023622047245" right="0.11811023622047245" top="0.98425196850393704" bottom="0.98425196850393704" header="0.23622047244094491" footer="0.51181102362204722"/>
  <pageSetup paperSize="9" orientation="portrait" r:id="rId1"/>
  <headerFooter alignWithMargins="0">
    <oddHeader>&amp;LSODEGIS&amp;CEVOLUTION DE REDEVANCE NON REVISEE
RESIDENCE UNIVERSITAIRE
CAMPUS UNIVERSITAIRE DE SAINT-PIERRE&amp;RPLS
VD</oddHeader>
  </headerFooter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rgb="FF00B0F0"/>
    <pageSetUpPr fitToPage="1"/>
  </sheetPr>
  <dimension ref="A1:T165"/>
  <sheetViews>
    <sheetView topLeftCell="D1" zoomScale="85" zoomScaleNormal="85" workbookViewId="0">
      <pane xSplit="3" ySplit="1" topLeftCell="G2" activePane="bottomRight" state="frozenSplit"/>
      <selection activeCell="G9" sqref="G9"/>
      <selection pane="topRight" activeCell="G9" sqref="G9"/>
      <selection pane="bottomLeft" activeCell="G9" sqref="G9"/>
      <selection pane="bottomRight" activeCell="G9" sqref="G9"/>
    </sheetView>
  </sheetViews>
  <sheetFormatPr baseColWidth="10" defaultRowHeight="12.75"/>
  <cols>
    <col min="1" max="1" width="23.5703125" style="1" customWidth="1"/>
    <col min="2" max="2" width="34.5703125" style="1" bestFit="1" customWidth="1"/>
    <col min="3" max="3" width="28.7109375" style="1" bestFit="1" customWidth="1"/>
    <col min="4" max="4" width="3.42578125" style="1" customWidth="1"/>
    <col min="5" max="6" width="11.5703125" style="1" bestFit="1" customWidth="1"/>
    <col min="7" max="7" width="14.5703125" style="1" bestFit="1" customWidth="1"/>
    <col min="8" max="8" width="15.7109375" style="1" bestFit="1" customWidth="1"/>
    <col min="9" max="10" width="11.7109375" style="1" bestFit="1" customWidth="1"/>
    <col min="11" max="11" width="11.5703125" style="1" bestFit="1" customWidth="1"/>
    <col min="12" max="12" width="12.7109375" style="1" bestFit="1" customWidth="1"/>
    <col min="13" max="15" width="11.5703125" style="1" bestFit="1" customWidth="1"/>
    <col min="16" max="16" width="11.42578125" style="1"/>
    <col min="17" max="17" width="3.140625" style="1" customWidth="1"/>
    <col min="18" max="18" width="12.85546875" style="1" bestFit="1" customWidth="1"/>
    <col min="19" max="19" width="14" style="1" customWidth="1"/>
    <col min="20" max="20" width="16" style="1" bestFit="1" customWidth="1"/>
    <col min="21" max="256" width="11.42578125" style="1"/>
    <col min="257" max="257" width="23.5703125" style="1" customWidth="1"/>
    <col min="258" max="258" width="34.5703125" style="1" bestFit="1" customWidth="1"/>
    <col min="259" max="259" width="28.7109375" style="1" bestFit="1" customWidth="1"/>
    <col min="260" max="260" width="3.42578125" style="1" customWidth="1"/>
    <col min="261" max="262" width="11.5703125" style="1" bestFit="1" customWidth="1"/>
    <col min="263" max="263" width="14.5703125" style="1" bestFit="1" customWidth="1"/>
    <col min="264" max="264" width="15.7109375" style="1" bestFit="1" customWidth="1"/>
    <col min="265" max="266" width="11.7109375" style="1" bestFit="1" customWidth="1"/>
    <col min="267" max="267" width="11.5703125" style="1" bestFit="1" customWidth="1"/>
    <col min="268" max="268" width="12.7109375" style="1" bestFit="1" customWidth="1"/>
    <col min="269" max="271" width="11.5703125" style="1" bestFit="1" customWidth="1"/>
    <col min="272" max="272" width="11.42578125" style="1"/>
    <col min="273" max="273" width="3.140625" style="1" customWidth="1"/>
    <col min="274" max="274" width="12.85546875" style="1" bestFit="1" customWidth="1"/>
    <col min="275" max="275" width="14" style="1" customWidth="1"/>
    <col min="276" max="276" width="16" style="1" bestFit="1" customWidth="1"/>
    <col min="277" max="512" width="11.42578125" style="1"/>
    <col min="513" max="513" width="23.5703125" style="1" customWidth="1"/>
    <col min="514" max="514" width="34.5703125" style="1" bestFit="1" customWidth="1"/>
    <col min="515" max="515" width="28.7109375" style="1" bestFit="1" customWidth="1"/>
    <col min="516" max="516" width="3.42578125" style="1" customWidth="1"/>
    <col min="517" max="518" width="11.5703125" style="1" bestFit="1" customWidth="1"/>
    <col min="519" max="519" width="14.5703125" style="1" bestFit="1" customWidth="1"/>
    <col min="520" max="520" width="15.7109375" style="1" bestFit="1" customWidth="1"/>
    <col min="521" max="522" width="11.7109375" style="1" bestFit="1" customWidth="1"/>
    <col min="523" max="523" width="11.5703125" style="1" bestFit="1" customWidth="1"/>
    <col min="524" max="524" width="12.7109375" style="1" bestFit="1" customWidth="1"/>
    <col min="525" max="527" width="11.5703125" style="1" bestFit="1" customWidth="1"/>
    <col min="528" max="528" width="11.42578125" style="1"/>
    <col min="529" max="529" width="3.140625" style="1" customWidth="1"/>
    <col min="530" max="530" width="12.85546875" style="1" bestFit="1" customWidth="1"/>
    <col min="531" max="531" width="14" style="1" customWidth="1"/>
    <col min="532" max="532" width="16" style="1" bestFit="1" customWidth="1"/>
    <col min="533" max="768" width="11.42578125" style="1"/>
    <col min="769" max="769" width="23.5703125" style="1" customWidth="1"/>
    <col min="770" max="770" width="34.5703125" style="1" bestFit="1" customWidth="1"/>
    <col min="771" max="771" width="28.7109375" style="1" bestFit="1" customWidth="1"/>
    <col min="772" max="772" width="3.42578125" style="1" customWidth="1"/>
    <col min="773" max="774" width="11.5703125" style="1" bestFit="1" customWidth="1"/>
    <col min="775" max="775" width="14.5703125" style="1" bestFit="1" customWidth="1"/>
    <col min="776" max="776" width="15.7109375" style="1" bestFit="1" customWidth="1"/>
    <col min="777" max="778" width="11.7109375" style="1" bestFit="1" customWidth="1"/>
    <col min="779" max="779" width="11.5703125" style="1" bestFit="1" customWidth="1"/>
    <col min="780" max="780" width="12.7109375" style="1" bestFit="1" customWidth="1"/>
    <col min="781" max="783" width="11.5703125" style="1" bestFit="1" customWidth="1"/>
    <col min="784" max="784" width="11.42578125" style="1"/>
    <col min="785" max="785" width="3.140625" style="1" customWidth="1"/>
    <col min="786" max="786" width="12.85546875" style="1" bestFit="1" customWidth="1"/>
    <col min="787" max="787" width="14" style="1" customWidth="1"/>
    <col min="788" max="788" width="16" style="1" bestFit="1" customWidth="1"/>
    <col min="789" max="1024" width="11.42578125" style="1"/>
    <col min="1025" max="1025" width="23.5703125" style="1" customWidth="1"/>
    <col min="1026" max="1026" width="34.5703125" style="1" bestFit="1" customWidth="1"/>
    <col min="1027" max="1027" width="28.7109375" style="1" bestFit="1" customWidth="1"/>
    <col min="1028" max="1028" width="3.42578125" style="1" customWidth="1"/>
    <col min="1029" max="1030" width="11.5703125" style="1" bestFit="1" customWidth="1"/>
    <col min="1031" max="1031" width="14.5703125" style="1" bestFit="1" customWidth="1"/>
    <col min="1032" max="1032" width="15.7109375" style="1" bestFit="1" customWidth="1"/>
    <col min="1033" max="1034" width="11.7109375" style="1" bestFit="1" customWidth="1"/>
    <col min="1035" max="1035" width="11.5703125" style="1" bestFit="1" customWidth="1"/>
    <col min="1036" max="1036" width="12.7109375" style="1" bestFit="1" customWidth="1"/>
    <col min="1037" max="1039" width="11.5703125" style="1" bestFit="1" customWidth="1"/>
    <col min="1040" max="1040" width="11.42578125" style="1"/>
    <col min="1041" max="1041" width="3.140625" style="1" customWidth="1"/>
    <col min="1042" max="1042" width="12.85546875" style="1" bestFit="1" customWidth="1"/>
    <col min="1043" max="1043" width="14" style="1" customWidth="1"/>
    <col min="1044" max="1044" width="16" style="1" bestFit="1" customWidth="1"/>
    <col min="1045" max="1280" width="11.42578125" style="1"/>
    <col min="1281" max="1281" width="23.5703125" style="1" customWidth="1"/>
    <col min="1282" max="1282" width="34.5703125" style="1" bestFit="1" customWidth="1"/>
    <col min="1283" max="1283" width="28.7109375" style="1" bestFit="1" customWidth="1"/>
    <col min="1284" max="1284" width="3.42578125" style="1" customWidth="1"/>
    <col min="1285" max="1286" width="11.5703125" style="1" bestFit="1" customWidth="1"/>
    <col min="1287" max="1287" width="14.5703125" style="1" bestFit="1" customWidth="1"/>
    <col min="1288" max="1288" width="15.7109375" style="1" bestFit="1" customWidth="1"/>
    <col min="1289" max="1290" width="11.7109375" style="1" bestFit="1" customWidth="1"/>
    <col min="1291" max="1291" width="11.5703125" style="1" bestFit="1" customWidth="1"/>
    <col min="1292" max="1292" width="12.7109375" style="1" bestFit="1" customWidth="1"/>
    <col min="1293" max="1295" width="11.5703125" style="1" bestFit="1" customWidth="1"/>
    <col min="1296" max="1296" width="11.42578125" style="1"/>
    <col min="1297" max="1297" width="3.140625" style="1" customWidth="1"/>
    <col min="1298" max="1298" width="12.85546875" style="1" bestFit="1" customWidth="1"/>
    <col min="1299" max="1299" width="14" style="1" customWidth="1"/>
    <col min="1300" max="1300" width="16" style="1" bestFit="1" customWidth="1"/>
    <col min="1301" max="1536" width="11.42578125" style="1"/>
    <col min="1537" max="1537" width="23.5703125" style="1" customWidth="1"/>
    <col min="1538" max="1538" width="34.5703125" style="1" bestFit="1" customWidth="1"/>
    <col min="1539" max="1539" width="28.7109375" style="1" bestFit="1" customWidth="1"/>
    <col min="1540" max="1540" width="3.42578125" style="1" customWidth="1"/>
    <col min="1541" max="1542" width="11.5703125" style="1" bestFit="1" customWidth="1"/>
    <col min="1543" max="1543" width="14.5703125" style="1" bestFit="1" customWidth="1"/>
    <col min="1544" max="1544" width="15.7109375" style="1" bestFit="1" customWidth="1"/>
    <col min="1545" max="1546" width="11.7109375" style="1" bestFit="1" customWidth="1"/>
    <col min="1547" max="1547" width="11.5703125" style="1" bestFit="1" customWidth="1"/>
    <col min="1548" max="1548" width="12.7109375" style="1" bestFit="1" customWidth="1"/>
    <col min="1549" max="1551" width="11.5703125" style="1" bestFit="1" customWidth="1"/>
    <col min="1552" max="1552" width="11.42578125" style="1"/>
    <col min="1553" max="1553" width="3.140625" style="1" customWidth="1"/>
    <col min="1554" max="1554" width="12.85546875" style="1" bestFit="1" customWidth="1"/>
    <col min="1555" max="1555" width="14" style="1" customWidth="1"/>
    <col min="1556" max="1556" width="16" style="1" bestFit="1" customWidth="1"/>
    <col min="1557" max="1792" width="11.42578125" style="1"/>
    <col min="1793" max="1793" width="23.5703125" style="1" customWidth="1"/>
    <col min="1794" max="1794" width="34.5703125" style="1" bestFit="1" customWidth="1"/>
    <col min="1795" max="1795" width="28.7109375" style="1" bestFit="1" customWidth="1"/>
    <col min="1796" max="1796" width="3.42578125" style="1" customWidth="1"/>
    <col min="1797" max="1798" width="11.5703125" style="1" bestFit="1" customWidth="1"/>
    <col min="1799" max="1799" width="14.5703125" style="1" bestFit="1" customWidth="1"/>
    <col min="1800" max="1800" width="15.7109375" style="1" bestFit="1" customWidth="1"/>
    <col min="1801" max="1802" width="11.7109375" style="1" bestFit="1" customWidth="1"/>
    <col min="1803" max="1803" width="11.5703125" style="1" bestFit="1" customWidth="1"/>
    <col min="1804" max="1804" width="12.7109375" style="1" bestFit="1" customWidth="1"/>
    <col min="1805" max="1807" width="11.5703125" style="1" bestFit="1" customWidth="1"/>
    <col min="1808" max="1808" width="11.42578125" style="1"/>
    <col min="1809" max="1809" width="3.140625" style="1" customWidth="1"/>
    <col min="1810" max="1810" width="12.85546875" style="1" bestFit="1" customWidth="1"/>
    <col min="1811" max="1811" width="14" style="1" customWidth="1"/>
    <col min="1812" max="1812" width="16" style="1" bestFit="1" customWidth="1"/>
    <col min="1813" max="2048" width="11.42578125" style="1"/>
    <col min="2049" max="2049" width="23.5703125" style="1" customWidth="1"/>
    <col min="2050" max="2050" width="34.5703125" style="1" bestFit="1" customWidth="1"/>
    <col min="2051" max="2051" width="28.7109375" style="1" bestFit="1" customWidth="1"/>
    <col min="2052" max="2052" width="3.42578125" style="1" customWidth="1"/>
    <col min="2053" max="2054" width="11.5703125" style="1" bestFit="1" customWidth="1"/>
    <col min="2055" max="2055" width="14.5703125" style="1" bestFit="1" customWidth="1"/>
    <col min="2056" max="2056" width="15.7109375" style="1" bestFit="1" customWidth="1"/>
    <col min="2057" max="2058" width="11.7109375" style="1" bestFit="1" customWidth="1"/>
    <col min="2059" max="2059" width="11.5703125" style="1" bestFit="1" customWidth="1"/>
    <col min="2060" max="2060" width="12.7109375" style="1" bestFit="1" customWidth="1"/>
    <col min="2061" max="2063" width="11.5703125" style="1" bestFit="1" customWidth="1"/>
    <col min="2064" max="2064" width="11.42578125" style="1"/>
    <col min="2065" max="2065" width="3.140625" style="1" customWidth="1"/>
    <col min="2066" max="2066" width="12.85546875" style="1" bestFit="1" customWidth="1"/>
    <col min="2067" max="2067" width="14" style="1" customWidth="1"/>
    <col min="2068" max="2068" width="16" style="1" bestFit="1" customWidth="1"/>
    <col min="2069" max="2304" width="11.42578125" style="1"/>
    <col min="2305" max="2305" width="23.5703125" style="1" customWidth="1"/>
    <col min="2306" max="2306" width="34.5703125" style="1" bestFit="1" customWidth="1"/>
    <col min="2307" max="2307" width="28.7109375" style="1" bestFit="1" customWidth="1"/>
    <col min="2308" max="2308" width="3.42578125" style="1" customWidth="1"/>
    <col min="2309" max="2310" width="11.5703125" style="1" bestFit="1" customWidth="1"/>
    <col min="2311" max="2311" width="14.5703125" style="1" bestFit="1" customWidth="1"/>
    <col min="2312" max="2312" width="15.7109375" style="1" bestFit="1" customWidth="1"/>
    <col min="2313" max="2314" width="11.7109375" style="1" bestFit="1" customWidth="1"/>
    <col min="2315" max="2315" width="11.5703125" style="1" bestFit="1" customWidth="1"/>
    <col min="2316" max="2316" width="12.7109375" style="1" bestFit="1" customWidth="1"/>
    <col min="2317" max="2319" width="11.5703125" style="1" bestFit="1" customWidth="1"/>
    <col min="2320" max="2320" width="11.42578125" style="1"/>
    <col min="2321" max="2321" width="3.140625" style="1" customWidth="1"/>
    <col min="2322" max="2322" width="12.85546875" style="1" bestFit="1" customWidth="1"/>
    <col min="2323" max="2323" width="14" style="1" customWidth="1"/>
    <col min="2324" max="2324" width="16" style="1" bestFit="1" customWidth="1"/>
    <col min="2325" max="2560" width="11.42578125" style="1"/>
    <col min="2561" max="2561" width="23.5703125" style="1" customWidth="1"/>
    <col min="2562" max="2562" width="34.5703125" style="1" bestFit="1" customWidth="1"/>
    <col min="2563" max="2563" width="28.7109375" style="1" bestFit="1" customWidth="1"/>
    <col min="2564" max="2564" width="3.42578125" style="1" customWidth="1"/>
    <col min="2565" max="2566" width="11.5703125" style="1" bestFit="1" customWidth="1"/>
    <col min="2567" max="2567" width="14.5703125" style="1" bestFit="1" customWidth="1"/>
    <col min="2568" max="2568" width="15.7109375" style="1" bestFit="1" customWidth="1"/>
    <col min="2569" max="2570" width="11.7109375" style="1" bestFit="1" customWidth="1"/>
    <col min="2571" max="2571" width="11.5703125" style="1" bestFit="1" customWidth="1"/>
    <col min="2572" max="2572" width="12.7109375" style="1" bestFit="1" customWidth="1"/>
    <col min="2573" max="2575" width="11.5703125" style="1" bestFit="1" customWidth="1"/>
    <col min="2576" max="2576" width="11.42578125" style="1"/>
    <col min="2577" max="2577" width="3.140625" style="1" customWidth="1"/>
    <col min="2578" max="2578" width="12.85546875" style="1" bestFit="1" customWidth="1"/>
    <col min="2579" max="2579" width="14" style="1" customWidth="1"/>
    <col min="2580" max="2580" width="16" style="1" bestFit="1" customWidth="1"/>
    <col min="2581" max="2816" width="11.42578125" style="1"/>
    <col min="2817" max="2817" width="23.5703125" style="1" customWidth="1"/>
    <col min="2818" max="2818" width="34.5703125" style="1" bestFit="1" customWidth="1"/>
    <col min="2819" max="2819" width="28.7109375" style="1" bestFit="1" customWidth="1"/>
    <col min="2820" max="2820" width="3.42578125" style="1" customWidth="1"/>
    <col min="2821" max="2822" width="11.5703125" style="1" bestFit="1" customWidth="1"/>
    <col min="2823" max="2823" width="14.5703125" style="1" bestFit="1" customWidth="1"/>
    <col min="2824" max="2824" width="15.7109375" style="1" bestFit="1" customWidth="1"/>
    <col min="2825" max="2826" width="11.7109375" style="1" bestFit="1" customWidth="1"/>
    <col min="2827" max="2827" width="11.5703125" style="1" bestFit="1" customWidth="1"/>
    <col min="2828" max="2828" width="12.7109375" style="1" bestFit="1" customWidth="1"/>
    <col min="2829" max="2831" width="11.5703125" style="1" bestFit="1" customWidth="1"/>
    <col min="2832" max="2832" width="11.42578125" style="1"/>
    <col min="2833" max="2833" width="3.140625" style="1" customWidth="1"/>
    <col min="2834" max="2834" width="12.85546875" style="1" bestFit="1" customWidth="1"/>
    <col min="2835" max="2835" width="14" style="1" customWidth="1"/>
    <col min="2836" max="2836" width="16" style="1" bestFit="1" customWidth="1"/>
    <col min="2837" max="3072" width="11.42578125" style="1"/>
    <col min="3073" max="3073" width="23.5703125" style="1" customWidth="1"/>
    <col min="3074" max="3074" width="34.5703125" style="1" bestFit="1" customWidth="1"/>
    <col min="3075" max="3075" width="28.7109375" style="1" bestFit="1" customWidth="1"/>
    <col min="3076" max="3076" width="3.42578125" style="1" customWidth="1"/>
    <col min="3077" max="3078" width="11.5703125" style="1" bestFit="1" customWidth="1"/>
    <col min="3079" max="3079" width="14.5703125" style="1" bestFit="1" customWidth="1"/>
    <col min="3080" max="3080" width="15.7109375" style="1" bestFit="1" customWidth="1"/>
    <col min="3081" max="3082" width="11.7109375" style="1" bestFit="1" customWidth="1"/>
    <col min="3083" max="3083" width="11.5703125" style="1" bestFit="1" customWidth="1"/>
    <col min="3084" max="3084" width="12.7109375" style="1" bestFit="1" customWidth="1"/>
    <col min="3085" max="3087" width="11.5703125" style="1" bestFit="1" customWidth="1"/>
    <col min="3088" max="3088" width="11.42578125" style="1"/>
    <col min="3089" max="3089" width="3.140625" style="1" customWidth="1"/>
    <col min="3090" max="3090" width="12.85546875" style="1" bestFit="1" customWidth="1"/>
    <col min="3091" max="3091" width="14" style="1" customWidth="1"/>
    <col min="3092" max="3092" width="16" style="1" bestFit="1" customWidth="1"/>
    <col min="3093" max="3328" width="11.42578125" style="1"/>
    <col min="3329" max="3329" width="23.5703125" style="1" customWidth="1"/>
    <col min="3330" max="3330" width="34.5703125" style="1" bestFit="1" customWidth="1"/>
    <col min="3331" max="3331" width="28.7109375" style="1" bestFit="1" customWidth="1"/>
    <col min="3332" max="3332" width="3.42578125" style="1" customWidth="1"/>
    <col min="3333" max="3334" width="11.5703125" style="1" bestFit="1" customWidth="1"/>
    <col min="3335" max="3335" width="14.5703125" style="1" bestFit="1" customWidth="1"/>
    <col min="3336" max="3336" width="15.7109375" style="1" bestFit="1" customWidth="1"/>
    <col min="3337" max="3338" width="11.7109375" style="1" bestFit="1" customWidth="1"/>
    <col min="3339" max="3339" width="11.5703125" style="1" bestFit="1" customWidth="1"/>
    <col min="3340" max="3340" width="12.7109375" style="1" bestFit="1" customWidth="1"/>
    <col min="3341" max="3343" width="11.5703125" style="1" bestFit="1" customWidth="1"/>
    <col min="3344" max="3344" width="11.42578125" style="1"/>
    <col min="3345" max="3345" width="3.140625" style="1" customWidth="1"/>
    <col min="3346" max="3346" width="12.85546875" style="1" bestFit="1" customWidth="1"/>
    <col min="3347" max="3347" width="14" style="1" customWidth="1"/>
    <col min="3348" max="3348" width="16" style="1" bestFit="1" customWidth="1"/>
    <col min="3349" max="3584" width="11.42578125" style="1"/>
    <col min="3585" max="3585" width="23.5703125" style="1" customWidth="1"/>
    <col min="3586" max="3586" width="34.5703125" style="1" bestFit="1" customWidth="1"/>
    <col min="3587" max="3587" width="28.7109375" style="1" bestFit="1" customWidth="1"/>
    <col min="3588" max="3588" width="3.42578125" style="1" customWidth="1"/>
    <col min="3589" max="3590" width="11.5703125" style="1" bestFit="1" customWidth="1"/>
    <col min="3591" max="3591" width="14.5703125" style="1" bestFit="1" customWidth="1"/>
    <col min="3592" max="3592" width="15.7109375" style="1" bestFit="1" customWidth="1"/>
    <col min="3593" max="3594" width="11.7109375" style="1" bestFit="1" customWidth="1"/>
    <col min="3595" max="3595" width="11.5703125" style="1" bestFit="1" customWidth="1"/>
    <col min="3596" max="3596" width="12.7109375" style="1" bestFit="1" customWidth="1"/>
    <col min="3597" max="3599" width="11.5703125" style="1" bestFit="1" customWidth="1"/>
    <col min="3600" max="3600" width="11.42578125" style="1"/>
    <col min="3601" max="3601" width="3.140625" style="1" customWidth="1"/>
    <col min="3602" max="3602" width="12.85546875" style="1" bestFit="1" customWidth="1"/>
    <col min="3603" max="3603" width="14" style="1" customWidth="1"/>
    <col min="3604" max="3604" width="16" style="1" bestFit="1" customWidth="1"/>
    <col min="3605" max="3840" width="11.42578125" style="1"/>
    <col min="3841" max="3841" width="23.5703125" style="1" customWidth="1"/>
    <col min="3842" max="3842" width="34.5703125" style="1" bestFit="1" customWidth="1"/>
    <col min="3843" max="3843" width="28.7109375" style="1" bestFit="1" customWidth="1"/>
    <col min="3844" max="3844" width="3.42578125" style="1" customWidth="1"/>
    <col min="3845" max="3846" width="11.5703125" style="1" bestFit="1" customWidth="1"/>
    <col min="3847" max="3847" width="14.5703125" style="1" bestFit="1" customWidth="1"/>
    <col min="3848" max="3848" width="15.7109375" style="1" bestFit="1" customWidth="1"/>
    <col min="3849" max="3850" width="11.7109375" style="1" bestFit="1" customWidth="1"/>
    <col min="3851" max="3851" width="11.5703125" style="1" bestFit="1" customWidth="1"/>
    <col min="3852" max="3852" width="12.7109375" style="1" bestFit="1" customWidth="1"/>
    <col min="3853" max="3855" width="11.5703125" style="1" bestFit="1" customWidth="1"/>
    <col min="3856" max="3856" width="11.42578125" style="1"/>
    <col min="3857" max="3857" width="3.140625" style="1" customWidth="1"/>
    <col min="3858" max="3858" width="12.85546875" style="1" bestFit="1" customWidth="1"/>
    <col min="3859" max="3859" width="14" style="1" customWidth="1"/>
    <col min="3860" max="3860" width="16" style="1" bestFit="1" customWidth="1"/>
    <col min="3861" max="4096" width="11.42578125" style="1"/>
    <col min="4097" max="4097" width="23.5703125" style="1" customWidth="1"/>
    <col min="4098" max="4098" width="34.5703125" style="1" bestFit="1" customWidth="1"/>
    <col min="4099" max="4099" width="28.7109375" style="1" bestFit="1" customWidth="1"/>
    <col min="4100" max="4100" width="3.42578125" style="1" customWidth="1"/>
    <col min="4101" max="4102" width="11.5703125" style="1" bestFit="1" customWidth="1"/>
    <col min="4103" max="4103" width="14.5703125" style="1" bestFit="1" customWidth="1"/>
    <col min="4104" max="4104" width="15.7109375" style="1" bestFit="1" customWidth="1"/>
    <col min="4105" max="4106" width="11.7109375" style="1" bestFit="1" customWidth="1"/>
    <col min="4107" max="4107" width="11.5703125" style="1" bestFit="1" customWidth="1"/>
    <col min="4108" max="4108" width="12.7109375" style="1" bestFit="1" customWidth="1"/>
    <col min="4109" max="4111" width="11.5703125" style="1" bestFit="1" customWidth="1"/>
    <col min="4112" max="4112" width="11.42578125" style="1"/>
    <col min="4113" max="4113" width="3.140625" style="1" customWidth="1"/>
    <col min="4114" max="4114" width="12.85546875" style="1" bestFit="1" customWidth="1"/>
    <col min="4115" max="4115" width="14" style="1" customWidth="1"/>
    <col min="4116" max="4116" width="16" style="1" bestFit="1" customWidth="1"/>
    <col min="4117" max="4352" width="11.42578125" style="1"/>
    <col min="4353" max="4353" width="23.5703125" style="1" customWidth="1"/>
    <col min="4354" max="4354" width="34.5703125" style="1" bestFit="1" customWidth="1"/>
    <col min="4355" max="4355" width="28.7109375" style="1" bestFit="1" customWidth="1"/>
    <col min="4356" max="4356" width="3.42578125" style="1" customWidth="1"/>
    <col min="4357" max="4358" width="11.5703125" style="1" bestFit="1" customWidth="1"/>
    <col min="4359" max="4359" width="14.5703125" style="1" bestFit="1" customWidth="1"/>
    <col min="4360" max="4360" width="15.7109375" style="1" bestFit="1" customWidth="1"/>
    <col min="4361" max="4362" width="11.7109375" style="1" bestFit="1" customWidth="1"/>
    <col min="4363" max="4363" width="11.5703125" style="1" bestFit="1" customWidth="1"/>
    <col min="4364" max="4364" width="12.7109375" style="1" bestFit="1" customWidth="1"/>
    <col min="4365" max="4367" width="11.5703125" style="1" bestFit="1" customWidth="1"/>
    <col min="4368" max="4368" width="11.42578125" style="1"/>
    <col min="4369" max="4369" width="3.140625" style="1" customWidth="1"/>
    <col min="4370" max="4370" width="12.85546875" style="1" bestFit="1" customWidth="1"/>
    <col min="4371" max="4371" width="14" style="1" customWidth="1"/>
    <col min="4372" max="4372" width="16" style="1" bestFit="1" customWidth="1"/>
    <col min="4373" max="4608" width="11.42578125" style="1"/>
    <col min="4609" max="4609" width="23.5703125" style="1" customWidth="1"/>
    <col min="4610" max="4610" width="34.5703125" style="1" bestFit="1" customWidth="1"/>
    <col min="4611" max="4611" width="28.7109375" style="1" bestFit="1" customWidth="1"/>
    <col min="4612" max="4612" width="3.42578125" style="1" customWidth="1"/>
    <col min="4613" max="4614" width="11.5703125" style="1" bestFit="1" customWidth="1"/>
    <col min="4615" max="4615" width="14.5703125" style="1" bestFit="1" customWidth="1"/>
    <col min="4616" max="4616" width="15.7109375" style="1" bestFit="1" customWidth="1"/>
    <col min="4617" max="4618" width="11.7109375" style="1" bestFit="1" customWidth="1"/>
    <col min="4619" max="4619" width="11.5703125" style="1" bestFit="1" customWidth="1"/>
    <col min="4620" max="4620" width="12.7109375" style="1" bestFit="1" customWidth="1"/>
    <col min="4621" max="4623" width="11.5703125" style="1" bestFit="1" customWidth="1"/>
    <col min="4624" max="4624" width="11.42578125" style="1"/>
    <col min="4625" max="4625" width="3.140625" style="1" customWidth="1"/>
    <col min="4626" max="4626" width="12.85546875" style="1" bestFit="1" customWidth="1"/>
    <col min="4627" max="4627" width="14" style="1" customWidth="1"/>
    <col min="4628" max="4628" width="16" style="1" bestFit="1" customWidth="1"/>
    <col min="4629" max="4864" width="11.42578125" style="1"/>
    <col min="4865" max="4865" width="23.5703125" style="1" customWidth="1"/>
    <col min="4866" max="4866" width="34.5703125" style="1" bestFit="1" customWidth="1"/>
    <col min="4867" max="4867" width="28.7109375" style="1" bestFit="1" customWidth="1"/>
    <col min="4868" max="4868" width="3.42578125" style="1" customWidth="1"/>
    <col min="4869" max="4870" width="11.5703125" style="1" bestFit="1" customWidth="1"/>
    <col min="4871" max="4871" width="14.5703125" style="1" bestFit="1" customWidth="1"/>
    <col min="4872" max="4872" width="15.7109375" style="1" bestFit="1" customWidth="1"/>
    <col min="4873" max="4874" width="11.7109375" style="1" bestFit="1" customWidth="1"/>
    <col min="4875" max="4875" width="11.5703125" style="1" bestFit="1" customWidth="1"/>
    <col min="4876" max="4876" width="12.7109375" style="1" bestFit="1" customWidth="1"/>
    <col min="4877" max="4879" width="11.5703125" style="1" bestFit="1" customWidth="1"/>
    <col min="4880" max="4880" width="11.42578125" style="1"/>
    <col min="4881" max="4881" width="3.140625" style="1" customWidth="1"/>
    <col min="4882" max="4882" width="12.85546875" style="1" bestFit="1" customWidth="1"/>
    <col min="4883" max="4883" width="14" style="1" customWidth="1"/>
    <col min="4884" max="4884" width="16" style="1" bestFit="1" customWidth="1"/>
    <col min="4885" max="5120" width="11.42578125" style="1"/>
    <col min="5121" max="5121" width="23.5703125" style="1" customWidth="1"/>
    <col min="5122" max="5122" width="34.5703125" style="1" bestFit="1" customWidth="1"/>
    <col min="5123" max="5123" width="28.7109375" style="1" bestFit="1" customWidth="1"/>
    <col min="5124" max="5124" width="3.42578125" style="1" customWidth="1"/>
    <col min="5125" max="5126" width="11.5703125" style="1" bestFit="1" customWidth="1"/>
    <col min="5127" max="5127" width="14.5703125" style="1" bestFit="1" customWidth="1"/>
    <col min="5128" max="5128" width="15.7109375" style="1" bestFit="1" customWidth="1"/>
    <col min="5129" max="5130" width="11.7109375" style="1" bestFit="1" customWidth="1"/>
    <col min="5131" max="5131" width="11.5703125" style="1" bestFit="1" customWidth="1"/>
    <col min="5132" max="5132" width="12.7109375" style="1" bestFit="1" customWidth="1"/>
    <col min="5133" max="5135" width="11.5703125" style="1" bestFit="1" customWidth="1"/>
    <col min="5136" max="5136" width="11.42578125" style="1"/>
    <col min="5137" max="5137" width="3.140625" style="1" customWidth="1"/>
    <col min="5138" max="5138" width="12.85546875" style="1" bestFit="1" customWidth="1"/>
    <col min="5139" max="5139" width="14" style="1" customWidth="1"/>
    <col min="5140" max="5140" width="16" style="1" bestFit="1" customWidth="1"/>
    <col min="5141" max="5376" width="11.42578125" style="1"/>
    <col min="5377" max="5377" width="23.5703125" style="1" customWidth="1"/>
    <col min="5378" max="5378" width="34.5703125" style="1" bestFit="1" customWidth="1"/>
    <col min="5379" max="5379" width="28.7109375" style="1" bestFit="1" customWidth="1"/>
    <col min="5380" max="5380" width="3.42578125" style="1" customWidth="1"/>
    <col min="5381" max="5382" width="11.5703125" style="1" bestFit="1" customWidth="1"/>
    <col min="5383" max="5383" width="14.5703125" style="1" bestFit="1" customWidth="1"/>
    <col min="5384" max="5384" width="15.7109375" style="1" bestFit="1" customWidth="1"/>
    <col min="5385" max="5386" width="11.7109375" style="1" bestFit="1" customWidth="1"/>
    <col min="5387" max="5387" width="11.5703125" style="1" bestFit="1" customWidth="1"/>
    <col min="5388" max="5388" width="12.7109375" style="1" bestFit="1" customWidth="1"/>
    <col min="5389" max="5391" width="11.5703125" style="1" bestFit="1" customWidth="1"/>
    <col min="5392" max="5392" width="11.42578125" style="1"/>
    <col min="5393" max="5393" width="3.140625" style="1" customWidth="1"/>
    <col min="5394" max="5394" width="12.85546875" style="1" bestFit="1" customWidth="1"/>
    <col min="5395" max="5395" width="14" style="1" customWidth="1"/>
    <col min="5396" max="5396" width="16" style="1" bestFit="1" customWidth="1"/>
    <col min="5397" max="5632" width="11.42578125" style="1"/>
    <col min="5633" max="5633" width="23.5703125" style="1" customWidth="1"/>
    <col min="5634" max="5634" width="34.5703125" style="1" bestFit="1" customWidth="1"/>
    <col min="5635" max="5635" width="28.7109375" style="1" bestFit="1" customWidth="1"/>
    <col min="5636" max="5636" width="3.42578125" style="1" customWidth="1"/>
    <col min="5637" max="5638" width="11.5703125" style="1" bestFit="1" customWidth="1"/>
    <col min="5639" max="5639" width="14.5703125" style="1" bestFit="1" customWidth="1"/>
    <col min="5640" max="5640" width="15.7109375" style="1" bestFit="1" customWidth="1"/>
    <col min="5641" max="5642" width="11.7109375" style="1" bestFit="1" customWidth="1"/>
    <col min="5643" max="5643" width="11.5703125" style="1" bestFit="1" customWidth="1"/>
    <col min="5644" max="5644" width="12.7109375" style="1" bestFit="1" customWidth="1"/>
    <col min="5645" max="5647" width="11.5703125" style="1" bestFit="1" customWidth="1"/>
    <col min="5648" max="5648" width="11.42578125" style="1"/>
    <col min="5649" max="5649" width="3.140625" style="1" customWidth="1"/>
    <col min="5650" max="5650" width="12.85546875" style="1" bestFit="1" customWidth="1"/>
    <col min="5651" max="5651" width="14" style="1" customWidth="1"/>
    <col min="5652" max="5652" width="16" style="1" bestFit="1" customWidth="1"/>
    <col min="5653" max="5888" width="11.42578125" style="1"/>
    <col min="5889" max="5889" width="23.5703125" style="1" customWidth="1"/>
    <col min="5890" max="5890" width="34.5703125" style="1" bestFit="1" customWidth="1"/>
    <col min="5891" max="5891" width="28.7109375" style="1" bestFit="1" customWidth="1"/>
    <col min="5892" max="5892" width="3.42578125" style="1" customWidth="1"/>
    <col min="5893" max="5894" width="11.5703125" style="1" bestFit="1" customWidth="1"/>
    <col min="5895" max="5895" width="14.5703125" style="1" bestFit="1" customWidth="1"/>
    <col min="5896" max="5896" width="15.7109375" style="1" bestFit="1" customWidth="1"/>
    <col min="5897" max="5898" width="11.7109375" style="1" bestFit="1" customWidth="1"/>
    <col min="5899" max="5899" width="11.5703125" style="1" bestFit="1" customWidth="1"/>
    <col min="5900" max="5900" width="12.7109375" style="1" bestFit="1" customWidth="1"/>
    <col min="5901" max="5903" width="11.5703125" style="1" bestFit="1" customWidth="1"/>
    <col min="5904" max="5904" width="11.42578125" style="1"/>
    <col min="5905" max="5905" width="3.140625" style="1" customWidth="1"/>
    <col min="5906" max="5906" width="12.85546875" style="1" bestFit="1" customWidth="1"/>
    <col min="5907" max="5907" width="14" style="1" customWidth="1"/>
    <col min="5908" max="5908" width="16" style="1" bestFit="1" customWidth="1"/>
    <col min="5909" max="6144" width="11.42578125" style="1"/>
    <col min="6145" max="6145" width="23.5703125" style="1" customWidth="1"/>
    <col min="6146" max="6146" width="34.5703125" style="1" bestFit="1" customWidth="1"/>
    <col min="6147" max="6147" width="28.7109375" style="1" bestFit="1" customWidth="1"/>
    <col min="6148" max="6148" width="3.42578125" style="1" customWidth="1"/>
    <col min="6149" max="6150" width="11.5703125" style="1" bestFit="1" customWidth="1"/>
    <col min="6151" max="6151" width="14.5703125" style="1" bestFit="1" customWidth="1"/>
    <col min="6152" max="6152" width="15.7109375" style="1" bestFit="1" customWidth="1"/>
    <col min="6153" max="6154" width="11.7109375" style="1" bestFit="1" customWidth="1"/>
    <col min="6155" max="6155" width="11.5703125" style="1" bestFit="1" customWidth="1"/>
    <col min="6156" max="6156" width="12.7109375" style="1" bestFit="1" customWidth="1"/>
    <col min="6157" max="6159" width="11.5703125" style="1" bestFit="1" customWidth="1"/>
    <col min="6160" max="6160" width="11.42578125" style="1"/>
    <col min="6161" max="6161" width="3.140625" style="1" customWidth="1"/>
    <col min="6162" max="6162" width="12.85546875" style="1" bestFit="1" customWidth="1"/>
    <col min="6163" max="6163" width="14" style="1" customWidth="1"/>
    <col min="6164" max="6164" width="16" style="1" bestFit="1" customWidth="1"/>
    <col min="6165" max="6400" width="11.42578125" style="1"/>
    <col min="6401" max="6401" width="23.5703125" style="1" customWidth="1"/>
    <col min="6402" max="6402" width="34.5703125" style="1" bestFit="1" customWidth="1"/>
    <col min="6403" max="6403" width="28.7109375" style="1" bestFit="1" customWidth="1"/>
    <col min="6404" max="6404" width="3.42578125" style="1" customWidth="1"/>
    <col min="6405" max="6406" width="11.5703125" style="1" bestFit="1" customWidth="1"/>
    <col min="6407" max="6407" width="14.5703125" style="1" bestFit="1" customWidth="1"/>
    <col min="6408" max="6408" width="15.7109375" style="1" bestFit="1" customWidth="1"/>
    <col min="6409" max="6410" width="11.7109375" style="1" bestFit="1" customWidth="1"/>
    <col min="6411" max="6411" width="11.5703125" style="1" bestFit="1" customWidth="1"/>
    <col min="6412" max="6412" width="12.7109375" style="1" bestFit="1" customWidth="1"/>
    <col min="6413" max="6415" width="11.5703125" style="1" bestFit="1" customWidth="1"/>
    <col min="6416" max="6416" width="11.42578125" style="1"/>
    <col min="6417" max="6417" width="3.140625" style="1" customWidth="1"/>
    <col min="6418" max="6418" width="12.85546875" style="1" bestFit="1" customWidth="1"/>
    <col min="6419" max="6419" width="14" style="1" customWidth="1"/>
    <col min="6420" max="6420" width="16" style="1" bestFit="1" customWidth="1"/>
    <col min="6421" max="6656" width="11.42578125" style="1"/>
    <col min="6657" max="6657" width="23.5703125" style="1" customWidth="1"/>
    <col min="6658" max="6658" width="34.5703125" style="1" bestFit="1" customWidth="1"/>
    <col min="6659" max="6659" width="28.7109375" style="1" bestFit="1" customWidth="1"/>
    <col min="6660" max="6660" width="3.42578125" style="1" customWidth="1"/>
    <col min="6661" max="6662" width="11.5703125" style="1" bestFit="1" customWidth="1"/>
    <col min="6663" max="6663" width="14.5703125" style="1" bestFit="1" customWidth="1"/>
    <col min="6664" max="6664" width="15.7109375" style="1" bestFit="1" customWidth="1"/>
    <col min="6665" max="6666" width="11.7109375" style="1" bestFit="1" customWidth="1"/>
    <col min="6667" max="6667" width="11.5703125" style="1" bestFit="1" customWidth="1"/>
    <col min="6668" max="6668" width="12.7109375" style="1" bestFit="1" customWidth="1"/>
    <col min="6669" max="6671" width="11.5703125" style="1" bestFit="1" customWidth="1"/>
    <col min="6672" max="6672" width="11.42578125" style="1"/>
    <col min="6673" max="6673" width="3.140625" style="1" customWidth="1"/>
    <col min="6674" max="6674" width="12.85546875" style="1" bestFit="1" customWidth="1"/>
    <col min="6675" max="6675" width="14" style="1" customWidth="1"/>
    <col min="6676" max="6676" width="16" style="1" bestFit="1" customWidth="1"/>
    <col min="6677" max="6912" width="11.42578125" style="1"/>
    <col min="6913" max="6913" width="23.5703125" style="1" customWidth="1"/>
    <col min="6914" max="6914" width="34.5703125" style="1" bestFit="1" customWidth="1"/>
    <col min="6915" max="6915" width="28.7109375" style="1" bestFit="1" customWidth="1"/>
    <col min="6916" max="6916" width="3.42578125" style="1" customWidth="1"/>
    <col min="6917" max="6918" width="11.5703125" style="1" bestFit="1" customWidth="1"/>
    <col min="6919" max="6919" width="14.5703125" style="1" bestFit="1" customWidth="1"/>
    <col min="6920" max="6920" width="15.7109375" style="1" bestFit="1" customWidth="1"/>
    <col min="6921" max="6922" width="11.7109375" style="1" bestFit="1" customWidth="1"/>
    <col min="6923" max="6923" width="11.5703125" style="1" bestFit="1" customWidth="1"/>
    <col min="6924" max="6924" width="12.7109375" style="1" bestFit="1" customWidth="1"/>
    <col min="6925" max="6927" width="11.5703125" style="1" bestFit="1" customWidth="1"/>
    <col min="6928" max="6928" width="11.42578125" style="1"/>
    <col min="6929" max="6929" width="3.140625" style="1" customWidth="1"/>
    <col min="6930" max="6930" width="12.85546875" style="1" bestFit="1" customWidth="1"/>
    <col min="6931" max="6931" width="14" style="1" customWidth="1"/>
    <col min="6932" max="6932" width="16" style="1" bestFit="1" customWidth="1"/>
    <col min="6933" max="7168" width="11.42578125" style="1"/>
    <col min="7169" max="7169" width="23.5703125" style="1" customWidth="1"/>
    <col min="7170" max="7170" width="34.5703125" style="1" bestFit="1" customWidth="1"/>
    <col min="7171" max="7171" width="28.7109375" style="1" bestFit="1" customWidth="1"/>
    <col min="7172" max="7172" width="3.42578125" style="1" customWidth="1"/>
    <col min="7173" max="7174" width="11.5703125" style="1" bestFit="1" customWidth="1"/>
    <col min="7175" max="7175" width="14.5703125" style="1" bestFit="1" customWidth="1"/>
    <col min="7176" max="7176" width="15.7109375" style="1" bestFit="1" customWidth="1"/>
    <col min="7177" max="7178" width="11.7109375" style="1" bestFit="1" customWidth="1"/>
    <col min="7179" max="7179" width="11.5703125" style="1" bestFit="1" customWidth="1"/>
    <col min="7180" max="7180" width="12.7109375" style="1" bestFit="1" customWidth="1"/>
    <col min="7181" max="7183" width="11.5703125" style="1" bestFit="1" customWidth="1"/>
    <col min="7184" max="7184" width="11.42578125" style="1"/>
    <col min="7185" max="7185" width="3.140625" style="1" customWidth="1"/>
    <col min="7186" max="7186" width="12.85546875" style="1" bestFit="1" customWidth="1"/>
    <col min="7187" max="7187" width="14" style="1" customWidth="1"/>
    <col min="7188" max="7188" width="16" style="1" bestFit="1" customWidth="1"/>
    <col min="7189" max="7424" width="11.42578125" style="1"/>
    <col min="7425" max="7425" width="23.5703125" style="1" customWidth="1"/>
    <col min="7426" max="7426" width="34.5703125" style="1" bestFit="1" customWidth="1"/>
    <col min="7427" max="7427" width="28.7109375" style="1" bestFit="1" customWidth="1"/>
    <col min="7428" max="7428" width="3.42578125" style="1" customWidth="1"/>
    <col min="7429" max="7430" width="11.5703125" style="1" bestFit="1" customWidth="1"/>
    <col min="7431" max="7431" width="14.5703125" style="1" bestFit="1" customWidth="1"/>
    <col min="7432" max="7432" width="15.7109375" style="1" bestFit="1" customWidth="1"/>
    <col min="7433" max="7434" width="11.7109375" style="1" bestFit="1" customWidth="1"/>
    <col min="7435" max="7435" width="11.5703125" style="1" bestFit="1" customWidth="1"/>
    <col min="7436" max="7436" width="12.7109375" style="1" bestFit="1" customWidth="1"/>
    <col min="7437" max="7439" width="11.5703125" style="1" bestFit="1" customWidth="1"/>
    <col min="7440" max="7440" width="11.42578125" style="1"/>
    <col min="7441" max="7441" width="3.140625" style="1" customWidth="1"/>
    <col min="7442" max="7442" width="12.85546875" style="1" bestFit="1" customWidth="1"/>
    <col min="7443" max="7443" width="14" style="1" customWidth="1"/>
    <col min="7444" max="7444" width="16" style="1" bestFit="1" customWidth="1"/>
    <col min="7445" max="7680" width="11.42578125" style="1"/>
    <col min="7681" max="7681" width="23.5703125" style="1" customWidth="1"/>
    <col min="7682" max="7682" width="34.5703125" style="1" bestFit="1" customWidth="1"/>
    <col min="7683" max="7683" width="28.7109375" style="1" bestFit="1" customWidth="1"/>
    <col min="7684" max="7684" width="3.42578125" style="1" customWidth="1"/>
    <col min="7685" max="7686" width="11.5703125" style="1" bestFit="1" customWidth="1"/>
    <col min="7687" max="7687" width="14.5703125" style="1" bestFit="1" customWidth="1"/>
    <col min="7688" max="7688" width="15.7109375" style="1" bestFit="1" customWidth="1"/>
    <col min="7689" max="7690" width="11.7109375" style="1" bestFit="1" customWidth="1"/>
    <col min="7691" max="7691" width="11.5703125" style="1" bestFit="1" customWidth="1"/>
    <col min="7692" max="7692" width="12.7109375" style="1" bestFit="1" customWidth="1"/>
    <col min="7693" max="7695" width="11.5703125" style="1" bestFit="1" customWidth="1"/>
    <col min="7696" max="7696" width="11.42578125" style="1"/>
    <col min="7697" max="7697" width="3.140625" style="1" customWidth="1"/>
    <col min="7698" max="7698" width="12.85546875" style="1" bestFit="1" customWidth="1"/>
    <col min="7699" max="7699" width="14" style="1" customWidth="1"/>
    <col min="7700" max="7700" width="16" style="1" bestFit="1" customWidth="1"/>
    <col min="7701" max="7936" width="11.42578125" style="1"/>
    <col min="7937" max="7937" width="23.5703125" style="1" customWidth="1"/>
    <col min="7938" max="7938" width="34.5703125" style="1" bestFit="1" customWidth="1"/>
    <col min="7939" max="7939" width="28.7109375" style="1" bestFit="1" customWidth="1"/>
    <col min="7940" max="7940" width="3.42578125" style="1" customWidth="1"/>
    <col min="7941" max="7942" width="11.5703125" style="1" bestFit="1" customWidth="1"/>
    <col min="7943" max="7943" width="14.5703125" style="1" bestFit="1" customWidth="1"/>
    <col min="7944" max="7944" width="15.7109375" style="1" bestFit="1" customWidth="1"/>
    <col min="7945" max="7946" width="11.7109375" style="1" bestFit="1" customWidth="1"/>
    <col min="7947" max="7947" width="11.5703125" style="1" bestFit="1" customWidth="1"/>
    <col min="7948" max="7948" width="12.7109375" style="1" bestFit="1" customWidth="1"/>
    <col min="7949" max="7951" width="11.5703125" style="1" bestFit="1" customWidth="1"/>
    <col min="7952" max="7952" width="11.42578125" style="1"/>
    <col min="7953" max="7953" width="3.140625" style="1" customWidth="1"/>
    <col min="7954" max="7954" width="12.85546875" style="1" bestFit="1" customWidth="1"/>
    <col min="7955" max="7955" width="14" style="1" customWidth="1"/>
    <col min="7956" max="7956" width="16" style="1" bestFit="1" customWidth="1"/>
    <col min="7957" max="8192" width="11.42578125" style="1"/>
    <col min="8193" max="8193" width="23.5703125" style="1" customWidth="1"/>
    <col min="8194" max="8194" width="34.5703125" style="1" bestFit="1" customWidth="1"/>
    <col min="8195" max="8195" width="28.7109375" style="1" bestFit="1" customWidth="1"/>
    <col min="8196" max="8196" width="3.42578125" style="1" customWidth="1"/>
    <col min="8197" max="8198" width="11.5703125" style="1" bestFit="1" customWidth="1"/>
    <col min="8199" max="8199" width="14.5703125" style="1" bestFit="1" customWidth="1"/>
    <col min="8200" max="8200" width="15.7109375" style="1" bestFit="1" customWidth="1"/>
    <col min="8201" max="8202" width="11.7109375" style="1" bestFit="1" customWidth="1"/>
    <col min="8203" max="8203" width="11.5703125" style="1" bestFit="1" customWidth="1"/>
    <col min="8204" max="8204" width="12.7109375" style="1" bestFit="1" customWidth="1"/>
    <col min="8205" max="8207" width="11.5703125" style="1" bestFit="1" customWidth="1"/>
    <col min="8208" max="8208" width="11.42578125" style="1"/>
    <col min="8209" max="8209" width="3.140625" style="1" customWidth="1"/>
    <col min="8210" max="8210" width="12.85546875" style="1" bestFit="1" customWidth="1"/>
    <col min="8211" max="8211" width="14" style="1" customWidth="1"/>
    <col min="8212" max="8212" width="16" style="1" bestFit="1" customWidth="1"/>
    <col min="8213" max="8448" width="11.42578125" style="1"/>
    <col min="8449" max="8449" width="23.5703125" style="1" customWidth="1"/>
    <col min="8450" max="8450" width="34.5703125" style="1" bestFit="1" customWidth="1"/>
    <col min="8451" max="8451" width="28.7109375" style="1" bestFit="1" customWidth="1"/>
    <col min="8452" max="8452" width="3.42578125" style="1" customWidth="1"/>
    <col min="8453" max="8454" width="11.5703125" style="1" bestFit="1" customWidth="1"/>
    <col min="8455" max="8455" width="14.5703125" style="1" bestFit="1" customWidth="1"/>
    <col min="8456" max="8456" width="15.7109375" style="1" bestFit="1" customWidth="1"/>
    <col min="8457" max="8458" width="11.7109375" style="1" bestFit="1" customWidth="1"/>
    <col min="8459" max="8459" width="11.5703125" style="1" bestFit="1" customWidth="1"/>
    <col min="8460" max="8460" width="12.7109375" style="1" bestFit="1" customWidth="1"/>
    <col min="8461" max="8463" width="11.5703125" style="1" bestFit="1" customWidth="1"/>
    <col min="8464" max="8464" width="11.42578125" style="1"/>
    <col min="8465" max="8465" width="3.140625" style="1" customWidth="1"/>
    <col min="8466" max="8466" width="12.85546875" style="1" bestFit="1" customWidth="1"/>
    <col min="8467" max="8467" width="14" style="1" customWidth="1"/>
    <col min="8468" max="8468" width="16" style="1" bestFit="1" customWidth="1"/>
    <col min="8469" max="8704" width="11.42578125" style="1"/>
    <col min="8705" max="8705" width="23.5703125" style="1" customWidth="1"/>
    <col min="8706" max="8706" width="34.5703125" style="1" bestFit="1" customWidth="1"/>
    <col min="8707" max="8707" width="28.7109375" style="1" bestFit="1" customWidth="1"/>
    <col min="8708" max="8708" width="3.42578125" style="1" customWidth="1"/>
    <col min="8709" max="8710" width="11.5703125" style="1" bestFit="1" customWidth="1"/>
    <col min="8711" max="8711" width="14.5703125" style="1" bestFit="1" customWidth="1"/>
    <col min="8712" max="8712" width="15.7109375" style="1" bestFit="1" customWidth="1"/>
    <col min="8713" max="8714" width="11.7109375" style="1" bestFit="1" customWidth="1"/>
    <col min="8715" max="8715" width="11.5703125" style="1" bestFit="1" customWidth="1"/>
    <col min="8716" max="8716" width="12.7109375" style="1" bestFit="1" customWidth="1"/>
    <col min="8717" max="8719" width="11.5703125" style="1" bestFit="1" customWidth="1"/>
    <col min="8720" max="8720" width="11.42578125" style="1"/>
    <col min="8721" max="8721" width="3.140625" style="1" customWidth="1"/>
    <col min="8722" max="8722" width="12.85546875" style="1" bestFit="1" customWidth="1"/>
    <col min="8723" max="8723" width="14" style="1" customWidth="1"/>
    <col min="8724" max="8724" width="16" style="1" bestFit="1" customWidth="1"/>
    <col min="8725" max="8960" width="11.42578125" style="1"/>
    <col min="8961" max="8961" width="23.5703125" style="1" customWidth="1"/>
    <col min="8962" max="8962" width="34.5703125" style="1" bestFit="1" customWidth="1"/>
    <col min="8963" max="8963" width="28.7109375" style="1" bestFit="1" customWidth="1"/>
    <col min="8964" max="8964" width="3.42578125" style="1" customWidth="1"/>
    <col min="8965" max="8966" width="11.5703125" style="1" bestFit="1" customWidth="1"/>
    <col min="8967" max="8967" width="14.5703125" style="1" bestFit="1" customWidth="1"/>
    <col min="8968" max="8968" width="15.7109375" style="1" bestFit="1" customWidth="1"/>
    <col min="8969" max="8970" width="11.7109375" style="1" bestFit="1" customWidth="1"/>
    <col min="8971" max="8971" width="11.5703125" style="1" bestFit="1" customWidth="1"/>
    <col min="8972" max="8972" width="12.7109375" style="1" bestFit="1" customWidth="1"/>
    <col min="8973" max="8975" width="11.5703125" style="1" bestFit="1" customWidth="1"/>
    <col min="8976" max="8976" width="11.42578125" style="1"/>
    <col min="8977" max="8977" width="3.140625" style="1" customWidth="1"/>
    <col min="8978" max="8978" width="12.85546875" style="1" bestFit="1" customWidth="1"/>
    <col min="8979" max="8979" width="14" style="1" customWidth="1"/>
    <col min="8980" max="8980" width="16" style="1" bestFit="1" customWidth="1"/>
    <col min="8981" max="9216" width="11.42578125" style="1"/>
    <col min="9217" max="9217" width="23.5703125" style="1" customWidth="1"/>
    <col min="9218" max="9218" width="34.5703125" style="1" bestFit="1" customWidth="1"/>
    <col min="9219" max="9219" width="28.7109375" style="1" bestFit="1" customWidth="1"/>
    <col min="9220" max="9220" width="3.42578125" style="1" customWidth="1"/>
    <col min="9221" max="9222" width="11.5703125" style="1" bestFit="1" customWidth="1"/>
    <col min="9223" max="9223" width="14.5703125" style="1" bestFit="1" customWidth="1"/>
    <col min="9224" max="9224" width="15.7109375" style="1" bestFit="1" customWidth="1"/>
    <col min="9225" max="9226" width="11.7109375" style="1" bestFit="1" customWidth="1"/>
    <col min="9227" max="9227" width="11.5703125" style="1" bestFit="1" customWidth="1"/>
    <col min="9228" max="9228" width="12.7109375" style="1" bestFit="1" customWidth="1"/>
    <col min="9229" max="9231" width="11.5703125" style="1" bestFit="1" customWidth="1"/>
    <col min="9232" max="9232" width="11.42578125" style="1"/>
    <col min="9233" max="9233" width="3.140625" style="1" customWidth="1"/>
    <col min="9234" max="9234" width="12.85546875" style="1" bestFit="1" customWidth="1"/>
    <col min="9235" max="9235" width="14" style="1" customWidth="1"/>
    <col min="9236" max="9236" width="16" style="1" bestFit="1" customWidth="1"/>
    <col min="9237" max="9472" width="11.42578125" style="1"/>
    <col min="9473" max="9473" width="23.5703125" style="1" customWidth="1"/>
    <col min="9474" max="9474" width="34.5703125" style="1" bestFit="1" customWidth="1"/>
    <col min="9475" max="9475" width="28.7109375" style="1" bestFit="1" customWidth="1"/>
    <col min="9476" max="9476" width="3.42578125" style="1" customWidth="1"/>
    <col min="9477" max="9478" width="11.5703125" style="1" bestFit="1" customWidth="1"/>
    <col min="9479" max="9479" width="14.5703125" style="1" bestFit="1" customWidth="1"/>
    <col min="9480" max="9480" width="15.7109375" style="1" bestFit="1" customWidth="1"/>
    <col min="9481" max="9482" width="11.7109375" style="1" bestFit="1" customWidth="1"/>
    <col min="9483" max="9483" width="11.5703125" style="1" bestFit="1" customWidth="1"/>
    <col min="9484" max="9484" width="12.7109375" style="1" bestFit="1" customWidth="1"/>
    <col min="9485" max="9487" width="11.5703125" style="1" bestFit="1" customWidth="1"/>
    <col min="9488" max="9488" width="11.42578125" style="1"/>
    <col min="9489" max="9489" width="3.140625" style="1" customWidth="1"/>
    <col min="9490" max="9490" width="12.85546875" style="1" bestFit="1" customWidth="1"/>
    <col min="9491" max="9491" width="14" style="1" customWidth="1"/>
    <col min="9492" max="9492" width="16" style="1" bestFit="1" customWidth="1"/>
    <col min="9493" max="9728" width="11.42578125" style="1"/>
    <col min="9729" max="9729" width="23.5703125" style="1" customWidth="1"/>
    <col min="9730" max="9730" width="34.5703125" style="1" bestFit="1" customWidth="1"/>
    <col min="9731" max="9731" width="28.7109375" style="1" bestFit="1" customWidth="1"/>
    <col min="9732" max="9732" width="3.42578125" style="1" customWidth="1"/>
    <col min="9733" max="9734" width="11.5703125" style="1" bestFit="1" customWidth="1"/>
    <col min="9735" max="9735" width="14.5703125" style="1" bestFit="1" customWidth="1"/>
    <col min="9736" max="9736" width="15.7109375" style="1" bestFit="1" customWidth="1"/>
    <col min="9737" max="9738" width="11.7109375" style="1" bestFit="1" customWidth="1"/>
    <col min="9739" max="9739" width="11.5703125" style="1" bestFit="1" customWidth="1"/>
    <col min="9740" max="9740" width="12.7109375" style="1" bestFit="1" customWidth="1"/>
    <col min="9741" max="9743" width="11.5703125" style="1" bestFit="1" customWidth="1"/>
    <col min="9744" max="9744" width="11.42578125" style="1"/>
    <col min="9745" max="9745" width="3.140625" style="1" customWidth="1"/>
    <col min="9746" max="9746" width="12.85546875" style="1" bestFit="1" customWidth="1"/>
    <col min="9747" max="9747" width="14" style="1" customWidth="1"/>
    <col min="9748" max="9748" width="16" style="1" bestFit="1" customWidth="1"/>
    <col min="9749" max="9984" width="11.42578125" style="1"/>
    <col min="9985" max="9985" width="23.5703125" style="1" customWidth="1"/>
    <col min="9986" max="9986" width="34.5703125" style="1" bestFit="1" customWidth="1"/>
    <col min="9987" max="9987" width="28.7109375" style="1" bestFit="1" customWidth="1"/>
    <col min="9988" max="9988" width="3.42578125" style="1" customWidth="1"/>
    <col min="9989" max="9990" width="11.5703125" style="1" bestFit="1" customWidth="1"/>
    <col min="9991" max="9991" width="14.5703125" style="1" bestFit="1" customWidth="1"/>
    <col min="9992" max="9992" width="15.7109375" style="1" bestFit="1" customWidth="1"/>
    <col min="9993" max="9994" width="11.7109375" style="1" bestFit="1" customWidth="1"/>
    <col min="9995" max="9995" width="11.5703125" style="1" bestFit="1" customWidth="1"/>
    <col min="9996" max="9996" width="12.7109375" style="1" bestFit="1" customWidth="1"/>
    <col min="9997" max="9999" width="11.5703125" style="1" bestFit="1" customWidth="1"/>
    <col min="10000" max="10000" width="11.42578125" style="1"/>
    <col min="10001" max="10001" width="3.140625" style="1" customWidth="1"/>
    <col min="10002" max="10002" width="12.85546875" style="1" bestFit="1" customWidth="1"/>
    <col min="10003" max="10003" width="14" style="1" customWidth="1"/>
    <col min="10004" max="10004" width="16" style="1" bestFit="1" customWidth="1"/>
    <col min="10005" max="10240" width="11.42578125" style="1"/>
    <col min="10241" max="10241" width="23.5703125" style="1" customWidth="1"/>
    <col min="10242" max="10242" width="34.5703125" style="1" bestFit="1" customWidth="1"/>
    <col min="10243" max="10243" width="28.7109375" style="1" bestFit="1" customWidth="1"/>
    <col min="10244" max="10244" width="3.42578125" style="1" customWidth="1"/>
    <col min="10245" max="10246" width="11.5703125" style="1" bestFit="1" customWidth="1"/>
    <col min="10247" max="10247" width="14.5703125" style="1" bestFit="1" customWidth="1"/>
    <col min="10248" max="10248" width="15.7109375" style="1" bestFit="1" customWidth="1"/>
    <col min="10249" max="10250" width="11.7109375" style="1" bestFit="1" customWidth="1"/>
    <col min="10251" max="10251" width="11.5703125" style="1" bestFit="1" customWidth="1"/>
    <col min="10252" max="10252" width="12.7109375" style="1" bestFit="1" customWidth="1"/>
    <col min="10253" max="10255" width="11.5703125" style="1" bestFit="1" customWidth="1"/>
    <col min="10256" max="10256" width="11.42578125" style="1"/>
    <col min="10257" max="10257" width="3.140625" style="1" customWidth="1"/>
    <col min="10258" max="10258" width="12.85546875" style="1" bestFit="1" customWidth="1"/>
    <col min="10259" max="10259" width="14" style="1" customWidth="1"/>
    <col min="10260" max="10260" width="16" style="1" bestFit="1" customWidth="1"/>
    <col min="10261" max="10496" width="11.42578125" style="1"/>
    <col min="10497" max="10497" width="23.5703125" style="1" customWidth="1"/>
    <col min="10498" max="10498" width="34.5703125" style="1" bestFit="1" customWidth="1"/>
    <col min="10499" max="10499" width="28.7109375" style="1" bestFit="1" customWidth="1"/>
    <col min="10500" max="10500" width="3.42578125" style="1" customWidth="1"/>
    <col min="10501" max="10502" width="11.5703125" style="1" bestFit="1" customWidth="1"/>
    <col min="10503" max="10503" width="14.5703125" style="1" bestFit="1" customWidth="1"/>
    <col min="10504" max="10504" width="15.7109375" style="1" bestFit="1" customWidth="1"/>
    <col min="10505" max="10506" width="11.7109375" style="1" bestFit="1" customWidth="1"/>
    <col min="10507" max="10507" width="11.5703125" style="1" bestFit="1" customWidth="1"/>
    <col min="10508" max="10508" width="12.7109375" style="1" bestFit="1" customWidth="1"/>
    <col min="10509" max="10511" width="11.5703125" style="1" bestFit="1" customWidth="1"/>
    <col min="10512" max="10512" width="11.42578125" style="1"/>
    <col min="10513" max="10513" width="3.140625" style="1" customWidth="1"/>
    <col min="10514" max="10514" width="12.85546875" style="1" bestFit="1" customWidth="1"/>
    <col min="10515" max="10515" width="14" style="1" customWidth="1"/>
    <col min="10516" max="10516" width="16" style="1" bestFit="1" customWidth="1"/>
    <col min="10517" max="10752" width="11.42578125" style="1"/>
    <col min="10753" max="10753" width="23.5703125" style="1" customWidth="1"/>
    <col min="10754" max="10754" width="34.5703125" style="1" bestFit="1" customWidth="1"/>
    <col min="10755" max="10755" width="28.7109375" style="1" bestFit="1" customWidth="1"/>
    <col min="10756" max="10756" width="3.42578125" style="1" customWidth="1"/>
    <col min="10757" max="10758" width="11.5703125" style="1" bestFit="1" customWidth="1"/>
    <col min="10759" max="10759" width="14.5703125" style="1" bestFit="1" customWidth="1"/>
    <col min="10760" max="10760" width="15.7109375" style="1" bestFit="1" customWidth="1"/>
    <col min="10761" max="10762" width="11.7109375" style="1" bestFit="1" customWidth="1"/>
    <col min="10763" max="10763" width="11.5703125" style="1" bestFit="1" customWidth="1"/>
    <col min="10764" max="10764" width="12.7109375" style="1" bestFit="1" customWidth="1"/>
    <col min="10765" max="10767" width="11.5703125" style="1" bestFit="1" customWidth="1"/>
    <col min="10768" max="10768" width="11.42578125" style="1"/>
    <col min="10769" max="10769" width="3.140625" style="1" customWidth="1"/>
    <col min="10770" max="10770" width="12.85546875" style="1" bestFit="1" customWidth="1"/>
    <col min="10771" max="10771" width="14" style="1" customWidth="1"/>
    <col min="10772" max="10772" width="16" style="1" bestFit="1" customWidth="1"/>
    <col min="10773" max="11008" width="11.42578125" style="1"/>
    <col min="11009" max="11009" width="23.5703125" style="1" customWidth="1"/>
    <col min="11010" max="11010" width="34.5703125" style="1" bestFit="1" customWidth="1"/>
    <col min="11011" max="11011" width="28.7109375" style="1" bestFit="1" customWidth="1"/>
    <col min="11012" max="11012" width="3.42578125" style="1" customWidth="1"/>
    <col min="11013" max="11014" width="11.5703125" style="1" bestFit="1" customWidth="1"/>
    <col min="11015" max="11015" width="14.5703125" style="1" bestFit="1" customWidth="1"/>
    <col min="11016" max="11016" width="15.7109375" style="1" bestFit="1" customWidth="1"/>
    <col min="11017" max="11018" width="11.7109375" style="1" bestFit="1" customWidth="1"/>
    <col min="11019" max="11019" width="11.5703125" style="1" bestFit="1" customWidth="1"/>
    <col min="11020" max="11020" width="12.7109375" style="1" bestFit="1" customWidth="1"/>
    <col min="11021" max="11023" width="11.5703125" style="1" bestFit="1" customWidth="1"/>
    <col min="11024" max="11024" width="11.42578125" style="1"/>
    <col min="11025" max="11025" width="3.140625" style="1" customWidth="1"/>
    <col min="11026" max="11026" width="12.85546875" style="1" bestFit="1" customWidth="1"/>
    <col min="11027" max="11027" width="14" style="1" customWidth="1"/>
    <col min="11028" max="11028" width="16" style="1" bestFit="1" customWidth="1"/>
    <col min="11029" max="11264" width="11.42578125" style="1"/>
    <col min="11265" max="11265" width="23.5703125" style="1" customWidth="1"/>
    <col min="11266" max="11266" width="34.5703125" style="1" bestFit="1" customWidth="1"/>
    <col min="11267" max="11267" width="28.7109375" style="1" bestFit="1" customWidth="1"/>
    <col min="11268" max="11268" width="3.42578125" style="1" customWidth="1"/>
    <col min="11269" max="11270" width="11.5703125" style="1" bestFit="1" customWidth="1"/>
    <col min="11271" max="11271" width="14.5703125" style="1" bestFit="1" customWidth="1"/>
    <col min="11272" max="11272" width="15.7109375" style="1" bestFit="1" customWidth="1"/>
    <col min="11273" max="11274" width="11.7109375" style="1" bestFit="1" customWidth="1"/>
    <col min="11275" max="11275" width="11.5703125" style="1" bestFit="1" customWidth="1"/>
    <col min="11276" max="11276" width="12.7109375" style="1" bestFit="1" customWidth="1"/>
    <col min="11277" max="11279" width="11.5703125" style="1" bestFit="1" customWidth="1"/>
    <col min="11280" max="11280" width="11.42578125" style="1"/>
    <col min="11281" max="11281" width="3.140625" style="1" customWidth="1"/>
    <col min="11282" max="11282" width="12.85546875" style="1" bestFit="1" customWidth="1"/>
    <col min="11283" max="11283" width="14" style="1" customWidth="1"/>
    <col min="11284" max="11284" width="16" style="1" bestFit="1" customWidth="1"/>
    <col min="11285" max="11520" width="11.42578125" style="1"/>
    <col min="11521" max="11521" width="23.5703125" style="1" customWidth="1"/>
    <col min="11522" max="11522" width="34.5703125" style="1" bestFit="1" customWidth="1"/>
    <col min="11523" max="11523" width="28.7109375" style="1" bestFit="1" customWidth="1"/>
    <col min="11524" max="11524" width="3.42578125" style="1" customWidth="1"/>
    <col min="11525" max="11526" width="11.5703125" style="1" bestFit="1" customWidth="1"/>
    <col min="11527" max="11527" width="14.5703125" style="1" bestFit="1" customWidth="1"/>
    <col min="11528" max="11528" width="15.7109375" style="1" bestFit="1" customWidth="1"/>
    <col min="11529" max="11530" width="11.7109375" style="1" bestFit="1" customWidth="1"/>
    <col min="11531" max="11531" width="11.5703125" style="1" bestFit="1" customWidth="1"/>
    <col min="11532" max="11532" width="12.7109375" style="1" bestFit="1" customWidth="1"/>
    <col min="11533" max="11535" width="11.5703125" style="1" bestFit="1" customWidth="1"/>
    <col min="11536" max="11536" width="11.42578125" style="1"/>
    <col min="11537" max="11537" width="3.140625" style="1" customWidth="1"/>
    <col min="11538" max="11538" width="12.85546875" style="1" bestFit="1" customWidth="1"/>
    <col min="11539" max="11539" width="14" style="1" customWidth="1"/>
    <col min="11540" max="11540" width="16" style="1" bestFit="1" customWidth="1"/>
    <col min="11541" max="11776" width="11.42578125" style="1"/>
    <col min="11777" max="11777" width="23.5703125" style="1" customWidth="1"/>
    <col min="11778" max="11778" width="34.5703125" style="1" bestFit="1" customWidth="1"/>
    <col min="11779" max="11779" width="28.7109375" style="1" bestFit="1" customWidth="1"/>
    <col min="11780" max="11780" width="3.42578125" style="1" customWidth="1"/>
    <col min="11781" max="11782" width="11.5703125" style="1" bestFit="1" customWidth="1"/>
    <col min="11783" max="11783" width="14.5703125" style="1" bestFit="1" customWidth="1"/>
    <col min="11784" max="11784" width="15.7109375" style="1" bestFit="1" customWidth="1"/>
    <col min="11785" max="11786" width="11.7109375" style="1" bestFit="1" customWidth="1"/>
    <col min="11787" max="11787" width="11.5703125" style="1" bestFit="1" customWidth="1"/>
    <col min="11788" max="11788" width="12.7109375" style="1" bestFit="1" customWidth="1"/>
    <col min="11789" max="11791" width="11.5703125" style="1" bestFit="1" customWidth="1"/>
    <col min="11792" max="11792" width="11.42578125" style="1"/>
    <col min="11793" max="11793" width="3.140625" style="1" customWidth="1"/>
    <col min="11794" max="11794" width="12.85546875" style="1" bestFit="1" customWidth="1"/>
    <col min="11795" max="11795" width="14" style="1" customWidth="1"/>
    <col min="11796" max="11796" width="16" style="1" bestFit="1" customWidth="1"/>
    <col min="11797" max="12032" width="11.42578125" style="1"/>
    <col min="12033" max="12033" width="23.5703125" style="1" customWidth="1"/>
    <col min="12034" max="12034" width="34.5703125" style="1" bestFit="1" customWidth="1"/>
    <col min="12035" max="12035" width="28.7109375" style="1" bestFit="1" customWidth="1"/>
    <col min="12036" max="12036" width="3.42578125" style="1" customWidth="1"/>
    <col min="12037" max="12038" width="11.5703125" style="1" bestFit="1" customWidth="1"/>
    <col min="12039" max="12039" width="14.5703125" style="1" bestFit="1" customWidth="1"/>
    <col min="12040" max="12040" width="15.7109375" style="1" bestFit="1" customWidth="1"/>
    <col min="12041" max="12042" width="11.7109375" style="1" bestFit="1" customWidth="1"/>
    <col min="12043" max="12043" width="11.5703125" style="1" bestFit="1" customWidth="1"/>
    <col min="12044" max="12044" width="12.7109375" style="1" bestFit="1" customWidth="1"/>
    <col min="12045" max="12047" width="11.5703125" style="1" bestFit="1" customWidth="1"/>
    <col min="12048" max="12048" width="11.42578125" style="1"/>
    <col min="12049" max="12049" width="3.140625" style="1" customWidth="1"/>
    <col min="12050" max="12050" width="12.85546875" style="1" bestFit="1" customWidth="1"/>
    <col min="12051" max="12051" width="14" style="1" customWidth="1"/>
    <col min="12052" max="12052" width="16" style="1" bestFit="1" customWidth="1"/>
    <col min="12053" max="12288" width="11.42578125" style="1"/>
    <col min="12289" max="12289" width="23.5703125" style="1" customWidth="1"/>
    <col min="12290" max="12290" width="34.5703125" style="1" bestFit="1" customWidth="1"/>
    <col min="12291" max="12291" width="28.7109375" style="1" bestFit="1" customWidth="1"/>
    <col min="12292" max="12292" width="3.42578125" style="1" customWidth="1"/>
    <col min="12293" max="12294" width="11.5703125" style="1" bestFit="1" customWidth="1"/>
    <col min="12295" max="12295" width="14.5703125" style="1" bestFit="1" customWidth="1"/>
    <col min="12296" max="12296" width="15.7109375" style="1" bestFit="1" customWidth="1"/>
    <col min="12297" max="12298" width="11.7109375" style="1" bestFit="1" customWidth="1"/>
    <col min="12299" max="12299" width="11.5703125" style="1" bestFit="1" customWidth="1"/>
    <col min="12300" max="12300" width="12.7109375" style="1" bestFit="1" customWidth="1"/>
    <col min="12301" max="12303" width="11.5703125" style="1" bestFit="1" customWidth="1"/>
    <col min="12304" max="12304" width="11.42578125" style="1"/>
    <col min="12305" max="12305" width="3.140625" style="1" customWidth="1"/>
    <col min="12306" max="12306" width="12.85546875" style="1" bestFit="1" customWidth="1"/>
    <col min="12307" max="12307" width="14" style="1" customWidth="1"/>
    <col min="12308" max="12308" width="16" style="1" bestFit="1" customWidth="1"/>
    <col min="12309" max="12544" width="11.42578125" style="1"/>
    <col min="12545" max="12545" width="23.5703125" style="1" customWidth="1"/>
    <col min="12546" max="12546" width="34.5703125" style="1" bestFit="1" customWidth="1"/>
    <col min="12547" max="12547" width="28.7109375" style="1" bestFit="1" customWidth="1"/>
    <col min="12548" max="12548" width="3.42578125" style="1" customWidth="1"/>
    <col min="12549" max="12550" width="11.5703125" style="1" bestFit="1" customWidth="1"/>
    <col min="12551" max="12551" width="14.5703125" style="1" bestFit="1" customWidth="1"/>
    <col min="12552" max="12552" width="15.7109375" style="1" bestFit="1" customWidth="1"/>
    <col min="12553" max="12554" width="11.7109375" style="1" bestFit="1" customWidth="1"/>
    <col min="12555" max="12555" width="11.5703125" style="1" bestFit="1" customWidth="1"/>
    <col min="12556" max="12556" width="12.7109375" style="1" bestFit="1" customWidth="1"/>
    <col min="12557" max="12559" width="11.5703125" style="1" bestFit="1" customWidth="1"/>
    <col min="12560" max="12560" width="11.42578125" style="1"/>
    <col min="12561" max="12561" width="3.140625" style="1" customWidth="1"/>
    <col min="12562" max="12562" width="12.85546875" style="1" bestFit="1" customWidth="1"/>
    <col min="12563" max="12563" width="14" style="1" customWidth="1"/>
    <col min="12564" max="12564" width="16" style="1" bestFit="1" customWidth="1"/>
    <col min="12565" max="12800" width="11.42578125" style="1"/>
    <col min="12801" max="12801" width="23.5703125" style="1" customWidth="1"/>
    <col min="12802" max="12802" width="34.5703125" style="1" bestFit="1" customWidth="1"/>
    <col min="12803" max="12803" width="28.7109375" style="1" bestFit="1" customWidth="1"/>
    <col min="12804" max="12804" width="3.42578125" style="1" customWidth="1"/>
    <col min="12805" max="12806" width="11.5703125" style="1" bestFit="1" customWidth="1"/>
    <col min="12807" max="12807" width="14.5703125" style="1" bestFit="1" customWidth="1"/>
    <col min="12808" max="12808" width="15.7109375" style="1" bestFit="1" customWidth="1"/>
    <col min="12809" max="12810" width="11.7109375" style="1" bestFit="1" customWidth="1"/>
    <col min="12811" max="12811" width="11.5703125" style="1" bestFit="1" customWidth="1"/>
    <col min="12812" max="12812" width="12.7109375" style="1" bestFit="1" customWidth="1"/>
    <col min="12813" max="12815" width="11.5703125" style="1" bestFit="1" customWidth="1"/>
    <col min="12816" max="12816" width="11.42578125" style="1"/>
    <col min="12817" max="12817" width="3.140625" style="1" customWidth="1"/>
    <col min="12818" max="12818" width="12.85546875" style="1" bestFit="1" customWidth="1"/>
    <col min="12819" max="12819" width="14" style="1" customWidth="1"/>
    <col min="12820" max="12820" width="16" style="1" bestFit="1" customWidth="1"/>
    <col min="12821" max="13056" width="11.42578125" style="1"/>
    <col min="13057" max="13057" width="23.5703125" style="1" customWidth="1"/>
    <col min="13058" max="13058" width="34.5703125" style="1" bestFit="1" customWidth="1"/>
    <col min="13059" max="13059" width="28.7109375" style="1" bestFit="1" customWidth="1"/>
    <col min="13060" max="13060" width="3.42578125" style="1" customWidth="1"/>
    <col min="13061" max="13062" width="11.5703125" style="1" bestFit="1" customWidth="1"/>
    <col min="13063" max="13063" width="14.5703125" style="1" bestFit="1" customWidth="1"/>
    <col min="13064" max="13064" width="15.7109375" style="1" bestFit="1" customWidth="1"/>
    <col min="13065" max="13066" width="11.7109375" style="1" bestFit="1" customWidth="1"/>
    <col min="13067" max="13067" width="11.5703125" style="1" bestFit="1" customWidth="1"/>
    <col min="13068" max="13068" width="12.7109375" style="1" bestFit="1" customWidth="1"/>
    <col min="13069" max="13071" width="11.5703125" style="1" bestFit="1" customWidth="1"/>
    <col min="13072" max="13072" width="11.42578125" style="1"/>
    <col min="13073" max="13073" width="3.140625" style="1" customWidth="1"/>
    <col min="13074" max="13074" width="12.85546875" style="1" bestFit="1" customWidth="1"/>
    <col min="13075" max="13075" width="14" style="1" customWidth="1"/>
    <col min="13076" max="13076" width="16" style="1" bestFit="1" customWidth="1"/>
    <col min="13077" max="13312" width="11.42578125" style="1"/>
    <col min="13313" max="13313" width="23.5703125" style="1" customWidth="1"/>
    <col min="13314" max="13314" width="34.5703125" style="1" bestFit="1" customWidth="1"/>
    <col min="13315" max="13315" width="28.7109375" style="1" bestFit="1" customWidth="1"/>
    <col min="13316" max="13316" width="3.42578125" style="1" customWidth="1"/>
    <col min="13317" max="13318" width="11.5703125" style="1" bestFit="1" customWidth="1"/>
    <col min="13319" max="13319" width="14.5703125" style="1" bestFit="1" customWidth="1"/>
    <col min="13320" max="13320" width="15.7109375" style="1" bestFit="1" customWidth="1"/>
    <col min="13321" max="13322" width="11.7109375" style="1" bestFit="1" customWidth="1"/>
    <col min="13323" max="13323" width="11.5703125" style="1" bestFit="1" customWidth="1"/>
    <col min="13324" max="13324" width="12.7109375" style="1" bestFit="1" customWidth="1"/>
    <col min="13325" max="13327" width="11.5703125" style="1" bestFit="1" customWidth="1"/>
    <col min="13328" max="13328" width="11.42578125" style="1"/>
    <col min="13329" max="13329" width="3.140625" style="1" customWidth="1"/>
    <col min="13330" max="13330" width="12.85546875" style="1" bestFit="1" customWidth="1"/>
    <col min="13331" max="13331" width="14" style="1" customWidth="1"/>
    <col min="13332" max="13332" width="16" style="1" bestFit="1" customWidth="1"/>
    <col min="13333" max="13568" width="11.42578125" style="1"/>
    <col min="13569" max="13569" width="23.5703125" style="1" customWidth="1"/>
    <col min="13570" max="13570" width="34.5703125" style="1" bestFit="1" customWidth="1"/>
    <col min="13571" max="13571" width="28.7109375" style="1" bestFit="1" customWidth="1"/>
    <col min="13572" max="13572" width="3.42578125" style="1" customWidth="1"/>
    <col min="13573" max="13574" width="11.5703125" style="1" bestFit="1" customWidth="1"/>
    <col min="13575" max="13575" width="14.5703125" style="1" bestFit="1" customWidth="1"/>
    <col min="13576" max="13576" width="15.7109375" style="1" bestFit="1" customWidth="1"/>
    <col min="13577" max="13578" width="11.7109375" style="1" bestFit="1" customWidth="1"/>
    <col min="13579" max="13579" width="11.5703125" style="1" bestFit="1" customWidth="1"/>
    <col min="13580" max="13580" width="12.7109375" style="1" bestFit="1" customWidth="1"/>
    <col min="13581" max="13583" width="11.5703125" style="1" bestFit="1" customWidth="1"/>
    <col min="13584" max="13584" width="11.42578125" style="1"/>
    <col min="13585" max="13585" width="3.140625" style="1" customWidth="1"/>
    <col min="13586" max="13586" width="12.85546875" style="1" bestFit="1" customWidth="1"/>
    <col min="13587" max="13587" width="14" style="1" customWidth="1"/>
    <col min="13588" max="13588" width="16" style="1" bestFit="1" customWidth="1"/>
    <col min="13589" max="13824" width="11.42578125" style="1"/>
    <col min="13825" max="13825" width="23.5703125" style="1" customWidth="1"/>
    <col min="13826" max="13826" width="34.5703125" style="1" bestFit="1" customWidth="1"/>
    <col min="13827" max="13827" width="28.7109375" style="1" bestFit="1" customWidth="1"/>
    <col min="13828" max="13828" width="3.42578125" style="1" customWidth="1"/>
    <col min="13829" max="13830" width="11.5703125" style="1" bestFit="1" customWidth="1"/>
    <col min="13831" max="13831" width="14.5703125" style="1" bestFit="1" customWidth="1"/>
    <col min="13832" max="13832" width="15.7109375" style="1" bestFit="1" customWidth="1"/>
    <col min="13833" max="13834" width="11.7109375" style="1" bestFit="1" customWidth="1"/>
    <col min="13835" max="13835" width="11.5703125" style="1" bestFit="1" customWidth="1"/>
    <col min="13836" max="13836" width="12.7109375" style="1" bestFit="1" customWidth="1"/>
    <col min="13837" max="13839" width="11.5703125" style="1" bestFit="1" customWidth="1"/>
    <col min="13840" max="13840" width="11.42578125" style="1"/>
    <col min="13841" max="13841" width="3.140625" style="1" customWidth="1"/>
    <col min="13842" max="13842" width="12.85546875" style="1" bestFit="1" customWidth="1"/>
    <col min="13843" max="13843" width="14" style="1" customWidth="1"/>
    <col min="13844" max="13844" width="16" style="1" bestFit="1" customWidth="1"/>
    <col min="13845" max="14080" width="11.42578125" style="1"/>
    <col min="14081" max="14081" width="23.5703125" style="1" customWidth="1"/>
    <col min="14082" max="14082" width="34.5703125" style="1" bestFit="1" customWidth="1"/>
    <col min="14083" max="14083" width="28.7109375" style="1" bestFit="1" customWidth="1"/>
    <col min="14084" max="14084" width="3.42578125" style="1" customWidth="1"/>
    <col min="14085" max="14086" width="11.5703125" style="1" bestFit="1" customWidth="1"/>
    <col min="14087" max="14087" width="14.5703125" style="1" bestFit="1" customWidth="1"/>
    <col min="14088" max="14088" width="15.7109375" style="1" bestFit="1" customWidth="1"/>
    <col min="14089" max="14090" width="11.7109375" style="1" bestFit="1" customWidth="1"/>
    <col min="14091" max="14091" width="11.5703125" style="1" bestFit="1" customWidth="1"/>
    <col min="14092" max="14092" width="12.7109375" style="1" bestFit="1" customWidth="1"/>
    <col min="14093" max="14095" width="11.5703125" style="1" bestFit="1" customWidth="1"/>
    <col min="14096" max="14096" width="11.42578125" style="1"/>
    <col min="14097" max="14097" width="3.140625" style="1" customWidth="1"/>
    <col min="14098" max="14098" width="12.85546875" style="1" bestFit="1" customWidth="1"/>
    <col min="14099" max="14099" width="14" style="1" customWidth="1"/>
    <col min="14100" max="14100" width="16" style="1" bestFit="1" customWidth="1"/>
    <col min="14101" max="14336" width="11.42578125" style="1"/>
    <col min="14337" max="14337" width="23.5703125" style="1" customWidth="1"/>
    <col min="14338" max="14338" width="34.5703125" style="1" bestFit="1" customWidth="1"/>
    <col min="14339" max="14339" width="28.7109375" style="1" bestFit="1" customWidth="1"/>
    <col min="14340" max="14340" width="3.42578125" style="1" customWidth="1"/>
    <col min="14341" max="14342" width="11.5703125" style="1" bestFit="1" customWidth="1"/>
    <col min="14343" max="14343" width="14.5703125" style="1" bestFit="1" customWidth="1"/>
    <col min="14344" max="14344" width="15.7109375" style="1" bestFit="1" customWidth="1"/>
    <col min="14345" max="14346" width="11.7109375" style="1" bestFit="1" customWidth="1"/>
    <col min="14347" max="14347" width="11.5703125" style="1" bestFit="1" customWidth="1"/>
    <col min="14348" max="14348" width="12.7109375" style="1" bestFit="1" customWidth="1"/>
    <col min="14349" max="14351" width="11.5703125" style="1" bestFit="1" customWidth="1"/>
    <col min="14352" max="14352" width="11.42578125" style="1"/>
    <col min="14353" max="14353" width="3.140625" style="1" customWidth="1"/>
    <col min="14354" max="14354" width="12.85546875" style="1" bestFit="1" customWidth="1"/>
    <col min="14355" max="14355" width="14" style="1" customWidth="1"/>
    <col min="14356" max="14356" width="16" style="1" bestFit="1" customWidth="1"/>
    <col min="14357" max="14592" width="11.42578125" style="1"/>
    <col min="14593" max="14593" width="23.5703125" style="1" customWidth="1"/>
    <col min="14594" max="14594" width="34.5703125" style="1" bestFit="1" customWidth="1"/>
    <col min="14595" max="14595" width="28.7109375" style="1" bestFit="1" customWidth="1"/>
    <col min="14596" max="14596" width="3.42578125" style="1" customWidth="1"/>
    <col min="14597" max="14598" width="11.5703125" style="1" bestFit="1" customWidth="1"/>
    <col min="14599" max="14599" width="14.5703125" style="1" bestFit="1" customWidth="1"/>
    <col min="14600" max="14600" width="15.7109375" style="1" bestFit="1" customWidth="1"/>
    <col min="14601" max="14602" width="11.7109375" style="1" bestFit="1" customWidth="1"/>
    <col min="14603" max="14603" width="11.5703125" style="1" bestFit="1" customWidth="1"/>
    <col min="14604" max="14604" width="12.7109375" style="1" bestFit="1" customWidth="1"/>
    <col min="14605" max="14607" width="11.5703125" style="1" bestFit="1" customWidth="1"/>
    <col min="14608" max="14608" width="11.42578125" style="1"/>
    <col min="14609" max="14609" width="3.140625" style="1" customWidth="1"/>
    <col min="14610" max="14610" width="12.85546875" style="1" bestFit="1" customWidth="1"/>
    <col min="14611" max="14611" width="14" style="1" customWidth="1"/>
    <col min="14612" max="14612" width="16" style="1" bestFit="1" customWidth="1"/>
    <col min="14613" max="14848" width="11.42578125" style="1"/>
    <col min="14849" max="14849" width="23.5703125" style="1" customWidth="1"/>
    <col min="14850" max="14850" width="34.5703125" style="1" bestFit="1" customWidth="1"/>
    <col min="14851" max="14851" width="28.7109375" style="1" bestFit="1" customWidth="1"/>
    <col min="14852" max="14852" width="3.42578125" style="1" customWidth="1"/>
    <col min="14853" max="14854" width="11.5703125" style="1" bestFit="1" customWidth="1"/>
    <col min="14855" max="14855" width="14.5703125" style="1" bestFit="1" customWidth="1"/>
    <col min="14856" max="14856" width="15.7109375" style="1" bestFit="1" customWidth="1"/>
    <col min="14857" max="14858" width="11.7109375" style="1" bestFit="1" customWidth="1"/>
    <col min="14859" max="14859" width="11.5703125" style="1" bestFit="1" customWidth="1"/>
    <col min="14860" max="14860" width="12.7109375" style="1" bestFit="1" customWidth="1"/>
    <col min="14861" max="14863" width="11.5703125" style="1" bestFit="1" customWidth="1"/>
    <col min="14864" max="14864" width="11.42578125" style="1"/>
    <col min="14865" max="14865" width="3.140625" style="1" customWidth="1"/>
    <col min="14866" max="14866" width="12.85546875" style="1" bestFit="1" customWidth="1"/>
    <col min="14867" max="14867" width="14" style="1" customWidth="1"/>
    <col min="14868" max="14868" width="16" style="1" bestFit="1" customWidth="1"/>
    <col min="14869" max="15104" width="11.42578125" style="1"/>
    <col min="15105" max="15105" width="23.5703125" style="1" customWidth="1"/>
    <col min="15106" max="15106" width="34.5703125" style="1" bestFit="1" customWidth="1"/>
    <col min="15107" max="15107" width="28.7109375" style="1" bestFit="1" customWidth="1"/>
    <col min="15108" max="15108" width="3.42578125" style="1" customWidth="1"/>
    <col min="15109" max="15110" width="11.5703125" style="1" bestFit="1" customWidth="1"/>
    <col min="15111" max="15111" width="14.5703125" style="1" bestFit="1" customWidth="1"/>
    <col min="15112" max="15112" width="15.7109375" style="1" bestFit="1" customWidth="1"/>
    <col min="15113" max="15114" width="11.7109375" style="1" bestFit="1" customWidth="1"/>
    <col min="15115" max="15115" width="11.5703125" style="1" bestFit="1" customWidth="1"/>
    <col min="15116" max="15116" width="12.7109375" style="1" bestFit="1" customWidth="1"/>
    <col min="15117" max="15119" width="11.5703125" style="1" bestFit="1" customWidth="1"/>
    <col min="15120" max="15120" width="11.42578125" style="1"/>
    <col min="15121" max="15121" width="3.140625" style="1" customWidth="1"/>
    <col min="15122" max="15122" width="12.85546875" style="1" bestFit="1" customWidth="1"/>
    <col min="15123" max="15123" width="14" style="1" customWidth="1"/>
    <col min="15124" max="15124" width="16" style="1" bestFit="1" customWidth="1"/>
    <col min="15125" max="15360" width="11.42578125" style="1"/>
    <col min="15361" max="15361" width="23.5703125" style="1" customWidth="1"/>
    <col min="15362" max="15362" width="34.5703125" style="1" bestFit="1" customWidth="1"/>
    <col min="15363" max="15363" width="28.7109375" style="1" bestFit="1" customWidth="1"/>
    <col min="15364" max="15364" width="3.42578125" style="1" customWidth="1"/>
    <col min="15365" max="15366" width="11.5703125" style="1" bestFit="1" customWidth="1"/>
    <col min="15367" max="15367" width="14.5703125" style="1" bestFit="1" customWidth="1"/>
    <col min="15368" max="15368" width="15.7109375" style="1" bestFit="1" customWidth="1"/>
    <col min="15369" max="15370" width="11.7109375" style="1" bestFit="1" customWidth="1"/>
    <col min="15371" max="15371" width="11.5703125" style="1" bestFit="1" customWidth="1"/>
    <col min="15372" max="15372" width="12.7109375" style="1" bestFit="1" customWidth="1"/>
    <col min="15373" max="15375" width="11.5703125" style="1" bestFit="1" customWidth="1"/>
    <col min="15376" max="15376" width="11.42578125" style="1"/>
    <col min="15377" max="15377" width="3.140625" style="1" customWidth="1"/>
    <col min="15378" max="15378" width="12.85546875" style="1" bestFit="1" customWidth="1"/>
    <col min="15379" max="15379" width="14" style="1" customWidth="1"/>
    <col min="15380" max="15380" width="16" style="1" bestFit="1" customWidth="1"/>
    <col min="15381" max="15616" width="11.42578125" style="1"/>
    <col min="15617" max="15617" width="23.5703125" style="1" customWidth="1"/>
    <col min="15618" max="15618" width="34.5703125" style="1" bestFit="1" customWidth="1"/>
    <col min="15619" max="15619" width="28.7109375" style="1" bestFit="1" customWidth="1"/>
    <col min="15620" max="15620" width="3.42578125" style="1" customWidth="1"/>
    <col min="15621" max="15622" width="11.5703125" style="1" bestFit="1" customWidth="1"/>
    <col min="15623" max="15623" width="14.5703125" style="1" bestFit="1" customWidth="1"/>
    <col min="15624" max="15624" width="15.7109375" style="1" bestFit="1" customWidth="1"/>
    <col min="15625" max="15626" width="11.7109375" style="1" bestFit="1" customWidth="1"/>
    <col min="15627" max="15627" width="11.5703125" style="1" bestFit="1" customWidth="1"/>
    <col min="15628" max="15628" width="12.7109375" style="1" bestFit="1" customWidth="1"/>
    <col min="15629" max="15631" width="11.5703125" style="1" bestFit="1" customWidth="1"/>
    <col min="15632" max="15632" width="11.42578125" style="1"/>
    <col min="15633" max="15633" width="3.140625" style="1" customWidth="1"/>
    <col min="15634" max="15634" width="12.85546875" style="1" bestFit="1" customWidth="1"/>
    <col min="15635" max="15635" width="14" style="1" customWidth="1"/>
    <col min="15636" max="15636" width="16" style="1" bestFit="1" customWidth="1"/>
    <col min="15637" max="15872" width="11.42578125" style="1"/>
    <col min="15873" max="15873" width="23.5703125" style="1" customWidth="1"/>
    <col min="15874" max="15874" width="34.5703125" style="1" bestFit="1" customWidth="1"/>
    <col min="15875" max="15875" width="28.7109375" style="1" bestFit="1" customWidth="1"/>
    <col min="15876" max="15876" width="3.42578125" style="1" customWidth="1"/>
    <col min="15877" max="15878" width="11.5703125" style="1" bestFit="1" customWidth="1"/>
    <col min="15879" max="15879" width="14.5703125" style="1" bestFit="1" customWidth="1"/>
    <col min="15880" max="15880" width="15.7109375" style="1" bestFit="1" customWidth="1"/>
    <col min="15881" max="15882" width="11.7109375" style="1" bestFit="1" customWidth="1"/>
    <col min="15883" max="15883" width="11.5703125" style="1" bestFit="1" customWidth="1"/>
    <col min="15884" max="15884" width="12.7109375" style="1" bestFit="1" customWidth="1"/>
    <col min="15885" max="15887" width="11.5703125" style="1" bestFit="1" customWidth="1"/>
    <col min="15888" max="15888" width="11.42578125" style="1"/>
    <col min="15889" max="15889" width="3.140625" style="1" customWidth="1"/>
    <col min="15890" max="15890" width="12.85546875" style="1" bestFit="1" customWidth="1"/>
    <col min="15891" max="15891" width="14" style="1" customWidth="1"/>
    <col min="15892" max="15892" width="16" style="1" bestFit="1" customWidth="1"/>
    <col min="15893" max="16128" width="11.42578125" style="1"/>
    <col min="16129" max="16129" width="23.5703125" style="1" customWidth="1"/>
    <col min="16130" max="16130" width="34.5703125" style="1" bestFit="1" customWidth="1"/>
    <col min="16131" max="16131" width="28.7109375" style="1" bestFit="1" customWidth="1"/>
    <col min="16132" max="16132" width="3.42578125" style="1" customWidth="1"/>
    <col min="16133" max="16134" width="11.5703125" style="1" bestFit="1" customWidth="1"/>
    <col min="16135" max="16135" width="14.5703125" style="1" bestFit="1" customWidth="1"/>
    <col min="16136" max="16136" width="15.7109375" style="1" bestFit="1" customWidth="1"/>
    <col min="16137" max="16138" width="11.7109375" style="1" bestFit="1" customWidth="1"/>
    <col min="16139" max="16139" width="11.5703125" style="1" bestFit="1" customWidth="1"/>
    <col min="16140" max="16140" width="12.7109375" style="1" bestFit="1" customWidth="1"/>
    <col min="16141" max="16143" width="11.5703125" style="1" bestFit="1" customWidth="1"/>
    <col min="16144" max="16144" width="11.42578125" style="1"/>
    <col min="16145" max="16145" width="3.140625" style="1" customWidth="1"/>
    <col min="16146" max="16146" width="12.85546875" style="1" bestFit="1" customWidth="1"/>
    <col min="16147" max="16147" width="14" style="1" customWidth="1"/>
    <col min="16148" max="16148" width="16" style="1" bestFit="1" customWidth="1"/>
    <col min="16149" max="16384" width="11.42578125" style="1"/>
  </cols>
  <sheetData>
    <row r="1" spans="1:20" ht="23.25" thickBot="1">
      <c r="A1" s="508"/>
      <c r="B1" s="508"/>
      <c r="C1" s="508"/>
      <c r="D1" s="509"/>
      <c r="E1" s="510" t="s">
        <v>361</v>
      </c>
      <c r="F1" s="511" t="s">
        <v>22</v>
      </c>
      <c r="G1" s="511" t="s">
        <v>362</v>
      </c>
      <c r="H1" s="511" t="s">
        <v>363</v>
      </c>
      <c r="I1" s="511" t="s">
        <v>364</v>
      </c>
      <c r="J1" s="511" t="s">
        <v>365</v>
      </c>
      <c r="K1" s="511" t="s">
        <v>366</v>
      </c>
      <c r="L1" s="511" t="s">
        <v>367</v>
      </c>
      <c r="M1" s="511" t="s">
        <v>368</v>
      </c>
      <c r="N1" s="511" t="s">
        <v>41</v>
      </c>
      <c r="O1" s="511" t="s">
        <v>369</v>
      </c>
      <c r="P1" s="512" t="s">
        <v>370</v>
      </c>
      <c r="Q1" s="4"/>
      <c r="R1" s="513" t="s">
        <v>362</v>
      </c>
      <c r="S1" s="514" t="s">
        <v>363</v>
      </c>
      <c r="T1" s="514" t="s">
        <v>364</v>
      </c>
    </row>
    <row r="2" spans="1:20">
      <c r="A2" s="515"/>
      <c r="B2" s="516" t="s">
        <v>371</v>
      </c>
      <c r="C2" s="517">
        <v>2.4E-2</v>
      </c>
      <c r="D2" s="518"/>
      <c r="E2" s="519">
        <v>0</v>
      </c>
      <c r="F2" s="520">
        <v>43862</v>
      </c>
      <c r="G2" s="521">
        <f>'[49]Prix de revient'!D4</f>
        <v>290589</v>
      </c>
      <c r="H2" s="522"/>
      <c r="I2" s="523">
        <f>G2</f>
        <v>290589</v>
      </c>
      <c r="J2" s="523">
        <f>G2</f>
        <v>290589</v>
      </c>
      <c r="K2" s="522"/>
      <c r="L2" s="522">
        <f>C5</f>
        <v>5854058.7599999998</v>
      </c>
      <c r="M2" s="524"/>
      <c r="N2" s="525"/>
      <c r="O2" s="525"/>
      <c r="P2" s="526"/>
      <c r="Q2" s="4"/>
      <c r="R2" s="527">
        <f>G2</f>
        <v>290589</v>
      </c>
      <c r="S2" s="527">
        <f>H2</f>
        <v>0</v>
      </c>
      <c r="T2" s="527">
        <f>I2</f>
        <v>290589</v>
      </c>
    </row>
    <row r="3" spans="1:20">
      <c r="A3" s="515"/>
      <c r="B3" s="516" t="s">
        <v>372</v>
      </c>
      <c r="C3" s="517">
        <v>0</v>
      </c>
      <c r="D3" s="518"/>
      <c r="E3" s="519">
        <f>E2+1</f>
        <v>1</v>
      </c>
      <c r="G3" s="523"/>
      <c r="H3" s="522"/>
      <c r="I3" s="522"/>
      <c r="J3" s="522"/>
      <c r="K3" s="522"/>
      <c r="L3" s="522"/>
      <c r="M3" s="524"/>
      <c r="N3" s="525"/>
      <c r="O3" s="525"/>
      <c r="P3" s="526" t="s">
        <v>329</v>
      </c>
      <c r="Q3" s="4"/>
      <c r="R3" s="527">
        <f>G3+G4+G5+G6</f>
        <v>274555.03534730757</v>
      </c>
      <c r="S3" s="527">
        <f>H3+H4+H5+H6</f>
        <v>69077.57287130758</v>
      </c>
      <c r="T3" s="527">
        <f>I3+I4+I5+I6</f>
        <v>205477.46247599999</v>
      </c>
    </row>
    <row r="4" spans="1:20">
      <c r="A4" s="528"/>
      <c r="B4" s="529"/>
      <c r="C4" s="518"/>
      <c r="D4" s="518"/>
      <c r="E4" s="519">
        <f t="shared" ref="E4:E67" si="0">E3+1</f>
        <v>2</v>
      </c>
      <c r="F4" s="520"/>
      <c r="G4" s="523"/>
      <c r="H4" s="522"/>
      <c r="I4" s="522"/>
      <c r="J4" s="522"/>
      <c r="K4" s="522"/>
      <c r="L4" s="522"/>
      <c r="M4" s="524"/>
      <c r="N4" s="525"/>
      <c r="O4" s="525"/>
      <c r="P4" s="526" t="s">
        <v>329</v>
      </c>
      <c r="Q4" s="4"/>
      <c r="R4" s="527"/>
      <c r="S4" s="530"/>
      <c r="T4" s="530"/>
    </row>
    <row r="5" spans="1:20">
      <c r="A5" s="515"/>
      <c r="B5" s="516" t="s">
        <v>373</v>
      </c>
      <c r="C5" s="531">
        <f>'[49]Prix de revient'!D13</f>
        <v>5854058.7599999998</v>
      </c>
      <c r="D5" s="518"/>
      <c r="E5" s="519">
        <f t="shared" si="0"/>
        <v>3</v>
      </c>
      <c r="F5" s="520"/>
      <c r="G5" s="523"/>
      <c r="H5" s="522"/>
      <c r="I5" s="522"/>
      <c r="J5" s="522"/>
      <c r="K5" s="522"/>
      <c r="L5" s="522"/>
      <c r="M5" s="524"/>
      <c r="N5" s="525"/>
      <c r="O5" s="525"/>
      <c r="P5" s="526" t="s">
        <v>329</v>
      </c>
      <c r="Q5" s="4"/>
      <c r="R5" s="527"/>
      <c r="S5" s="527"/>
      <c r="T5" s="527"/>
    </row>
    <row r="6" spans="1:20">
      <c r="A6" s="515"/>
      <c r="B6" s="516" t="s">
        <v>186</v>
      </c>
      <c r="C6" s="532">
        <v>43040</v>
      </c>
      <c r="D6" s="518"/>
      <c r="E6" s="519">
        <f t="shared" si="0"/>
        <v>4</v>
      </c>
      <c r="F6" s="520">
        <v>44228</v>
      </c>
      <c r="G6" s="523">
        <v>274555.03534730757</v>
      </c>
      <c r="H6" s="522">
        <v>69077.57287130758</v>
      </c>
      <c r="I6" s="522">
        <v>205477.46247599999</v>
      </c>
      <c r="J6" s="522">
        <v>205477.46247599999</v>
      </c>
      <c r="K6" s="522">
        <v>0</v>
      </c>
      <c r="L6" s="522">
        <v>5784981.1871286919</v>
      </c>
      <c r="M6" s="524">
        <v>0</v>
      </c>
      <c r="N6" s="525">
        <v>3.5099999999999999E-2</v>
      </c>
      <c r="O6" s="525">
        <v>0</v>
      </c>
      <c r="P6" s="526" t="s">
        <v>329</v>
      </c>
      <c r="Q6" s="4"/>
      <c r="R6" s="533"/>
      <c r="S6" s="534"/>
      <c r="T6" s="534"/>
    </row>
    <row r="7" spans="1:20" ht="13.5" thickBot="1">
      <c r="A7" s="515"/>
      <c r="B7" s="529"/>
      <c r="C7" s="518"/>
      <c r="D7" s="518"/>
      <c r="E7" s="519">
        <f t="shared" si="0"/>
        <v>5</v>
      </c>
      <c r="G7" s="523"/>
      <c r="H7" s="522"/>
      <c r="I7" s="522"/>
      <c r="J7" s="522"/>
      <c r="K7" s="522"/>
      <c r="L7" s="522"/>
      <c r="M7" s="524"/>
      <c r="N7" s="525"/>
      <c r="O7" s="525"/>
      <c r="P7" s="526" t="s">
        <v>329</v>
      </c>
      <c r="Q7" s="4"/>
      <c r="R7" s="527">
        <f>G7+G8+G9+G10</f>
        <v>274555.03534730762</v>
      </c>
      <c r="S7" s="527">
        <f>H7+H8+H9+H10</f>
        <v>71502.195679090539</v>
      </c>
      <c r="T7" s="527">
        <f>I7+I8+I9+I10</f>
        <v>203052.83966821709</v>
      </c>
    </row>
    <row r="8" spans="1:20">
      <c r="A8" s="700" t="s">
        <v>374</v>
      </c>
      <c r="B8" s="535" t="s">
        <v>375</v>
      </c>
      <c r="C8" s="536">
        <v>24</v>
      </c>
      <c r="D8" s="518"/>
      <c r="E8" s="519">
        <f t="shared" si="0"/>
        <v>6</v>
      </c>
      <c r="F8" s="520"/>
      <c r="G8" s="523"/>
      <c r="H8" s="522"/>
      <c r="I8" s="522"/>
      <c r="J8" s="522"/>
      <c r="K8" s="522"/>
      <c r="L8" s="522"/>
      <c r="M8" s="524"/>
      <c r="N8" s="525"/>
      <c r="O8" s="525"/>
      <c r="P8" s="526" t="s">
        <v>329</v>
      </c>
      <c r="Q8" s="4"/>
      <c r="R8" s="527"/>
      <c r="S8" s="530"/>
      <c r="T8" s="530"/>
    </row>
    <row r="9" spans="1:20">
      <c r="A9" s="701"/>
      <c r="B9" s="537" t="s">
        <v>187</v>
      </c>
      <c r="C9" s="538">
        <v>43070</v>
      </c>
      <c r="D9" s="518"/>
      <c r="E9" s="519">
        <f t="shared" si="0"/>
        <v>7</v>
      </c>
      <c r="F9" s="520"/>
      <c r="G9" s="523"/>
      <c r="H9" s="522"/>
      <c r="I9" s="522"/>
      <c r="J9" s="522"/>
      <c r="K9" s="522"/>
      <c r="L9" s="522"/>
      <c r="M9" s="524"/>
      <c r="N9" s="525"/>
      <c r="O9" s="525"/>
      <c r="P9" s="526" t="s">
        <v>329</v>
      </c>
      <c r="Q9" s="4"/>
      <c r="R9" s="527"/>
      <c r="S9" s="527"/>
      <c r="T9" s="527"/>
    </row>
    <row r="10" spans="1:20">
      <c r="A10" s="701"/>
      <c r="B10" s="537" t="s">
        <v>188</v>
      </c>
      <c r="C10" s="538">
        <v>43800</v>
      </c>
      <c r="D10" s="518"/>
      <c r="E10" s="519">
        <f t="shared" si="0"/>
        <v>8</v>
      </c>
      <c r="F10" s="520">
        <v>44593</v>
      </c>
      <c r="G10" s="523">
        <v>274555.03534730762</v>
      </c>
      <c r="H10" s="522">
        <v>71502.195679090539</v>
      </c>
      <c r="I10" s="522">
        <v>203052.83966821709</v>
      </c>
      <c r="J10" s="522">
        <v>203052.83966821709</v>
      </c>
      <c r="K10" s="522">
        <v>0</v>
      </c>
      <c r="L10" s="522">
        <v>5713478.991449601</v>
      </c>
      <c r="M10" s="524">
        <v>0</v>
      </c>
      <c r="N10" s="525">
        <v>3.5099999999999999E-2</v>
      </c>
      <c r="O10" s="525">
        <v>0</v>
      </c>
      <c r="P10" s="526" t="s">
        <v>329</v>
      </c>
      <c r="Q10" s="4"/>
      <c r="R10" s="533"/>
      <c r="S10" s="534"/>
      <c r="T10" s="534"/>
    </row>
    <row r="11" spans="1:20" ht="22.5">
      <c r="A11" s="701"/>
      <c r="B11" s="537" t="s">
        <v>376</v>
      </c>
      <c r="C11" s="523">
        <f>G2</f>
        <v>290589</v>
      </c>
      <c r="D11" s="518"/>
      <c r="E11" s="519">
        <f t="shared" si="0"/>
        <v>9</v>
      </c>
      <c r="G11" s="523"/>
      <c r="H11" s="522"/>
      <c r="I11" s="522"/>
      <c r="J11" s="522"/>
      <c r="K11" s="522"/>
      <c r="L11" s="522"/>
      <c r="M11" s="524"/>
      <c r="N11" s="525"/>
      <c r="O11" s="525"/>
      <c r="P11" s="526" t="s">
        <v>329</v>
      </c>
      <c r="Q11" s="4"/>
      <c r="R11" s="527">
        <f>G11+G12+G13+G14</f>
        <v>274555.03534730757</v>
      </c>
      <c r="S11" s="527">
        <f>H11+H12+H13+H14</f>
        <v>74011.922747426579</v>
      </c>
      <c r="T11" s="527">
        <f>I11+I12+I13+I14</f>
        <v>200543.11259988099</v>
      </c>
    </row>
    <row r="12" spans="1:20" ht="13.5" thickBot="1">
      <c r="A12" s="702"/>
      <c r="B12" s="539" t="s">
        <v>377</v>
      </c>
      <c r="C12" s="540" t="s">
        <v>378</v>
      </c>
      <c r="D12" s="518"/>
      <c r="E12" s="519">
        <f t="shared" si="0"/>
        <v>10</v>
      </c>
      <c r="F12" s="520"/>
      <c r="G12" s="523"/>
      <c r="H12" s="522"/>
      <c r="I12" s="522"/>
      <c r="J12" s="522"/>
      <c r="K12" s="522"/>
      <c r="L12" s="522"/>
      <c r="M12" s="524"/>
      <c r="N12" s="525"/>
      <c r="O12" s="525"/>
      <c r="P12" s="526" t="s">
        <v>329</v>
      </c>
      <c r="Q12" s="4"/>
      <c r="R12" s="527"/>
      <c r="S12" s="530"/>
      <c r="T12" s="530"/>
    </row>
    <row r="13" spans="1:20">
      <c r="A13" s="700" t="s">
        <v>379</v>
      </c>
      <c r="B13" s="535" t="s">
        <v>380</v>
      </c>
      <c r="C13" s="536">
        <v>40</v>
      </c>
      <c r="D13" s="518"/>
      <c r="E13" s="519">
        <f t="shared" si="0"/>
        <v>11</v>
      </c>
      <c r="F13" s="520"/>
      <c r="G13" s="523"/>
      <c r="H13" s="522"/>
      <c r="I13" s="522"/>
      <c r="J13" s="522"/>
      <c r="K13" s="522"/>
      <c r="L13" s="522"/>
      <c r="M13" s="524"/>
      <c r="N13" s="525"/>
      <c r="O13" s="525"/>
      <c r="P13" s="526" t="s">
        <v>329</v>
      </c>
      <c r="Q13" s="4"/>
      <c r="R13" s="527"/>
      <c r="S13" s="527"/>
      <c r="T13" s="527"/>
    </row>
    <row r="14" spans="1:20">
      <c r="A14" s="701"/>
      <c r="B14" s="537" t="s">
        <v>381</v>
      </c>
      <c r="C14" s="541">
        <v>0</v>
      </c>
      <c r="D14" s="518"/>
      <c r="E14" s="519">
        <f t="shared" si="0"/>
        <v>12</v>
      </c>
      <c r="F14" s="520">
        <v>44958</v>
      </c>
      <c r="G14" s="523">
        <v>274555.03534730757</v>
      </c>
      <c r="H14" s="522">
        <v>74011.922747426579</v>
      </c>
      <c r="I14" s="522">
        <v>200543.11259988099</v>
      </c>
      <c r="J14" s="522">
        <v>200543.11259988099</v>
      </c>
      <c r="K14" s="522">
        <v>0</v>
      </c>
      <c r="L14" s="522">
        <v>5639467.0687021744</v>
      </c>
      <c r="M14" s="524">
        <v>0</v>
      </c>
      <c r="N14" s="525">
        <v>3.5099999999999999E-2</v>
      </c>
      <c r="O14" s="525">
        <v>0</v>
      </c>
      <c r="P14" s="526" t="s">
        <v>329</v>
      </c>
      <c r="Q14" s="4"/>
      <c r="R14" s="533"/>
      <c r="S14" s="534"/>
      <c r="T14" s="534"/>
    </row>
    <row r="15" spans="1:20">
      <c r="A15" s="701"/>
      <c r="B15" s="537" t="s">
        <v>382</v>
      </c>
      <c r="C15" s="541" t="s">
        <v>383</v>
      </c>
      <c r="D15" s="518"/>
      <c r="E15" s="519">
        <f t="shared" si="0"/>
        <v>13</v>
      </c>
      <c r="G15" s="523"/>
      <c r="H15" s="522"/>
      <c r="I15" s="522"/>
      <c r="J15" s="522"/>
      <c r="K15" s="522"/>
      <c r="L15" s="522"/>
      <c r="M15" s="524"/>
      <c r="N15" s="525"/>
      <c r="O15" s="525"/>
      <c r="P15" s="526" t="s">
        <v>329</v>
      </c>
      <c r="Q15" s="4"/>
      <c r="R15" s="527">
        <f>G15+G16+G17+G18</f>
        <v>274555.03534730757</v>
      </c>
      <c r="S15" s="527">
        <f>H15+H16+H17+H18</f>
        <v>76609.741235861264</v>
      </c>
      <c r="T15" s="527">
        <f>I15+I16+I17+I18</f>
        <v>197945.2941114463</v>
      </c>
    </row>
    <row r="16" spans="1:20">
      <c r="A16" s="701"/>
      <c r="B16" s="537" t="s">
        <v>203</v>
      </c>
      <c r="C16" s="541" t="s">
        <v>384</v>
      </c>
      <c r="D16" s="509"/>
      <c r="E16" s="519">
        <f t="shared" si="0"/>
        <v>14</v>
      </c>
      <c r="F16" s="520"/>
      <c r="G16" s="523"/>
      <c r="H16" s="522"/>
      <c r="I16" s="522"/>
      <c r="J16" s="522"/>
      <c r="K16" s="522"/>
      <c r="L16" s="522"/>
      <c r="M16" s="524"/>
      <c r="N16" s="525"/>
      <c r="O16" s="525"/>
      <c r="P16" s="526" t="s">
        <v>329</v>
      </c>
      <c r="Q16" s="4"/>
      <c r="R16" s="527"/>
      <c r="S16" s="530"/>
      <c r="T16" s="530"/>
    </row>
    <row r="17" spans="1:20">
      <c r="A17" s="701"/>
      <c r="B17" s="537" t="s">
        <v>385</v>
      </c>
      <c r="C17" s="541" t="s">
        <v>386</v>
      </c>
      <c r="D17" s="509"/>
      <c r="E17" s="519">
        <f t="shared" si="0"/>
        <v>15</v>
      </c>
      <c r="F17" s="520"/>
      <c r="G17" s="523"/>
      <c r="H17" s="522"/>
      <c r="I17" s="522"/>
      <c r="J17" s="522"/>
      <c r="K17" s="522"/>
      <c r="L17" s="522"/>
      <c r="M17" s="524"/>
      <c r="N17" s="525"/>
      <c r="O17" s="525"/>
      <c r="P17" s="526" t="s">
        <v>329</v>
      </c>
      <c r="Q17" s="4"/>
      <c r="R17" s="527"/>
      <c r="S17" s="527"/>
      <c r="T17" s="527"/>
    </row>
    <row r="18" spans="1:20">
      <c r="A18" s="701"/>
      <c r="B18" s="537" t="s">
        <v>387</v>
      </c>
      <c r="C18" s="542">
        <v>1.11E-2</v>
      </c>
      <c r="D18" s="509"/>
      <c r="E18" s="519">
        <f t="shared" si="0"/>
        <v>16</v>
      </c>
      <c r="F18" s="520">
        <v>45323</v>
      </c>
      <c r="G18" s="523">
        <v>274555.03534730757</v>
      </c>
      <c r="H18" s="522">
        <v>76609.741235861264</v>
      </c>
      <c r="I18" s="522">
        <v>197945.2941114463</v>
      </c>
      <c r="J18" s="522">
        <v>197945.2941114463</v>
      </c>
      <c r="K18" s="522">
        <v>0</v>
      </c>
      <c r="L18" s="522">
        <v>5562857.3274663128</v>
      </c>
      <c r="M18" s="524">
        <v>0</v>
      </c>
      <c r="N18" s="525">
        <v>3.5099999999999999E-2</v>
      </c>
      <c r="O18" s="525">
        <v>0</v>
      </c>
      <c r="P18" s="526" t="s">
        <v>329</v>
      </c>
      <c r="Q18" s="4"/>
      <c r="R18" s="533"/>
      <c r="S18" s="534"/>
      <c r="T18" s="534"/>
    </row>
    <row r="19" spans="1:20">
      <c r="A19" s="701"/>
      <c r="B19" s="537" t="s">
        <v>388</v>
      </c>
      <c r="C19" s="542"/>
      <c r="D19" s="509"/>
      <c r="E19" s="519">
        <f t="shared" si="0"/>
        <v>17</v>
      </c>
      <c r="G19" s="523"/>
      <c r="H19" s="522"/>
      <c r="I19" s="522"/>
      <c r="J19" s="522"/>
      <c r="K19" s="522"/>
      <c r="L19" s="522"/>
      <c r="M19" s="524"/>
      <c r="N19" s="525"/>
      <c r="O19" s="525"/>
      <c r="P19" s="526" t="s">
        <v>329</v>
      </c>
      <c r="Q19" s="4"/>
      <c r="R19" s="527">
        <f>G19+G20+G21+G22</f>
        <v>274555.03534730757</v>
      </c>
      <c r="S19" s="527">
        <f>H19+H20+H21+H22</f>
        <v>79298.743153239979</v>
      </c>
      <c r="T19" s="527">
        <f>I19+I20+I21+I22</f>
        <v>195256.29219406759</v>
      </c>
    </row>
    <row r="20" spans="1:20">
      <c r="A20" s="701"/>
      <c r="B20" s="537" t="s">
        <v>389</v>
      </c>
      <c r="C20" s="542"/>
      <c r="D20" s="509"/>
      <c r="E20" s="519">
        <f t="shared" si="0"/>
        <v>18</v>
      </c>
      <c r="F20" s="520"/>
      <c r="G20" s="523"/>
      <c r="H20" s="522"/>
      <c r="I20" s="522"/>
      <c r="J20" s="522"/>
      <c r="K20" s="522"/>
      <c r="L20" s="522"/>
      <c r="M20" s="524"/>
      <c r="N20" s="525"/>
      <c r="O20" s="525"/>
      <c r="P20" s="526" t="s">
        <v>329</v>
      </c>
      <c r="Q20" s="4"/>
      <c r="R20" s="527"/>
      <c r="S20" s="530"/>
      <c r="T20" s="530"/>
    </row>
    <row r="21" spans="1:20">
      <c r="A21" s="701"/>
      <c r="B21" s="537" t="s">
        <v>390</v>
      </c>
      <c r="C21" s="541" t="s">
        <v>391</v>
      </c>
      <c r="D21" s="509"/>
      <c r="E21" s="519">
        <f t="shared" si="0"/>
        <v>19</v>
      </c>
      <c r="F21" s="520"/>
      <c r="G21" s="523"/>
      <c r="H21" s="522"/>
      <c r="I21" s="522"/>
      <c r="J21" s="522"/>
      <c r="K21" s="522"/>
      <c r="L21" s="522"/>
      <c r="M21" s="524"/>
      <c r="N21" s="525"/>
      <c r="O21" s="525"/>
      <c r="P21" s="526" t="s">
        <v>329</v>
      </c>
      <c r="Q21" s="4"/>
      <c r="R21" s="527"/>
      <c r="S21" s="527"/>
      <c r="T21" s="527"/>
    </row>
    <row r="22" spans="1:20">
      <c r="A22" s="701"/>
      <c r="B22" s="537" t="s">
        <v>392</v>
      </c>
      <c r="C22" s="542">
        <v>0</v>
      </c>
      <c r="D22" s="509"/>
      <c r="E22" s="519">
        <f t="shared" si="0"/>
        <v>20</v>
      </c>
      <c r="F22" s="520">
        <v>45689</v>
      </c>
      <c r="G22" s="523">
        <v>274555.03534730757</v>
      </c>
      <c r="H22" s="522">
        <v>79298.743153239979</v>
      </c>
      <c r="I22" s="522">
        <v>195256.29219406759</v>
      </c>
      <c r="J22" s="522">
        <v>195256.29219406759</v>
      </c>
      <c r="K22" s="522">
        <v>0</v>
      </c>
      <c r="L22" s="543">
        <v>5483558.5843130732</v>
      </c>
      <c r="M22" s="524">
        <v>0</v>
      </c>
      <c r="N22" s="525">
        <v>3.5099999999999999E-2</v>
      </c>
      <c r="O22" s="525">
        <v>0</v>
      </c>
      <c r="P22" s="526" t="s">
        <v>329</v>
      </c>
      <c r="Q22" s="4"/>
      <c r="R22" s="533"/>
      <c r="S22" s="534"/>
      <c r="T22" s="534"/>
    </row>
    <row r="23" spans="1:20" ht="13.5" thickBot="1">
      <c r="A23" s="702"/>
      <c r="B23" s="539" t="s">
        <v>393</v>
      </c>
      <c r="C23" s="544"/>
      <c r="D23" s="509"/>
      <c r="E23" s="519">
        <f t="shared" si="0"/>
        <v>21</v>
      </c>
      <c r="F23" s="520">
        <v>45778</v>
      </c>
      <c r="G23" s="523">
        <v>67753.364462749858</v>
      </c>
      <c r="H23" s="522">
        <v>20255.831030560374</v>
      </c>
      <c r="I23" s="522">
        <v>47497.533432189484</v>
      </c>
      <c r="J23" s="522">
        <v>47497.533432189484</v>
      </c>
      <c r="K23" s="522">
        <v>0</v>
      </c>
      <c r="L23" s="522">
        <v>5463302.7489694394</v>
      </c>
      <c r="M23" s="524">
        <v>0</v>
      </c>
      <c r="N23" s="525">
        <v>8.6618083383709354E-3</v>
      </c>
      <c r="O23" s="525">
        <v>0</v>
      </c>
      <c r="P23" s="526" t="s">
        <v>329</v>
      </c>
      <c r="Q23" s="4"/>
      <c r="R23" s="527">
        <f>G23+G24+G25+G26</f>
        <v>271013.45785099943</v>
      </c>
      <c r="S23" s="527">
        <f>H23+H24+H25+H26</f>
        <v>82082.128973357685</v>
      </c>
      <c r="T23" s="527">
        <f>I23+I24+I25+I26</f>
        <v>188931.32887764173</v>
      </c>
    </row>
    <row r="24" spans="1:20">
      <c r="A24" s="545" t="s">
        <v>394</v>
      </c>
      <c r="B24" s="508"/>
      <c r="C24" s="508"/>
      <c r="D24" s="509"/>
      <c r="E24" s="519">
        <f t="shared" si="0"/>
        <v>22</v>
      </c>
      <c r="F24" s="520">
        <v>45870</v>
      </c>
      <c r="G24" s="523">
        <v>67753.364462749858</v>
      </c>
      <c r="H24" s="522">
        <v>20431.283156681515</v>
      </c>
      <c r="I24" s="522">
        <v>47322.081306068343</v>
      </c>
      <c r="J24" s="522">
        <v>47322.081306068343</v>
      </c>
      <c r="K24" s="522">
        <v>0</v>
      </c>
      <c r="L24" s="522">
        <v>5442871.4658127576</v>
      </c>
      <c r="M24" s="524">
        <v>0</v>
      </c>
      <c r="N24" s="525">
        <v>8.6618083383709354E-3</v>
      </c>
      <c r="O24" s="525">
        <v>0</v>
      </c>
      <c r="P24" s="526" t="s">
        <v>329</v>
      </c>
      <c r="Q24" s="4"/>
      <c r="R24" s="527"/>
      <c r="S24" s="530"/>
      <c r="T24" s="530"/>
    </row>
    <row r="25" spans="1:20">
      <c r="A25" s="508"/>
      <c r="B25" s="508"/>
      <c r="C25" s="508"/>
      <c r="D25" s="509"/>
      <c r="E25" s="519">
        <f t="shared" si="0"/>
        <v>23</v>
      </c>
      <c r="F25" s="520">
        <v>45962</v>
      </c>
      <c r="G25" s="523">
        <v>67753.364462749843</v>
      </c>
      <c r="H25" s="522">
        <v>20608.255015491661</v>
      </c>
      <c r="I25" s="522">
        <v>47145.109447258183</v>
      </c>
      <c r="J25" s="522">
        <v>47145.109447258183</v>
      </c>
      <c r="K25" s="522">
        <v>0</v>
      </c>
      <c r="L25" s="522">
        <v>5422263.2107972661</v>
      </c>
      <c r="M25" s="524">
        <v>0</v>
      </c>
      <c r="N25" s="525">
        <v>8.6618083383709354E-3</v>
      </c>
      <c r="O25" s="525">
        <v>0</v>
      </c>
      <c r="P25" s="526" t="s">
        <v>329</v>
      </c>
      <c r="Q25" s="4"/>
      <c r="R25" s="527"/>
      <c r="S25" s="527"/>
      <c r="T25" s="527"/>
    </row>
    <row r="26" spans="1:20">
      <c r="A26" s="508"/>
      <c r="B26" s="508"/>
      <c r="C26" s="508"/>
      <c r="D26" s="509"/>
      <c r="E26" s="519">
        <f t="shared" si="0"/>
        <v>24</v>
      </c>
      <c r="F26" s="520">
        <v>46054</v>
      </c>
      <c r="G26" s="523">
        <v>67753.364462749858</v>
      </c>
      <c r="H26" s="522">
        <v>20786.759770624136</v>
      </c>
      <c r="I26" s="522">
        <v>46966.604692125722</v>
      </c>
      <c r="J26" s="522">
        <v>46966.604692125722</v>
      </c>
      <c r="K26" s="522">
        <v>0</v>
      </c>
      <c r="L26" s="522">
        <v>5401476.4510266418</v>
      </c>
      <c r="M26" s="524">
        <v>0</v>
      </c>
      <c r="N26" s="525">
        <v>8.6618083383709354E-3</v>
      </c>
      <c r="O26" s="525">
        <v>0</v>
      </c>
      <c r="P26" s="526" t="s">
        <v>329</v>
      </c>
      <c r="Q26" s="4"/>
      <c r="R26" s="533"/>
      <c r="S26" s="534"/>
      <c r="T26" s="534"/>
    </row>
    <row r="27" spans="1:20">
      <c r="A27" s="508"/>
      <c r="B27" s="508"/>
      <c r="C27" s="508"/>
      <c r="D27" s="509"/>
      <c r="E27" s="519">
        <f t="shared" si="0"/>
        <v>25</v>
      </c>
      <c r="F27" s="520">
        <v>46143</v>
      </c>
      <c r="G27" s="523">
        <v>67753.364462749843</v>
      </c>
      <c r="H27" s="522">
        <v>20966.810699733032</v>
      </c>
      <c r="I27" s="522">
        <v>46786.553763016811</v>
      </c>
      <c r="J27" s="522">
        <v>46786.553763016811</v>
      </c>
      <c r="K27" s="522">
        <v>0</v>
      </c>
      <c r="L27" s="522">
        <v>5380509.6403269088</v>
      </c>
      <c r="M27" s="524">
        <v>0</v>
      </c>
      <c r="N27" s="525">
        <v>8.6618083383709354E-3</v>
      </c>
      <c r="O27" s="525">
        <v>0</v>
      </c>
      <c r="P27" s="526" t="s">
        <v>329</v>
      </c>
      <c r="Q27" s="4"/>
      <c r="R27" s="527">
        <f>G27+G28+G29+G30</f>
        <v>271013.45785099937</v>
      </c>
      <c r="S27" s="527">
        <f>H27+H28+H29+H30</f>
        <v>84963.211700322514</v>
      </c>
      <c r="T27" s="527">
        <f>I27+I28+I29+I30</f>
        <v>186050.24615067686</v>
      </c>
    </row>
    <row r="28" spans="1:20">
      <c r="A28" s="508"/>
      <c r="B28" s="508"/>
      <c r="C28" s="508"/>
      <c r="D28" s="509"/>
      <c r="E28" s="519">
        <f t="shared" si="0"/>
        <v>26</v>
      </c>
      <c r="F28" s="520">
        <v>46235</v>
      </c>
      <c r="G28" s="523">
        <v>67753.364462749843</v>
      </c>
      <c r="H28" s="522">
        <v>21148.421195481023</v>
      </c>
      <c r="I28" s="522">
        <v>46604.94326726882</v>
      </c>
      <c r="J28" s="522">
        <v>46604.94326726882</v>
      </c>
      <c r="K28" s="522">
        <v>0</v>
      </c>
      <c r="L28" s="522">
        <v>5359361.2191314278</v>
      </c>
      <c r="M28" s="524">
        <v>0</v>
      </c>
      <c r="N28" s="525">
        <v>8.6618083383709354E-3</v>
      </c>
      <c r="O28" s="525">
        <v>0</v>
      </c>
      <c r="P28" s="526" t="s">
        <v>329</v>
      </c>
      <c r="Q28" s="4"/>
      <c r="R28" s="527"/>
      <c r="S28" s="530"/>
      <c r="T28" s="530"/>
    </row>
    <row r="29" spans="1:20">
      <c r="A29" s="508"/>
      <c r="B29" s="508"/>
      <c r="C29" s="508"/>
      <c r="D29" s="509"/>
      <c r="E29" s="519">
        <f t="shared" si="0"/>
        <v>27</v>
      </c>
      <c r="F29" s="520">
        <v>46327</v>
      </c>
      <c r="G29" s="523">
        <v>67753.364462749858</v>
      </c>
      <c r="H29" s="522">
        <v>21331.604766535434</v>
      </c>
      <c r="I29" s="522">
        <v>46421.759696214423</v>
      </c>
      <c r="J29" s="522">
        <v>46421.759696214423</v>
      </c>
      <c r="K29" s="522">
        <v>0</v>
      </c>
      <c r="L29" s="522">
        <v>5338029.6143648922</v>
      </c>
      <c r="M29" s="524">
        <v>0</v>
      </c>
      <c r="N29" s="525">
        <v>8.6618083383709354E-3</v>
      </c>
      <c r="O29" s="525">
        <v>0</v>
      </c>
      <c r="P29" s="526" t="s">
        <v>329</v>
      </c>
      <c r="Q29" s="4"/>
      <c r="R29" s="527"/>
      <c r="S29" s="527"/>
      <c r="T29" s="527"/>
    </row>
    <row r="30" spans="1:20">
      <c r="A30" s="508"/>
      <c r="B30" s="508"/>
      <c r="C30" s="508"/>
      <c r="D30" s="509"/>
      <c r="E30" s="519">
        <f t="shared" si="0"/>
        <v>28</v>
      </c>
      <c r="F30" s="520">
        <v>46419</v>
      </c>
      <c r="G30" s="523">
        <v>67753.364462749843</v>
      </c>
      <c r="H30" s="522">
        <v>21516.375038573031</v>
      </c>
      <c r="I30" s="522">
        <v>46236.989424176812</v>
      </c>
      <c r="J30" s="522">
        <v>46236.989424176812</v>
      </c>
      <c r="K30" s="522">
        <v>0</v>
      </c>
      <c r="L30" s="522">
        <v>5316513.2393263197</v>
      </c>
      <c r="M30" s="524">
        <v>0</v>
      </c>
      <c r="N30" s="525">
        <v>8.6618083383709354E-3</v>
      </c>
      <c r="O30" s="525">
        <v>0</v>
      </c>
      <c r="P30" s="526" t="s">
        <v>329</v>
      </c>
      <c r="Q30" s="4"/>
      <c r="R30" s="533"/>
      <c r="S30" s="534"/>
      <c r="T30" s="534"/>
    </row>
    <row r="31" spans="1:20">
      <c r="A31" s="508"/>
      <c r="B31" s="508"/>
      <c r="C31" s="508"/>
      <c r="D31" s="509"/>
      <c r="E31" s="519">
        <f t="shared" si="0"/>
        <v>29</v>
      </c>
      <c r="F31" s="520">
        <v>46508</v>
      </c>
      <c r="G31" s="523">
        <v>67753.364462749843</v>
      </c>
      <c r="H31" s="522">
        <v>21702.745755293654</v>
      </c>
      <c r="I31" s="522">
        <v>46050.618707456189</v>
      </c>
      <c r="J31" s="522">
        <v>46050.618707456189</v>
      </c>
      <c r="K31" s="522">
        <v>0</v>
      </c>
      <c r="L31" s="522">
        <v>5294810.4935710263</v>
      </c>
      <c r="M31" s="524">
        <v>0</v>
      </c>
      <c r="N31" s="525">
        <v>8.6618083383709354E-3</v>
      </c>
      <c r="O31" s="525">
        <v>0</v>
      </c>
      <c r="P31" s="526" t="s">
        <v>329</v>
      </c>
      <c r="Q31" s="4"/>
      <c r="R31" s="527">
        <f>G31+G32+G33+G34</f>
        <v>271013.45785099943</v>
      </c>
      <c r="S31" s="527">
        <f>H31+H32+H33+H34</f>
        <v>87945.420431003848</v>
      </c>
      <c r="T31" s="527">
        <f>I31+I32+I33+I34</f>
        <v>183068.03741999558</v>
      </c>
    </row>
    <row r="32" spans="1:20">
      <c r="A32" s="508"/>
      <c r="B32" s="508"/>
      <c r="C32" s="508"/>
      <c r="D32" s="509"/>
      <c r="E32" s="519">
        <f t="shared" si="0"/>
        <v>30</v>
      </c>
      <c r="F32" s="520">
        <v>46600</v>
      </c>
      <c r="G32" s="523">
        <v>67753.364462749858</v>
      </c>
      <c r="H32" s="522">
        <v>21890.730779442412</v>
      </c>
      <c r="I32" s="522">
        <v>45862.633683307446</v>
      </c>
      <c r="J32" s="522">
        <v>45862.633683307446</v>
      </c>
      <c r="K32" s="522">
        <v>0</v>
      </c>
      <c r="L32" s="522">
        <v>5272919.7627915842</v>
      </c>
      <c r="M32" s="524">
        <v>0</v>
      </c>
      <c r="N32" s="525">
        <v>8.6618083383709354E-3</v>
      </c>
      <c r="O32" s="525">
        <v>0</v>
      </c>
      <c r="P32" s="526" t="s">
        <v>329</v>
      </c>
      <c r="Q32" s="4"/>
      <c r="R32" s="527"/>
      <c r="S32" s="530"/>
      <c r="T32" s="530"/>
    </row>
    <row r="33" spans="1:20">
      <c r="A33" s="508"/>
      <c r="B33" s="508"/>
      <c r="C33" s="508"/>
      <c r="D33" s="509"/>
      <c r="E33" s="519">
        <f t="shared" si="0"/>
        <v>31</v>
      </c>
      <c r="F33" s="520">
        <v>46692</v>
      </c>
      <c r="G33" s="523">
        <v>67753.364462749858</v>
      </c>
      <c r="H33" s="522">
        <v>22080.344093840817</v>
      </c>
      <c r="I33" s="522">
        <v>45673.020368909041</v>
      </c>
      <c r="J33" s="522">
        <v>45673.020368909041</v>
      </c>
      <c r="K33" s="522">
        <v>0</v>
      </c>
      <c r="L33" s="522">
        <v>5250839.4186977437</v>
      </c>
      <c r="M33" s="524">
        <v>0</v>
      </c>
      <c r="N33" s="525">
        <v>8.6618083383709354E-3</v>
      </c>
      <c r="O33" s="525">
        <v>0</v>
      </c>
      <c r="P33" s="526" t="s">
        <v>329</v>
      </c>
      <c r="Q33" s="4"/>
      <c r="R33" s="527"/>
      <c r="S33" s="527"/>
      <c r="T33" s="527"/>
    </row>
    <row r="34" spans="1:20">
      <c r="A34" s="508"/>
      <c r="B34" s="508"/>
      <c r="C34" s="508"/>
      <c r="D34" s="509"/>
      <c r="E34" s="519">
        <f t="shared" si="0"/>
        <v>32</v>
      </c>
      <c r="F34" s="520">
        <v>46784</v>
      </c>
      <c r="G34" s="523">
        <v>67753.364462749872</v>
      </c>
      <c r="H34" s="522">
        <v>22271.599802426957</v>
      </c>
      <c r="I34" s="522">
        <v>45481.764660322915</v>
      </c>
      <c r="J34" s="522">
        <v>45481.764660322915</v>
      </c>
      <c r="K34" s="522">
        <v>0</v>
      </c>
      <c r="L34" s="522">
        <v>5228567.8188953167</v>
      </c>
      <c r="M34" s="524">
        <v>0</v>
      </c>
      <c r="N34" s="525">
        <v>8.6618083383709354E-3</v>
      </c>
      <c r="O34" s="525">
        <v>0</v>
      </c>
      <c r="P34" s="526" t="s">
        <v>329</v>
      </c>
      <c r="Q34" s="4"/>
      <c r="R34" s="533"/>
      <c r="S34" s="534"/>
      <c r="T34" s="534"/>
    </row>
    <row r="35" spans="1:20">
      <c r="A35" s="508"/>
      <c r="B35" s="508"/>
      <c r="C35" s="508"/>
      <c r="D35" s="509"/>
      <c r="E35" s="519">
        <f t="shared" si="0"/>
        <v>33</v>
      </c>
      <c r="F35" s="520">
        <v>46874</v>
      </c>
      <c r="G35" s="523">
        <v>67753.364462749858</v>
      </c>
      <c r="H35" s="522">
        <v>22464.512131304466</v>
      </c>
      <c r="I35" s="522">
        <v>45288.852331445392</v>
      </c>
      <c r="J35" s="522">
        <v>45288.852331445392</v>
      </c>
      <c r="K35" s="522">
        <v>0</v>
      </c>
      <c r="L35" s="522">
        <v>5206103.3067640122</v>
      </c>
      <c r="M35" s="524">
        <v>0</v>
      </c>
      <c r="N35" s="525">
        <v>8.6618083383709354E-3</v>
      </c>
      <c r="O35" s="525">
        <v>0</v>
      </c>
      <c r="P35" s="526" t="s">
        <v>329</v>
      </c>
      <c r="Q35" s="4"/>
      <c r="R35" s="527">
        <f>G35+G36+G37+G38</f>
        <v>271013.45785099943</v>
      </c>
      <c r="S35" s="527">
        <f>H35+H36+H37+H38</f>
        <v>91032.304688132019</v>
      </c>
      <c r="T35" s="527">
        <f>I35+I36+I37+I38</f>
        <v>179981.15316286735</v>
      </c>
    </row>
    <row r="36" spans="1:20">
      <c r="A36" s="508"/>
      <c r="B36" s="508"/>
      <c r="C36" s="508"/>
      <c r="D36" s="509"/>
      <c r="E36" s="519">
        <f t="shared" si="0"/>
        <v>34</v>
      </c>
      <c r="F36" s="520">
        <v>46966</v>
      </c>
      <c r="G36" s="523">
        <v>67753.364462749858</v>
      </c>
      <c r="H36" s="522">
        <v>22659.095429800836</v>
      </c>
      <c r="I36" s="522">
        <v>45094.269032949021</v>
      </c>
      <c r="J36" s="522">
        <v>45094.269032949021</v>
      </c>
      <c r="K36" s="522">
        <v>0</v>
      </c>
      <c r="L36" s="522">
        <v>5183444.2113342118</v>
      </c>
      <c r="M36" s="524">
        <v>0</v>
      </c>
      <c r="N36" s="525">
        <v>8.6618083383709354E-3</v>
      </c>
      <c r="O36" s="525">
        <v>0</v>
      </c>
      <c r="P36" s="526" t="s">
        <v>329</v>
      </c>
      <c r="Q36" s="4"/>
      <c r="R36" s="527"/>
      <c r="S36" s="530"/>
      <c r="T36" s="530"/>
    </row>
    <row r="37" spans="1:20">
      <c r="A37" s="508"/>
      <c r="B37" s="508"/>
      <c r="C37" s="508"/>
      <c r="D37" s="509"/>
      <c r="E37" s="519">
        <f t="shared" si="0"/>
        <v>35</v>
      </c>
      <c r="F37" s="520">
        <v>47058</v>
      </c>
      <c r="G37" s="523">
        <v>67753.364462749843</v>
      </c>
      <c r="H37" s="522">
        <v>22855.364171534609</v>
      </c>
      <c r="I37" s="522">
        <v>44898.000291215234</v>
      </c>
      <c r="J37" s="522">
        <v>44898.000291215234</v>
      </c>
      <c r="K37" s="522">
        <v>0</v>
      </c>
      <c r="L37" s="522">
        <v>5160588.847162677</v>
      </c>
      <c r="M37" s="524">
        <v>0</v>
      </c>
      <c r="N37" s="525">
        <v>8.6618083383709354E-3</v>
      </c>
      <c r="O37" s="525">
        <v>0</v>
      </c>
      <c r="P37" s="526" t="s">
        <v>329</v>
      </c>
      <c r="Q37" s="4"/>
      <c r="R37" s="527"/>
      <c r="S37" s="527"/>
      <c r="T37" s="527"/>
    </row>
    <row r="38" spans="1:20">
      <c r="A38" s="508"/>
      <c r="B38" s="508"/>
      <c r="C38" s="508"/>
      <c r="D38" s="509"/>
      <c r="E38" s="519">
        <f t="shared" si="0"/>
        <v>36</v>
      </c>
      <c r="F38" s="520">
        <v>47150</v>
      </c>
      <c r="G38" s="523">
        <v>67753.364462749843</v>
      </c>
      <c r="H38" s="522">
        <v>23053.332955492115</v>
      </c>
      <c r="I38" s="522">
        <v>44700.031507257729</v>
      </c>
      <c r="J38" s="522">
        <v>44700.031507257729</v>
      </c>
      <c r="K38" s="522">
        <v>0</v>
      </c>
      <c r="L38" s="522">
        <v>5137535.5142071852</v>
      </c>
      <c r="M38" s="524">
        <v>0</v>
      </c>
      <c r="N38" s="525">
        <v>8.6618083383709354E-3</v>
      </c>
      <c r="O38" s="525">
        <v>0</v>
      </c>
      <c r="P38" s="526" t="s">
        <v>329</v>
      </c>
      <c r="Q38" s="4"/>
      <c r="R38" s="533"/>
      <c r="S38" s="534"/>
      <c r="T38" s="534"/>
    </row>
    <row r="39" spans="1:20">
      <c r="A39" s="508"/>
      <c r="B39" s="508"/>
      <c r="C39" s="508"/>
      <c r="D39" s="509"/>
      <c r="E39" s="519">
        <f t="shared" si="0"/>
        <v>37</v>
      </c>
      <c r="F39" s="520">
        <v>47239</v>
      </c>
      <c r="G39" s="523">
        <v>67753.364462749858</v>
      </c>
      <c r="H39" s="522">
        <v>23253.016507113251</v>
      </c>
      <c r="I39" s="522">
        <v>44500.347955636607</v>
      </c>
      <c r="J39" s="522">
        <v>44500.347955636607</v>
      </c>
      <c r="K39" s="522">
        <v>0</v>
      </c>
      <c r="L39" s="522">
        <v>5114282.4977000719</v>
      </c>
      <c r="M39" s="524">
        <v>0</v>
      </c>
      <c r="N39" s="525">
        <v>8.6618083383709354E-3</v>
      </c>
      <c r="O39" s="525">
        <v>0</v>
      </c>
      <c r="P39" s="526" t="s">
        <v>329</v>
      </c>
      <c r="Q39" s="4"/>
      <c r="R39" s="527">
        <f>G39+G40+G41+G42</f>
        <v>271013.45785099937</v>
      </c>
      <c r="S39" s="527">
        <f>H39+H40+H41+H42</f>
        <v>94227.538582685433</v>
      </c>
      <c r="T39" s="527">
        <f>I39+I40+I41+I42</f>
        <v>176785.91926831397</v>
      </c>
    </row>
    <row r="40" spans="1:20">
      <c r="A40" s="508"/>
      <c r="B40" s="508"/>
      <c r="C40" s="508"/>
      <c r="D40" s="509"/>
      <c r="E40" s="519">
        <f t="shared" si="0"/>
        <v>38</v>
      </c>
      <c r="F40" s="520">
        <v>47331</v>
      </c>
      <c r="G40" s="523">
        <v>67753.364462749843</v>
      </c>
      <c r="H40" s="522">
        <v>23454.429679386827</v>
      </c>
      <c r="I40" s="522">
        <v>44298.934783363016</v>
      </c>
      <c r="J40" s="522">
        <v>44298.934783363016</v>
      </c>
      <c r="K40" s="522">
        <v>0</v>
      </c>
      <c r="L40" s="522">
        <v>5090828.0680206846</v>
      </c>
      <c r="M40" s="524">
        <v>0</v>
      </c>
      <c r="N40" s="525">
        <v>8.6618083383709354E-3</v>
      </c>
      <c r="O40" s="525">
        <v>0</v>
      </c>
      <c r="P40" s="526" t="s">
        <v>329</v>
      </c>
      <c r="Q40" s="4"/>
      <c r="R40" s="527"/>
      <c r="S40" s="530"/>
      <c r="T40" s="530"/>
    </row>
    <row r="41" spans="1:20">
      <c r="A41" s="508"/>
      <c r="B41" s="508"/>
      <c r="C41" s="508"/>
      <c r="D41" s="509"/>
      <c r="E41" s="519">
        <f t="shared" si="0"/>
        <v>39</v>
      </c>
      <c r="F41" s="520">
        <v>47423</v>
      </c>
      <c r="G41" s="523">
        <v>67753.364462749829</v>
      </c>
      <c r="H41" s="522">
        <v>23657.587453955464</v>
      </c>
      <c r="I41" s="522">
        <v>44095.777008794365</v>
      </c>
      <c r="J41" s="522">
        <v>44095.777008794365</v>
      </c>
      <c r="K41" s="522">
        <v>0</v>
      </c>
      <c r="L41" s="522">
        <v>5067170.4805667289</v>
      </c>
      <c r="M41" s="524">
        <v>0</v>
      </c>
      <c r="N41" s="525">
        <v>8.6618083383709354E-3</v>
      </c>
      <c r="O41" s="525">
        <v>0</v>
      </c>
      <c r="P41" s="526" t="s">
        <v>329</v>
      </c>
      <c r="Q41" s="4"/>
      <c r="R41" s="527"/>
      <c r="S41" s="527"/>
      <c r="T41" s="527"/>
    </row>
    <row r="42" spans="1:20">
      <c r="A42" s="508"/>
      <c r="B42" s="508"/>
      <c r="C42" s="508"/>
      <c r="D42" s="509"/>
      <c r="E42" s="519">
        <f t="shared" si="0"/>
        <v>40</v>
      </c>
      <c r="F42" s="520">
        <v>47515</v>
      </c>
      <c r="G42" s="523">
        <v>67753.364462749843</v>
      </c>
      <c r="H42" s="522">
        <v>23862.504942229891</v>
      </c>
      <c r="I42" s="522">
        <v>43890.859520519953</v>
      </c>
      <c r="J42" s="522">
        <v>43890.859520519953</v>
      </c>
      <c r="K42" s="522">
        <v>0</v>
      </c>
      <c r="L42" s="522">
        <v>5043307.9756244989</v>
      </c>
      <c r="M42" s="524">
        <v>0</v>
      </c>
      <c r="N42" s="525">
        <v>8.6618083383709354E-3</v>
      </c>
      <c r="O42" s="525">
        <v>0</v>
      </c>
      <c r="P42" s="526" t="s">
        <v>329</v>
      </c>
      <c r="Q42" s="4"/>
      <c r="R42" s="533"/>
      <c r="S42" s="534"/>
      <c r="T42" s="534"/>
    </row>
    <row r="43" spans="1:20">
      <c r="A43" s="508"/>
      <c r="B43" s="508"/>
      <c r="C43" s="508"/>
      <c r="D43" s="509"/>
      <c r="E43" s="519">
        <f t="shared" si="0"/>
        <v>41</v>
      </c>
      <c r="F43" s="520">
        <v>47604</v>
      </c>
      <c r="G43" s="523">
        <v>67753.364462749843</v>
      </c>
      <c r="H43" s="522">
        <v>24069.197386512918</v>
      </c>
      <c r="I43" s="522">
        <v>43684.167076236925</v>
      </c>
      <c r="J43" s="522">
        <v>43684.167076236925</v>
      </c>
      <c r="K43" s="522">
        <v>0</v>
      </c>
      <c r="L43" s="522">
        <v>5019238.7782379864</v>
      </c>
      <c r="M43" s="524">
        <v>0</v>
      </c>
      <c r="N43" s="525">
        <v>8.6618083383709354E-3</v>
      </c>
      <c r="O43" s="525">
        <v>0</v>
      </c>
      <c r="P43" s="526" t="s">
        <v>329</v>
      </c>
      <c r="Q43" s="4"/>
      <c r="R43" s="527">
        <f>G43+G44+G45+G46</f>
        <v>271013.45785099932</v>
      </c>
      <c r="S43" s="527">
        <f>H43+H44+H45+H46</f>
        <v>97534.925186937675</v>
      </c>
      <c r="T43" s="527">
        <f>I43+I44+I45+I46</f>
        <v>173478.53266406167</v>
      </c>
    </row>
    <row r="44" spans="1:20">
      <c r="A44" s="508"/>
      <c r="B44" s="508"/>
      <c r="C44" s="508"/>
      <c r="D44" s="509"/>
      <c r="E44" s="519">
        <f t="shared" si="0"/>
        <v>42</v>
      </c>
      <c r="F44" s="520">
        <v>47696</v>
      </c>
      <c r="G44" s="523">
        <v>67753.364462749843</v>
      </c>
      <c r="H44" s="522">
        <v>24277.680161133307</v>
      </c>
      <c r="I44" s="522">
        <v>43475.684301616537</v>
      </c>
      <c r="J44" s="522">
        <v>43475.684301616537</v>
      </c>
      <c r="K44" s="522">
        <v>0</v>
      </c>
      <c r="L44" s="522">
        <v>4994961.098076853</v>
      </c>
      <c r="M44" s="524">
        <v>0</v>
      </c>
      <c r="N44" s="525">
        <v>8.6618083383709354E-3</v>
      </c>
      <c r="O44" s="525">
        <v>0</v>
      </c>
      <c r="P44" s="526" t="s">
        <v>329</v>
      </c>
      <c r="Q44" s="4"/>
      <c r="R44" s="527"/>
      <c r="S44" s="530"/>
      <c r="T44" s="530"/>
    </row>
    <row r="45" spans="1:20">
      <c r="A45" s="508"/>
      <c r="B45" s="508"/>
      <c r="C45" s="508"/>
      <c r="D45" s="509"/>
      <c r="E45" s="519">
        <f t="shared" si="0"/>
        <v>43</v>
      </c>
      <c r="F45" s="520">
        <v>47788</v>
      </c>
      <c r="G45" s="523">
        <v>67753.364462749829</v>
      </c>
      <c r="H45" s="522">
        <v>24487.968773589302</v>
      </c>
      <c r="I45" s="522">
        <v>43265.395689160527</v>
      </c>
      <c r="J45" s="522">
        <v>43265.395689160527</v>
      </c>
      <c r="K45" s="522">
        <v>0</v>
      </c>
      <c r="L45" s="522">
        <v>4970473.1293032635</v>
      </c>
      <c r="M45" s="524">
        <v>0</v>
      </c>
      <c r="N45" s="525">
        <v>8.6618083383709354E-3</v>
      </c>
      <c r="O45" s="525">
        <v>0</v>
      </c>
      <c r="P45" s="526" t="s">
        <v>329</v>
      </c>
      <c r="Q45" s="4"/>
      <c r="R45" s="527"/>
      <c r="S45" s="527"/>
      <c r="T45" s="527"/>
    </row>
    <row r="46" spans="1:20">
      <c r="A46" s="508"/>
      <c r="B46" s="508"/>
      <c r="C46" s="508"/>
      <c r="D46" s="509"/>
      <c r="E46" s="519">
        <f t="shared" si="0"/>
        <v>44</v>
      </c>
      <c r="F46" s="520">
        <v>47880</v>
      </c>
      <c r="G46" s="523">
        <v>67753.364462749829</v>
      </c>
      <c r="H46" s="522">
        <v>24700.078865702148</v>
      </c>
      <c r="I46" s="522">
        <v>43053.285597047681</v>
      </c>
      <c r="J46" s="522">
        <v>43053.285597047681</v>
      </c>
      <c r="K46" s="522">
        <v>0</v>
      </c>
      <c r="L46" s="522">
        <v>4945773.0504375612</v>
      </c>
      <c r="M46" s="524">
        <v>0</v>
      </c>
      <c r="N46" s="525">
        <v>8.6618083383709354E-3</v>
      </c>
      <c r="O46" s="525">
        <v>0</v>
      </c>
      <c r="P46" s="526" t="s">
        <v>329</v>
      </c>
      <c r="Q46" s="4"/>
      <c r="R46" s="533"/>
      <c r="S46" s="534"/>
      <c r="T46" s="534"/>
    </row>
    <row r="47" spans="1:20">
      <c r="A47" s="508"/>
      <c r="B47" s="508"/>
      <c r="C47" s="508"/>
      <c r="D47" s="509"/>
      <c r="E47" s="519">
        <f t="shared" si="0"/>
        <v>45</v>
      </c>
      <c r="F47" s="520">
        <v>47969</v>
      </c>
      <c r="G47" s="523">
        <v>67753.364462749814</v>
      </c>
      <c r="H47" s="522">
        <v>24914.026214779493</v>
      </c>
      <c r="I47" s="522">
        <v>42839.338247970321</v>
      </c>
      <c r="J47" s="522">
        <v>42839.338247970321</v>
      </c>
      <c r="K47" s="522">
        <v>0</v>
      </c>
      <c r="L47" s="522">
        <v>4920859.0242227819</v>
      </c>
      <c r="M47" s="524">
        <v>0</v>
      </c>
      <c r="N47" s="525">
        <v>8.6618083383709354E-3</v>
      </c>
      <c r="O47" s="525">
        <v>0</v>
      </c>
      <c r="P47" s="526" t="s">
        <v>329</v>
      </c>
      <c r="Q47" s="4"/>
      <c r="R47" s="527">
        <f>G47+G48+G49+G50</f>
        <v>271013.45785099932</v>
      </c>
      <c r="S47" s="527">
        <f>H47+H48+H49+H50</f>
        <v>100958.40106099914</v>
      </c>
      <c r="T47" s="527">
        <f>I47+I48+I49+I50</f>
        <v>170055.05679000018</v>
      </c>
    </row>
    <row r="48" spans="1:20">
      <c r="A48" s="508"/>
      <c r="B48" s="508"/>
      <c r="C48" s="508"/>
      <c r="D48" s="509"/>
      <c r="E48" s="519">
        <f t="shared" si="0"/>
        <v>46</v>
      </c>
      <c r="F48" s="520">
        <v>48061</v>
      </c>
      <c r="G48" s="523">
        <v>67753.364462749829</v>
      </c>
      <c r="H48" s="522">
        <v>25129.826734789072</v>
      </c>
      <c r="I48" s="522">
        <v>42623.537727960756</v>
      </c>
      <c r="J48" s="522">
        <v>42623.537727960756</v>
      </c>
      <c r="K48" s="522">
        <v>0</v>
      </c>
      <c r="L48" s="522">
        <v>4895729.1974879932</v>
      </c>
      <c r="M48" s="524">
        <v>0</v>
      </c>
      <c r="N48" s="525">
        <v>8.6618083383709354E-3</v>
      </c>
      <c r="O48" s="525">
        <v>0</v>
      </c>
      <c r="P48" s="526" t="s">
        <v>329</v>
      </c>
      <c r="Q48" s="4"/>
      <c r="R48" s="527"/>
      <c r="S48" s="530"/>
      <c r="T48" s="530"/>
    </row>
    <row r="49" spans="1:20">
      <c r="A49" s="508"/>
      <c r="B49" s="508"/>
      <c r="C49" s="508"/>
      <c r="D49" s="509"/>
      <c r="E49" s="519">
        <f t="shared" si="0"/>
        <v>47</v>
      </c>
      <c r="F49" s="520">
        <v>48153</v>
      </c>
      <c r="G49" s="523">
        <v>67753.364462749829</v>
      </c>
      <c r="H49" s="522">
        <v>25347.496477542285</v>
      </c>
      <c r="I49" s="522">
        <v>42405.867985207544</v>
      </c>
      <c r="J49" s="522">
        <v>42405.867985207544</v>
      </c>
      <c r="K49" s="522">
        <v>0</v>
      </c>
      <c r="L49" s="522">
        <v>4870381.7010104507</v>
      </c>
      <c r="M49" s="524">
        <v>0</v>
      </c>
      <c r="N49" s="525">
        <v>8.6618083383709354E-3</v>
      </c>
      <c r="O49" s="525">
        <v>0</v>
      </c>
      <c r="P49" s="526" t="s">
        <v>329</v>
      </c>
      <c r="Q49" s="4"/>
      <c r="R49" s="527"/>
      <c r="S49" s="527"/>
      <c r="T49" s="527"/>
    </row>
    <row r="50" spans="1:20">
      <c r="A50" s="508"/>
      <c r="B50" s="508"/>
      <c r="C50" s="508"/>
      <c r="D50" s="509"/>
      <c r="E50" s="519">
        <f t="shared" si="0"/>
        <v>48</v>
      </c>
      <c r="F50" s="520">
        <v>48245</v>
      </c>
      <c r="G50" s="523">
        <v>67753.364462749829</v>
      </c>
      <c r="H50" s="522">
        <v>25567.051633888288</v>
      </c>
      <c r="I50" s="522">
        <v>42186.312828861541</v>
      </c>
      <c r="J50" s="522">
        <v>42186.312828861541</v>
      </c>
      <c r="K50" s="522">
        <v>0</v>
      </c>
      <c r="L50" s="522">
        <v>4844814.6493765628</v>
      </c>
      <c r="M50" s="524">
        <v>0</v>
      </c>
      <c r="N50" s="525">
        <v>8.6618083383709354E-3</v>
      </c>
      <c r="O50" s="525">
        <v>0</v>
      </c>
      <c r="P50" s="526" t="s">
        <v>329</v>
      </c>
      <c r="Q50" s="4"/>
      <c r="R50" s="533"/>
      <c r="S50" s="534"/>
      <c r="T50" s="534"/>
    </row>
    <row r="51" spans="1:20">
      <c r="A51" s="508"/>
      <c r="B51" s="508"/>
      <c r="C51" s="508"/>
      <c r="D51" s="509"/>
      <c r="E51" s="519">
        <f t="shared" si="0"/>
        <v>49</v>
      </c>
      <c r="F51" s="520">
        <v>48335</v>
      </c>
      <c r="G51" s="523">
        <v>67753.364462749829</v>
      </c>
      <c r="H51" s="522">
        <v>25788.508534918255</v>
      </c>
      <c r="I51" s="522">
        <v>41964.855927831573</v>
      </c>
      <c r="J51" s="522">
        <v>41964.855927831573</v>
      </c>
      <c r="K51" s="522">
        <v>0</v>
      </c>
      <c r="L51" s="522">
        <v>4819026.1408416443</v>
      </c>
      <c r="M51" s="524">
        <v>0</v>
      </c>
      <c r="N51" s="525">
        <v>8.6618083383709354E-3</v>
      </c>
      <c r="O51" s="525">
        <v>0</v>
      </c>
      <c r="P51" s="526" t="s">
        <v>329</v>
      </c>
      <c r="Q51" s="4"/>
      <c r="R51" s="527">
        <f>G51+G52+G53+G54</f>
        <v>271013.45785099932</v>
      </c>
      <c r="S51" s="527">
        <f>H51+H52+H53+H54</f>
        <v>104502.0409382402</v>
      </c>
      <c r="T51" s="527">
        <f>I51+I52+I53+I54</f>
        <v>166511.41691275913</v>
      </c>
    </row>
    <row r="52" spans="1:20">
      <c r="A52" s="508"/>
      <c r="B52" s="508"/>
      <c r="C52" s="508"/>
      <c r="D52" s="509"/>
      <c r="E52" s="519">
        <f t="shared" si="0"/>
        <v>50</v>
      </c>
      <c r="F52" s="520">
        <v>48427</v>
      </c>
      <c r="G52" s="523">
        <v>67753.364462749829</v>
      </c>
      <c r="H52" s="522">
        <v>26011.883653180164</v>
      </c>
      <c r="I52" s="522">
        <v>41741.480809569664</v>
      </c>
      <c r="J52" s="522">
        <v>41741.480809569664</v>
      </c>
      <c r="K52" s="522">
        <v>0</v>
      </c>
      <c r="L52" s="522">
        <v>4793014.2571884645</v>
      </c>
      <c r="M52" s="524">
        <v>0</v>
      </c>
      <c r="N52" s="525">
        <v>8.6618083383709354E-3</v>
      </c>
      <c r="O52" s="525">
        <v>0</v>
      </c>
      <c r="P52" s="526" t="s">
        <v>329</v>
      </c>
      <c r="Q52" s="4"/>
      <c r="R52" s="527"/>
      <c r="S52" s="530"/>
      <c r="T52" s="530"/>
    </row>
    <row r="53" spans="1:20">
      <c r="A53" s="508"/>
      <c r="B53" s="508"/>
      <c r="C53" s="508"/>
      <c r="D53" s="509"/>
      <c r="E53" s="519">
        <f t="shared" si="0"/>
        <v>51</v>
      </c>
      <c r="F53" s="520">
        <v>48519</v>
      </c>
      <c r="G53" s="523">
        <v>67753.364462749843</v>
      </c>
      <c r="H53" s="522">
        <v>26237.193603904023</v>
      </c>
      <c r="I53" s="522">
        <v>41516.17085884582</v>
      </c>
      <c r="J53" s="522">
        <v>41516.17085884582</v>
      </c>
      <c r="K53" s="522">
        <v>0</v>
      </c>
      <c r="L53" s="522">
        <v>4766777.0635845605</v>
      </c>
      <c r="M53" s="524">
        <v>0</v>
      </c>
      <c r="N53" s="525">
        <v>8.6618083383709354E-3</v>
      </c>
      <c r="O53" s="525">
        <v>0</v>
      </c>
      <c r="P53" s="526" t="s">
        <v>329</v>
      </c>
      <c r="Q53" s="4"/>
      <c r="R53" s="527"/>
      <c r="S53" s="527"/>
      <c r="T53" s="527"/>
    </row>
    <row r="54" spans="1:20">
      <c r="A54" s="508"/>
      <c r="B54" s="508"/>
      <c r="C54" s="508"/>
      <c r="D54" s="509"/>
      <c r="E54" s="519">
        <f t="shared" si="0"/>
        <v>52</v>
      </c>
      <c r="F54" s="520">
        <v>48611</v>
      </c>
      <c r="G54" s="523">
        <v>67753.364462749829</v>
      </c>
      <c r="H54" s="522">
        <v>26464.455146237757</v>
      </c>
      <c r="I54" s="522">
        <v>41288.909316512072</v>
      </c>
      <c r="J54" s="522">
        <v>41288.909316512072</v>
      </c>
      <c r="K54" s="522">
        <v>0</v>
      </c>
      <c r="L54" s="522">
        <v>4740312.6084383223</v>
      </c>
      <c r="M54" s="524">
        <v>0</v>
      </c>
      <c r="N54" s="525">
        <v>8.6618083383709354E-3</v>
      </c>
      <c r="O54" s="525">
        <v>0</v>
      </c>
      <c r="P54" s="526" t="s">
        <v>329</v>
      </c>
      <c r="Q54" s="4"/>
      <c r="R54" s="533"/>
      <c r="S54" s="534"/>
      <c r="T54" s="534"/>
    </row>
    <row r="55" spans="1:20">
      <c r="A55" s="508"/>
      <c r="B55" s="508"/>
      <c r="C55" s="508"/>
      <c r="D55" s="509"/>
      <c r="E55" s="519">
        <f t="shared" si="0"/>
        <v>53</v>
      </c>
      <c r="F55" s="520">
        <v>48700</v>
      </c>
      <c r="G55" s="523">
        <v>67753.364462749814</v>
      </c>
      <c r="H55" s="522">
        <v>26693.685184493872</v>
      </c>
      <c r="I55" s="522">
        <v>41059.679278255942</v>
      </c>
      <c r="J55" s="522">
        <v>41059.679278255942</v>
      </c>
      <c r="K55" s="522">
        <v>0</v>
      </c>
      <c r="L55" s="522">
        <v>4713618.9232538287</v>
      </c>
      <c r="M55" s="524">
        <v>0</v>
      </c>
      <c r="N55" s="525">
        <v>8.6618083383709354E-3</v>
      </c>
      <c r="O55" s="525">
        <v>0</v>
      </c>
      <c r="P55" s="526" t="s">
        <v>329</v>
      </c>
      <c r="Q55" s="4"/>
      <c r="R55" s="527">
        <f>G55+G56+G57+G58</f>
        <v>271013.45785099926</v>
      </c>
      <c r="S55" s="527">
        <f>H55+H56+H57+H58</f>
        <v>108170.06257517237</v>
      </c>
      <c r="T55" s="527">
        <f>I55+I56+I57+I58</f>
        <v>162843.39527582689</v>
      </c>
    </row>
    <row r="56" spans="1:20">
      <c r="A56" s="508"/>
      <c r="B56" s="508"/>
      <c r="C56" s="508"/>
      <c r="D56" s="509"/>
      <c r="E56" s="519">
        <f t="shared" si="0"/>
        <v>54</v>
      </c>
      <c r="F56" s="520">
        <v>48792</v>
      </c>
      <c r="G56" s="523">
        <v>67753.364462749829</v>
      </c>
      <c r="H56" s="522">
        <v>26924.900769406784</v>
      </c>
      <c r="I56" s="522">
        <v>40828.463693343045</v>
      </c>
      <c r="J56" s="522">
        <v>40828.463693343045</v>
      </c>
      <c r="K56" s="522">
        <v>0</v>
      </c>
      <c r="L56" s="522">
        <v>4686694.0224844217</v>
      </c>
      <c r="M56" s="524">
        <v>0</v>
      </c>
      <c r="N56" s="525">
        <v>8.6618083383709354E-3</v>
      </c>
      <c r="O56" s="525">
        <v>0</v>
      </c>
      <c r="P56" s="526" t="s">
        <v>329</v>
      </c>
      <c r="Q56" s="4"/>
      <c r="R56" s="527"/>
      <c r="S56" s="530"/>
      <c r="T56" s="530"/>
    </row>
    <row r="57" spans="1:20">
      <c r="A57" s="508"/>
      <c r="B57" s="508"/>
      <c r="C57" s="508"/>
      <c r="D57" s="509"/>
      <c r="E57" s="519">
        <f t="shared" si="0"/>
        <v>55</v>
      </c>
      <c r="F57" s="520">
        <v>48884</v>
      </c>
      <c r="G57" s="523">
        <v>67753.364462749814</v>
      </c>
      <c r="H57" s="522">
        <v>27158.119099401032</v>
      </c>
      <c r="I57" s="522">
        <v>40595.245363348782</v>
      </c>
      <c r="J57" s="522">
        <v>40595.245363348782</v>
      </c>
      <c r="K57" s="522">
        <v>0</v>
      </c>
      <c r="L57" s="522">
        <v>4659535.9033850208</v>
      </c>
      <c r="M57" s="524">
        <v>0</v>
      </c>
      <c r="N57" s="525">
        <v>8.6618083383709354E-3</v>
      </c>
      <c r="O57" s="525">
        <v>0</v>
      </c>
      <c r="P57" s="526" t="s">
        <v>329</v>
      </c>
      <c r="Q57" s="4"/>
      <c r="R57" s="527"/>
      <c r="S57" s="527"/>
      <c r="T57" s="527"/>
    </row>
    <row r="58" spans="1:20">
      <c r="A58" s="508"/>
      <c r="B58" s="508"/>
      <c r="C58" s="508"/>
      <c r="D58" s="509"/>
      <c r="E58" s="519">
        <f t="shared" si="0"/>
        <v>56</v>
      </c>
      <c r="F58" s="520">
        <v>48976</v>
      </c>
      <c r="G58" s="523">
        <v>67753.364462749814</v>
      </c>
      <c r="H58" s="522">
        <v>27393.35752187069</v>
      </c>
      <c r="I58" s="522">
        <v>40360.006940879124</v>
      </c>
      <c r="J58" s="522">
        <v>40360.006940879124</v>
      </c>
      <c r="K58" s="522">
        <v>0</v>
      </c>
      <c r="L58" s="522">
        <v>4632142.5458631497</v>
      </c>
      <c r="M58" s="524">
        <v>0</v>
      </c>
      <c r="N58" s="525">
        <v>8.6618083383709354E-3</v>
      </c>
      <c r="O58" s="525">
        <v>0</v>
      </c>
      <c r="P58" s="526" t="s">
        <v>329</v>
      </c>
      <c r="Q58" s="4"/>
      <c r="R58" s="533"/>
      <c r="S58" s="534"/>
      <c r="T58" s="534"/>
    </row>
    <row r="59" spans="1:20">
      <c r="A59" s="508"/>
      <c r="B59" s="508"/>
      <c r="C59" s="508"/>
      <c r="D59" s="509"/>
      <c r="E59" s="519">
        <f t="shared" si="0"/>
        <v>57</v>
      </c>
      <c r="F59" s="520">
        <v>49065</v>
      </c>
      <c r="G59" s="523">
        <v>67753.3644627498</v>
      </c>
      <c r="H59" s="522">
        <v>27630.633534469598</v>
      </c>
      <c r="I59" s="522">
        <v>40122.730928280202</v>
      </c>
      <c r="J59" s="522">
        <v>40122.730928280202</v>
      </c>
      <c r="K59" s="522">
        <v>0</v>
      </c>
      <c r="L59" s="522">
        <v>4604511.91232868</v>
      </c>
      <c r="M59" s="524">
        <v>0</v>
      </c>
      <c r="N59" s="525">
        <v>8.6618083383709354E-3</v>
      </c>
      <c r="O59" s="525">
        <v>0</v>
      </c>
      <c r="P59" s="526" t="s">
        <v>329</v>
      </c>
      <c r="Q59" s="4"/>
      <c r="R59" s="527">
        <f>G59+G60+G61+G62</f>
        <v>271013.4578509992</v>
      </c>
      <c r="S59" s="527">
        <f>H59+H60+H61+H62</f>
        <v>111966.83177156089</v>
      </c>
      <c r="T59" s="527">
        <f>I59+I60+I61+I62</f>
        <v>159046.62607943831</v>
      </c>
    </row>
    <row r="60" spans="1:20">
      <c r="A60" s="508"/>
      <c r="B60" s="508"/>
      <c r="C60" s="508"/>
      <c r="D60" s="509"/>
      <c r="E60" s="519">
        <f t="shared" si="0"/>
        <v>58</v>
      </c>
      <c r="F60" s="520">
        <v>49157</v>
      </c>
      <c r="G60" s="523">
        <v>67753.364462749814</v>
      </c>
      <c r="H60" s="522">
        <v>27869.964786412951</v>
      </c>
      <c r="I60" s="522">
        <v>39883.399676336863</v>
      </c>
      <c r="J60" s="522">
        <v>39883.399676336863</v>
      </c>
      <c r="K60" s="522">
        <v>0</v>
      </c>
      <c r="L60" s="522">
        <v>4576641.9475422669</v>
      </c>
      <c r="M60" s="524">
        <v>0</v>
      </c>
      <c r="N60" s="525">
        <v>8.6618083383709354E-3</v>
      </c>
      <c r="O60" s="525">
        <v>0</v>
      </c>
      <c r="P60" s="526" t="s">
        <v>329</v>
      </c>
      <c r="Q60" s="4"/>
      <c r="R60" s="527"/>
      <c r="S60" s="530"/>
      <c r="T60" s="530"/>
    </row>
    <row r="61" spans="1:20">
      <c r="A61" s="508"/>
      <c r="B61" s="508"/>
      <c r="C61" s="508"/>
      <c r="D61" s="509"/>
      <c r="E61" s="519">
        <f t="shared" si="0"/>
        <v>59</v>
      </c>
      <c r="F61" s="520">
        <v>49249</v>
      </c>
      <c r="G61" s="523">
        <v>67753.3644627498</v>
      </c>
      <c r="H61" s="522">
        <v>28111.369079789998</v>
      </c>
      <c r="I61" s="522">
        <v>39641.995382959802</v>
      </c>
      <c r="J61" s="522">
        <v>39641.995382959802</v>
      </c>
      <c r="K61" s="522">
        <v>0</v>
      </c>
      <c r="L61" s="522">
        <v>4548530.5784624768</v>
      </c>
      <c r="M61" s="524">
        <v>0</v>
      </c>
      <c r="N61" s="525">
        <v>8.6618083383709354E-3</v>
      </c>
      <c r="O61" s="525">
        <v>0</v>
      </c>
      <c r="P61" s="526" t="s">
        <v>329</v>
      </c>
      <c r="Q61" s="4"/>
      <c r="R61" s="527"/>
      <c r="S61" s="527"/>
      <c r="T61" s="527"/>
    </row>
    <row r="62" spans="1:20">
      <c r="A62" s="508"/>
      <c r="B62" s="508"/>
      <c r="C62" s="508"/>
      <c r="D62" s="509"/>
      <c r="E62" s="519">
        <f t="shared" si="0"/>
        <v>60</v>
      </c>
      <c r="F62" s="520">
        <v>49341</v>
      </c>
      <c r="G62" s="523">
        <v>67753.364462749785</v>
      </c>
      <c r="H62" s="522">
        <v>28354.864370888332</v>
      </c>
      <c r="I62" s="522">
        <v>39398.500091861453</v>
      </c>
      <c r="J62" s="522">
        <v>39398.500091861453</v>
      </c>
      <c r="K62" s="522">
        <v>0</v>
      </c>
      <c r="L62" s="522">
        <v>4520175.7140915887</v>
      </c>
      <c r="M62" s="524">
        <v>0</v>
      </c>
      <c r="N62" s="525">
        <v>8.6618083383709354E-3</v>
      </c>
      <c r="O62" s="525">
        <v>0</v>
      </c>
      <c r="P62" s="526" t="s">
        <v>329</v>
      </c>
      <c r="Q62" s="4"/>
      <c r="R62" s="527"/>
      <c r="S62" s="530"/>
      <c r="T62" s="530"/>
    </row>
    <row r="63" spans="1:20">
      <c r="A63" s="508"/>
      <c r="B63" s="508"/>
      <c r="C63" s="508"/>
      <c r="D63" s="509"/>
      <c r="E63" s="519">
        <f t="shared" si="0"/>
        <v>61</v>
      </c>
      <c r="F63" s="520">
        <v>49430</v>
      </c>
      <c r="G63" s="523">
        <v>67753.3644627498</v>
      </c>
      <c r="H63" s="522">
        <v>28600.468771529479</v>
      </c>
      <c r="I63" s="522">
        <v>39152.895691220321</v>
      </c>
      <c r="J63" s="522">
        <v>39152.895691220321</v>
      </c>
      <c r="K63" s="522">
        <v>0</v>
      </c>
      <c r="L63" s="522">
        <v>4491575.2453200594</v>
      </c>
      <c r="M63" s="524">
        <v>0</v>
      </c>
      <c r="N63" s="525">
        <v>8.6618083383709354E-3</v>
      </c>
      <c r="O63" s="525">
        <v>0</v>
      </c>
      <c r="P63" s="526" t="s">
        <v>329</v>
      </c>
      <c r="Q63" s="4"/>
      <c r="R63" s="527">
        <f>G63+G64+G65+G66</f>
        <v>271013.4578509992</v>
      </c>
      <c r="S63" s="527">
        <f>H63+H64+H65+H66</f>
        <v>115896.86756674264</v>
      </c>
      <c r="T63" s="527">
        <f>I63+I64+I65+I66</f>
        <v>155116.59028425656</v>
      </c>
    </row>
    <row r="64" spans="1:20">
      <c r="A64" s="508"/>
      <c r="B64" s="508"/>
      <c r="C64" s="508"/>
      <c r="D64" s="509"/>
      <c r="E64" s="519">
        <f t="shared" si="0"/>
        <v>62</v>
      </c>
      <c r="F64" s="520">
        <v>49522</v>
      </c>
      <c r="G64" s="523">
        <v>67753.364462749814</v>
      </c>
      <c r="H64" s="522">
        <v>28848.200550416041</v>
      </c>
      <c r="I64" s="522">
        <v>38905.163912333774</v>
      </c>
      <c r="J64" s="522">
        <v>38905.163912333774</v>
      </c>
      <c r="K64" s="522">
        <v>0</v>
      </c>
      <c r="L64" s="522">
        <v>4462727.0447696429</v>
      </c>
      <c r="M64" s="524">
        <v>0</v>
      </c>
      <c r="N64" s="525">
        <v>8.6618083383709354E-3</v>
      </c>
      <c r="O64" s="525">
        <v>0</v>
      </c>
      <c r="P64" s="526" t="s">
        <v>329</v>
      </c>
      <c r="Q64" s="4"/>
      <c r="R64" s="527"/>
      <c r="S64" s="530"/>
      <c r="T64" s="530"/>
    </row>
    <row r="65" spans="1:20">
      <c r="A65" s="508"/>
      <c r="B65" s="508"/>
      <c r="C65" s="508"/>
      <c r="D65" s="509"/>
      <c r="E65" s="519">
        <f t="shared" si="0"/>
        <v>63</v>
      </c>
      <c r="F65" s="520">
        <v>49614</v>
      </c>
      <c r="G65" s="523">
        <v>67753.3644627498</v>
      </c>
      <c r="H65" s="522">
        <v>29098.078134490621</v>
      </c>
      <c r="I65" s="522">
        <v>38655.286328259179</v>
      </c>
      <c r="J65" s="522">
        <v>38655.286328259179</v>
      </c>
      <c r="K65" s="522">
        <v>0</v>
      </c>
      <c r="L65" s="522">
        <v>4433628.9666351527</v>
      </c>
      <c r="M65" s="524">
        <v>0</v>
      </c>
      <c r="N65" s="525">
        <v>8.6618083383709354E-3</v>
      </c>
      <c r="O65" s="525">
        <v>0</v>
      </c>
      <c r="P65" s="526" t="s">
        <v>329</v>
      </c>
      <c r="Q65" s="4"/>
      <c r="R65" s="527"/>
      <c r="S65" s="527"/>
      <c r="T65" s="527"/>
    </row>
    <row r="66" spans="1:20">
      <c r="A66" s="508"/>
      <c r="B66" s="508"/>
      <c r="C66" s="508"/>
      <c r="D66" s="509"/>
      <c r="E66" s="519">
        <f t="shared" si="0"/>
        <v>64</v>
      </c>
      <c r="F66" s="520">
        <v>49706</v>
      </c>
      <c r="G66" s="523">
        <v>67753.3644627498</v>
      </c>
      <c r="H66" s="522">
        <v>29350.120110306518</v>
      </c>
      <c r="I66" s="522">
        <v>38403.244352443282</v>
      </c>
      <c r="J66" s="522">
        <v>38403.244352443282</v>
      </c>
      <c r="K66" s="522">
        <v>0</v>
      </c>
      <c r="L66" s="522">
        <v>4404278.8465248458</v>
      </c>
      <c r="M66" s="524">
        <v>0</v>
      </c>
      <c r="N66" s="525">
        <v>8.6618083383709354E-3</v>
      </c>
      <c r="O66" s="525">
        <v>0</v>
      </c>
      <c r="P66" s="526" t="s">
        <v>329</v>
      </c>
      <c r="Q66" s="4"/>
      <c r="R66" s="533"/>
      <c r="S66" s="534"/>
      <c r="T66" s="534"/>
    </row>
    <row r="67" spans="1:20">
      <c r="A67" s="508"/>
      <c r="B67" s="508"/>
      <c r="C67" s="508"/>
      <c r="D67" s="509"/>
      <c r="E67" s="519">
        <f t="shared" si="0"/>
        <v>65</v>
      </c>
      <c r="F67" s="520">
        <v>49796</v>
      </c>
      <c r="G67" s="523">
        <v>67753.364462749785</v>
      </c>
      <c r="H67" s="522">
        <v>29604.34522541015</v>
      </c>
      <c r="I67" s="522">
        <v>38149.019237339635</v>
      </c>
      <c r="J67" s="522">
        <v>38149.019237339635</v>
      </c>
      <c r="K67" s="522">
        <v>0</v>
      </c>
      <c r="L67" s="522">
        <v>4374674.5012994353</v>
      </c>
      <c r="M67" s="524">
        <v>0</v>
      </c>
      <c r="N67" s="525">
        <v>8.6618083383709354E-3</v>
      </c>
      <c r="O67" s="525">
        <v>0</v>
      </c>
      <c r="P67" s="526" t="s">
        <v>329</v>
      </c>
      <c r="Q67" s="4"/>
      <c r="R67" s="527">
        <f>G67+G68+G69+G70</f>
        <v>271013.45785099908</v>
      </c>
      <c r="S67" s="527">
        <f>H67+H68+H69+H70</f>
        <v>119964.84761833525</v>
      </c>
      <c r="T67" s="527">
        <f>I67+I68+I69+I70</f>
        <v>151048.61023266386</v>
      </c>
    </row>
    <row r="68" spans="1:20">
      <c r="A68" s="508"/>
      <c r="B68" s="508"/>
      <c r="C68" s="508"/>
      <c r="D68" s="509"/>
      <c r="E68" s="519">
        <f t="shared" ref="E68:E131" si="1">E67+1</f>
        <v>66</v>
      </c>
      <c r="F68" s="520">
        <v>49888</v>
      </c>
      <c r="G68" s="523">
        <v>67753.364462749771</v>
      </c>
      <c r="H68" s="522">
        <v>29860.772389735612</v>
      </c>
      <c r="I68" s="522">
        <v>37892.592073014159</v>
      </c>
      <c r="J68" s="522">
        <v>37892.592073014159</v>
      </c>
      <c r="K68" s="522">
        <v>0</v>
      </c>
      <c r="L68" s="522">
        <v>4344813.7289096992</v>
      </c>
      <c r="M68" s="524">
        <v>0</v>
      </c>
      <c r="N68" s="525">
        <v>8.6618083383709354E-3</v>
      </c>
      <c r="O68" s="525">
        <v>0</v>
      </c>
      <c r="P68" s="526" t="s">
        <v>329</v>
      </c>
      <c r="Q68" s="4"/>
      <c r="R68" s="527"/>
      <c r="S68" s="530"/>
      <c r="T68" s="530"/>
    </row>
    <row r="69" spans="1:20">
      <c r="A69" s="508"/>
      <c r="B69" s="508"/>
      <c r="C69" s="508"/>
      <c r="D69" s="509"/>
      <c r="E69" s="519">
        <f t="shared" si="1"/>
        <v>67</v>
      </c>
      <c r="F69" s="520">
        <v>49980</v>
      </c>
      <c r="G69" s="523">
        <v>67753.364462749771</v>
      </c>
      <c r="H69" s="522">
        <v>30119.420677011221</v>
      </c>
      <c r="I69" s="522">
        <v>37633.943785738549</v>
      </c>
      <c r="J69" s="522">
        <v>37633.943785738549</v>
      </c>
      <c r="K69" s="522">
        <v>0</v>
      </c>
      <c r="L69" s="522">
        <v>4314694.3082326883</v>
      </c>
      <c r="M69" s="524">
        <v>0</v>
      </c>
      <c r="N69" s="525">
        <v>8.6618083383709354E-3</v>
      </c>
      <c r="O69" s="525">
        <v>0</v>
      </c>
      <c r="P69" s="526" t="s">
        <v>329</v>
      </c>
      <c r="Q69" s="4"/>
      <c r="R69" s="527"/>
      <c r="S69" s="527"/>
      <c r="T69" s="527"/>
    </row>
    <row r="70" spans="1:20">
      <c r="A70" s="508"/>
      <c r="B70" s="508"/>
      <c r="C70" s="508"/>
      <c r="D70" s="509"/>
      <c r="E70" s="519">
        <f t="shared" si="1"/>
        <v>68</v>
      </c>
      <c r="F70" s="520">
        <v>50072</v>
      </c>
      <c r="G70" s="523">
        <v>67753.364462749771</v>
      </c>
      <c r="H70" s="522">
        <v>30380.309326178256</v>
      </c>
      <c r="I70" s="522">
        <v>37373.055136571515</v>
      </c>
      <c r="J70" s="522">
        <v>37373.055136571515</v>
      </c>
      <c r="K70" s="522">
        <v>0</v>
      </c>
      <c r="L70" s="522">
        <v>4284313.99890651</v>
      </c>
      <c r="M70" s="524">
        <v>0</v>
      </c>
      <c r="N70" s="525">
        <v>8.6618083383709354E-3</v>
      </c>
      <c r="O70" s="525">
        <v>0</v>
      </c>
      <c r="P70" s="526" t="s">
        <v>329</v>
      </c>
      <c r="Q70" s="4"/>
      <c r="R70" s="533"/>
      <c r="S70" s="534"/>
      <c r="T70" s="534"/>
    </row>
    <row r="71" spans="1:20">
      <c r="A71" s="508"/>
      <c r="B71" s="508"/>
      <c r="C71" s="508"/>
      <c r="D71" s="509"/>
      <c r="E71" s="519">
        <f t="shared" si="1"/>
        <v>69</v>
      </c>
      <c r="F71" s="520">
        <v>50161</v>
      </c>
      <c r="G71" s="523">
        <v>67753.364462749756</v>
      </c>
      <c r="H71" s="522">
        <v>30643.457742822022</v>
      </c>
      <c r="I71" s="522">
        <v>37109.906719927734</v>
      </c>
      <c r="J71" s="522">
        <v>37109.906719927734</v>
      </c>
      <c r="K71" s="522">
        <v>0</v>
      </c>
      <c r="L71" s="522">
        <v>4253670.5411636876</v>
      </c>
      <c r="M71" s="524">
        <v>0</v>
      </c>
      <c r="N71" s="525">
        <v>8.6618083383709354E-3</v>
      </c>
      <c r="O71" s="525">
        <v>0</v>
      </c>
      <c r="P71" s="526" t="s">
        <v>329</v>
      </c>
      <c r="Q71" s="4"/>
      <c r="R71" s="527">
        <f>G71+G72+G73+G74</f>
        <v>271013.45785099902</v>
      </c>
      <c r="S71" s="527">
        <f>H71+H72+H73+H74</f>
        <v>124175.61376973873</v>
      </c>
      <c r="T71" s="527">
        <f>I71+I72+I73+I74</f>
        <v>146837.84408126029</v>
      </c>
    </row>
    <row r="72" spans="1:20">
      <c r="A72" s="508"/>
      <c r="B72" s="508"/>
      <c r="C72" s="508"/>
      <c r="D72" s="509"/>
      <c r="E72" s="519">
        <f t="shared" si="1"/>
        <v>70</v>
      </c>
      <c r="F72" s="520">
        <v>50253</v>
      </c>
      <c r="G72" s="523">
        <v>67753.364462749756</v>
      </c>
      <c r="H72" s="522">
        <v>30908.885500615317</v>
      </c>
      <c r="I72" s="522">
        <v>36844.478962134439</v>
      </c>
      <c r="J72" s="522">
        <v>36844.478962134439</v>
      </c>
      <c r="K72" s="522">
        <v>0</v>
      </c>
      <c r="L72" s="522">
        <v>4222761.6556630721</v>
      </c>
      <c r="M72" s="524">
        <v>0</v>
      </c>
      <c r="N72" s="525">
        <v>8.6618083383709354E-3</v>
      </c>
      <c r="O72" s="525">
        <v>0</v>
      </c>
      <c r="P72" s="526" t="s">
        <v>329</v>
      </c>
      <c r="Q72" s="4"/>
      <c r="R72" s="527"/>
      <c r="S72" s="530"/>
      <c r="T72" s="530"/>
    </row>
    <row r="73" spans="1:20">
      <c r="A73" s="508"/>
      <c r="B73" s="508"/>
      <c r="C73" s="508"/>
      <c r="D73" s="509"/>
      <c r="E73" s="519">
        <f t="shared" si="1"/>
        <v>71</v>
      </c>
      <c r="F73" s="520">
        <v>50345</v>
      </c>
      <c r="G73" s="523">
        <v>67753.364462749756</v>
      </c>
      <c r="H73" s="522">
        <v>31176.6123427743</v>
      </c>
      <c r="I73" s="522">
        <v>36576.752119975456</v>
      </c>
      <c r="J73" s="522">
        <v>36576.752119975456</v>
      </c>
      <c r="K73" s="522">
        <v>0</v>
      </c>
      <c r="L73" s="522">
        <v>4191585.0433202977</v>
      </c>
      <c r="M73" s="524">
        <v>0</v>
      </c>
      <c r="N73" s="525">
        <v>8.6618083383709354E-3</v>
      </c>
      <c r="O73" s="525">
        <v>0</v>
      </c>
      <c r="P73" s="526" t="s">
        <v>329</v>
      </c>
      <c r="Q73" s="4"/>
      <c r="R73" s="527"/>
      <c r="S73" s="527"/>
      <c r="T73" s="527"/>
    </row>
    <row r="74" spans="1:20">
      <c r="A74" s="508"/>
      <c r="B74" s="508"/>
      <c r="C74" s="508"/>
      <c r="D74" s="509"/>
      <c r="E74" s="519">
        <f t="shared" si="1"/>
        <v>72</v>
      </c>
      <c r="F74" s="520">
        <v>50437</v>
      </c>
      <c r="G74" s="523">
        <v>67753.364462749756</v>
      </c>
      <c r="H74" s="522">
        <v>31446.658183527099</v>
      </c>
      <c r="I74" s="522">
        <v>36306.706279222657</v>
      </c>
      <c r="J74" s="522">
        <v>36306.706279222657</v>
      </c>
      <c r="K74" s="522">
        <v>0</v>
      </c>
      <c r="L74" s="522">
        <v>4160138.3851367706</v>
      </c>
      <c r="M74" s="524">
        <v>0</v>
      </c>
      <c r="N74" s="525">
        <v>8.6618083383709354E-3</v>
      </c>
      <c r="O74" s="525">
        <v>0</v>
      </c>
      <c r="P74" s="526" t="s">
        <v>329</v>
      </c>
      <c r="Q74" s="4"/>
      <c r="R74" s="533"/>
      <c r="S74" s="534"/>
      <c r="T74" s="534"/>
    </row>
    <row r="75" spans="1:20">
      <c r="A75" s="508"/>
      <c r="B75" s="508"/>
      <c r="C75" s="508"/>
      <c r="D75" s="509"/>
      <c r="E75" s="519">
        <f t="shared" si="1"/>
        <v>73</v>
      </c>
      <c r="F75" s="520">
        <v>50526</v>
      </c>
      <c r="G75" s="523">
        <v>67753.364462749756</v>
      </c>
      <c r="H75" s="522">
        <v>31719.043109595077</v>
      </c>
      <c r="I75" s="522">
        <v>36034.321353154679</v>
      </c>
      <c r="J75" s="522">
        <v>36034.321353154679</v>
      </c>
      <c r="K75" s="522">
        <v>0</v>
      </c>
      <c r="L75" s="522">
        <v>4128419.3420271752</v>
      </c>
      <c r="M75" s="524">
        <v>0</v>
      </c>
      <c r="N75" s="525">
        <v>8.6618083383709354E-3</v>
      </c>
      <c r="O75" s="525">
        <v>0</v>
      </c>
      <c r="P75" s="526" t="s">
        <v>329</v>
      </c>
      <c r="Q75" s="4"/>
      <c r="R75" s="527">
        <f>G75+G76+G77+G78</f>
        <v>271013.45785099897</v>
      </c>
      <c r="S75" s="527">
        <f>H75+H76+H77+H78</f>
        <v>128534.17781305654</v>
      </c>
      <c r="T75" s="527">
        <f>I75+I76+I77+I78</f>
        <v>142479.28003794246</v>
      </c>
    </row>
    <row r="76" spans="1:20">
      <c r="A76" s="508"/>
      <c r="B76" s="508"/>
      <c r="C76" s="508"/>
      <c r="D76" s="509"/>
      <c r="E76" s="519">
        <f t="shared" si="1"/>
        <v>74</v>
      </c>
      <c r="F76" s="520">
        <v>50618</v>
      </c>
      <c r="G76" s="523">
        <v>67753.364462749742</v>
      </c>
      <c r="H76" s="522">
        <v>31993.787381686903</v>
      </c>
      <c r="I76" s="522">
        <v>35759.577081062838</v>
      </c>
      <c r="J76" s="522">
        <v>35759.577081062838</v>
      </c>
      <c r="K76" s="522">
        <v>0</v>
      </c>
      <c r="L76" s="522">
        <v>4096425.5546454885</v>
      </c>
      <c r="M76" s="524">
        <v>0</v>
      </c>
      <c r="N76" s="525">
        <v>8.6618083383709354E-3</v>
      </c>
      <c r="O76" s="525">
        <v>0</v>
      </c>
      <c r="P76" s="526" t="s">
        <v>329</v>
      </c>
      <c r="Q76" s="4"/>
      <c r="R76" s="527"/>
      <c r="S76" s="530"/>
      <c r="T76" s="530"/>
    </row>
    <row r="77" spans="1:20">
      <c r="A77" s="508"/>
      <c r="B77" s="508"/>
      <c r="C77" s="508"/>
      <c r="D77" s="509"/>
      <c r="E77" s="519">
        <f t="shared" si="1"/>
        <v>75</v>
      </c>
      <c r="F77" s="520">
        <v>50710</v>
      </c>
      <c r="G77" s="523">
        <v>67753.364462749742</v>
      </c>
      <c r="H77" s="522">
        <v>32270.911436005663</v>
      </c>
      <c r="I77" s="522">
        <v>35482.453026744079</v>
      </c>
      <c r="J77" s="522">
        <v>35482.453026744079</v>
      </c>
      <c r="K77" s="522">
        <v>0</v>
      </c>
      <c r="L77" s="522">
        <v>4064154.643209483</v>
      </c>
      <c r="M77" s="524">
        <v>0</v>
      </c>
      <c r="N77" s="525">
        <v>8.6618083383709354E-3</v>
      </c>
      <c r="O77" s="525">
        <v>0</v>
      </c>
      <c r="P77" s="526" t="s">
        <v>329</v>
      </c>
      <c r="Q77" s="4"/>
      <c r="R77" s="527"/>
      <c r="S77" s="527"/>
      <c r="T77" s="527"/>
    </row>
    <row r="78" spans="1:20">
      <c r="A78" s="508"/>
      <c r="B78" s="508"/>
      <c r="C78" s="508"/>
      <c r="D78" s="509"/>
      <c r="E78" s="519">
        <f t="shared" si="1"/>
        <v>76</v>
      </c>
      <c r="F78" s="520">
        <v>50802</v>
      </c>
      <c r="G78" s="523">
        <v>67753.364462749742</v>
      </c>
      <c r="H78" s="522">
        <v>32550.435885768886</v>
      </c>
      <c r="I78" s="522">
        <v>35202.928576980856</v>
      </c>
      <c r="J78" s="522">
        <v>35202.928576980856</v>
      </c>
      <c r="K78" s="522">
        <v>0</v>
      </c>
      <c r="L78" s="522">
        <v>4031604.2073237142</v>
      </c>
      <c r="M78" s="524">
        <v>0</v>
      </c>
      <c r="N78" s="525">
        <v>8.6618083383709354E-3</v>
      </c>
      <c r="O78" s="525">
        <v>0</v>
      </c>
      <c r="P78" s="526" t="s">
        <v>329</v>
      </c>
      <c r="Q78" s="4"/>
      <c r="R78" s="533"/>
      <c r="S78" s="534"/>
      <c r="T78" s="534"/>
    </row>
    <row r="79" spans="1:20">
      <c r="A79" s="508"/>
      <c r="B79" s="508"/>
      <c r="C79" s="508"/>
      <c r="D79" s="509"/>
      <c r="E79" s="519">
        <f t="shared" si="1"/>
        <v>77</v>
      </c>
      <c r="F79" s="520">
        <v>50891</v>
      </c>
      <c r="G79" s="523">
        <v>67753.364462749727</v>
      </c>
      <c r="H79" s="522">
        <v>32832.381522741831</v>
      </c>
      <c r="I79" s="522">
        <v>34920.982940007896</v>
      </c>
      <c r="J79" s="522">
        <v>34920.982940007896</v>
      </c>
      <c r="K79" s="522">
        <v>0</v>
      </c>
      <c r="L79" s="522">
        <v>3998771.8258009725</v>
      </c>
      <c r="M79" s="524">
        <v>0</v>
      </c>
      <c r="N79" s="525">
        <v>8.6618083383709354E-3</v>
      </c>
      <c r="O79" s="525">
        <v>0</v>
      </c>
      <c r="P79" s="526" t="s">
        <v>329</v>
      </c>
      <c r="Q79" s="4"/>
      <c r="R79" s="527">
        <f>G79+G80+G81+G82</f>
        <v>271013.45785099897</v>
      </c>
      <c r="S79" s="527">
        <f>H79+H80+H81+H82</f>
        <v>133045.72745429474</v>
      </c>
      <c r="T79" s="527">
        <f>I79+I80+I81+I82</f>
        <v>137967.73039670417</v>
      </c>
    </row>
    <row r="80" spans="1:20">
      <c r="A80" s="508"/>
      <c r="B80" s="508"/>
      <c r="C80" s="508"/>
      <c r="D80" s="509"/>
      <c r="E80" s="519">
        <f t="shared" si="1"/>
        <v>78</v>
      </c>
      <c r="F80" s="520">
        <v>50983</v>
      </c>
      <c r="G80" s="523">
        <v>67753.364462749742</v>
      </c>
      <c r="H80" s="522">
        <v>33116.769318784107</v>
      </c>
      <c r="I80" s="522">
        <v>34636.595143965635</v>
      </c>
      <c r="J80" s="522">
        <v>34636.595143965635</v>
      </c>
      <c r="K80" s="522">
        <v>0</v>
      </c>
      <c r="L80" s="522">
        <v>3965655.0564821884</v>
      </c>
      <c r="M80" s="524">
        <v>0</v>
      </c>
      <c r="N80" s="525">
        <v>8.6618083383709354E-3</v>
      </c>
      <c r="O80" s="525">
        <v>0</v>
      </c>
      <c r="P80" s="526" t="s">
        <v>329</v>
      </c>
      <c r="Q80" s="4"/>
      <c r="R80" s="527"/>
      <c r="S80" s="530"/>
      <c r="T80" s="530"/>
    </row>
    <row r="81" spans="1:20">
      <c r="A81" s="508"/>
      <c r="B81" s="508"/>
      <c r="C81" s="508"/>
      <c r="D81" s="509"/>
      <c r="E81" s="519">
        <f t="shared" si="1"/>
        <v>79</v>
      </c>
      <c r="F81" s="520">
        <v>51075</v>
      </c>
      <c r="G81" s="523">
        <v>67753.364462749742</v>
      </c>
      <c r="H81" s="522">
        <v>33403.620427409456</v>
      </c>
      <c r="I81" s="522">
        <v>34349.744035340285</v>
      </c>
      <c r="J81" s="522">
        <v>34349.744035340285</v>
      </c>
      <c r="K81" s="522">
        <v>0</v>
      </c>
      <c r="L81" s="522">
        <v>3932251.4360547788</v>
      </c>
      <c r="M81" s="524">
        <v>0</v>
      </c>
      <c r="N81" s="525">
        <v>8.6618083383709354E-3</v>
      </c>
      <c r="O81" s="525">
        <v>0</v>
      </c>
      <c r="P81" s="526" t="s">
        <v>329</v>
      </c>
      <c r="Q81" s="4"/>
      <c r="R81" s="527"/>
      <c r="S81" s="527"/>
      <c r="T81" s="527"/>
    </row>
    <row r="82" spans="1:20">
      <c r="A82" s="508"/>
      <c r="B82" s="508"/>
      <c r="C82" s="508"/>
      <c r="D82" s="509"/>
      <c r="E82" s="519">
        <f t="shared" si="1"/>
        <v>80</v>
      </c>
      <c r="F82" s="520">
        <v>51167</v>
      </c>
      <c r="G82" s="523">
        <v>67753.364462749712</v>
      </c>
      <c r="H82" s="522">
        <v>33692.956185359348</v>
      </c>
      <c r="I82" s="522">
        <v>34060.408277390365</v>
      </c>
      <c r="J82" s="522">
        <v>34060.408277390365</v>
      </c>
      <c r="K82" s="522">
        <v>0</v>
      </c>
      <c r="L82" s="522">
        <v>3898558.4798694192</v>
      </c>
      <c r="M82" s="524">
        <v>0</v>
      </c>
      <c r="N82" s="525">
        <v>8.6618083383709354E-3</v>
      </c>
      <c r="O82" s="525">
        <v>0</v>
      </c>
      <c r="P82" s="526" t="s">
        <v>329</v>
      </c>
      <c r="Q82" s="4"/>
      <c r="R82" s="533"/>
      <c r="S82" s="534"/>
      <c r="T82" s="534"/>
    </row>
    <row r="83" spans="1:20">
      <c r="A83" s="508"/>
      <c r="B83" s="508"/>
      <c r="C83" s="508"/>
      <c r="D83" s="509"/>
      <c r="E83" s="519">
        <f t="shared" si="1"/>
        <v>81</v>
      </c>
      <c r="F83" s="520">
        <v>51257</v>
      </c>
      <c r="G83" s="523">
        <v>67753.364462749712</v>
      </c>
      <c r="H83" s="522">
        <v>33984.79811419006</v>
      </c>
      <c r="I83" s="522">
        <v>33768.566348559652</v>
      </c>
      <c r="J83" s="522">
        <v>33768.566348559652</v>
      </c>
      <c r="K83" s="522">
        <v>0</v>
      </c>
      <c r="L83" s="522">
        <v>3864573.6817552294</v>
      </c>
      <c r="M83" s="524">
        <v>0</v>
      </c>
      <c r="N83" s="525">
        <v>8.6618083383709354E-3</v>
      </c>
      <c r="O83" s="525">
        <v>0</v>
      </c>
      <c r="P83" s="526" t="s">
        <v>329</v>
      </c>
      <c r="Q83" s="4"/>
      <c r="R83" s="527">
        <f>G83+G84+G85+G86</f>
        <v>271013.45785099885</v>
      </c>
      <c r="S83" s="527">
        <f>H83+H84+H85+H86</f>
        <v>137715.63248794043</v>
      </c>
      <c r="T83" s="527">
        <f>I83+I84+I85+I86</f>
        <v>133297.82536305842</v>
      </c>
    </row>
    <row r="84" spans="1:20">
      <c r="A84" s="508"/>
      <c r="B84" s="508"/>
      <c r="C84" s="508"/>
      <c r="D84" s="509"/>
      <c r="E84" s="519">
        <f t="shared" si="1"/>
        <v>82</v>
      </c>
      <c r="F84" s="520">
        <v>51349</v>
      </c>
      <c r="G84" s="523">
        <v>67753.364462749727</v>
      </c>
      <c r="H84" s="522">
        <v>34279.167921873413</v>
      </c>
      <c r="I84" s="522">
        <v>33474.196540876314</v>
      </c>
      <c r="J84" s="522">
        <v>33474.196540876314</v>
      </c>
      <c r="K84" s="522">
        <v>0</v>
      </c>
      <c r="L84" s="522">
        <v>3830294.5138333561</v>
      </c>
      <c r="M84" s="524">
        <v>0</v>
      </c>
      <c r="N84" s="525">
        <v>8.6618083383709354E-3</v>
      </c>
      <c r="O84" s="525">
        <v>0</v>
      </c>
      <c r="P84" s="526" t="s">
        <v>329</v>
      </c>
      <c r="Q84" s="4"/>
      <c r="R84" s="527"/>
      <c r="S84" s="530"/>
      <c r="T84" s="530"/>
    </row>
    <row r="85" spans="1:20">
      <c r="A85" s="508"/>
      <c r="B85" s="508"/>
      <c r="C85" s="508"/>
      <c r="D85" s="509"/>
      <c r="E85" s="519">
        <f t="shared" si="1"/>
        <v>83</v>
      </c>
      <c r="F85" s="520">
        <v>51441</v>
      </c>
      <c r="G85" s="523">
        <v>67753.364462749712</v>
      </c>
      <c r="H85" s="522">
        <v>34576.087504411502</v>
      </c>
      <c r="I85" s="522">
        <v>33177.276958338211</v>
      </c>
      <c r="J85" s="522">
        <v>33177.276958338211</v>
      </c>
      <c r="K85" s="522">
        <v>0</v>
      </c>
      <c r="L85" s="522">
        <v>3795718.4263289445</v>
      </c>
      <c r="M85" s="524">
        <v>0</v>
      </c>
      <c r="N85" s="525">
        <v>8.6618083383709354E-3</v>
      </c>
      <c r="O85" s="525">
        <v>0</v>
      </c>
      <c r="P85" s="526" t="s">
        <v>329</v>
      </c>
      <c r="Q85" s="4"/>
      <c r="R85" s="527"/>
      <c r="S85" s="527"/>
      <c r="T85" s="527"/>
    </row>
    <row r="86" spans="1:20">
      <c r="A86" s="508"/>
      <c r="B86" s="508"/>
      <c r="C86" s="508"/>
      <c r="D86" s="509"/>
      <c r="E86" s="519">
        <f t="shared" si="1"/>
        <v>84</v>
      </c>
      <c r="F86" s="520">
        <v>51533</v>
      </c>
      <c r="G86" s="523">
        <v>67753.364462749727</v>
      </c>
      <c r="H86" s="522">
        <v>34875.578947465467</v>
      </c>
      <c r="I86" s="522">
        <v>32877.78551528426</v>
      </c>
      <c r="J86" s="522">
        <v>32877.78551528426</v>
      </c>
      <c r="K86" s="522">
        <v>0</v>
      </c>
      <c r="L86" s="522">
        <v>3760842.8473814791</v>
      </c>
      <c r="M86" s="524">
        <v>0</v>
      </c>
      <c r="N86" s="525">
        <v>8.6618083383709354E-3</v>
      </c>
      <c r="O86" s="525">
        <v>0</v>
      </c>
      <c r="P86" s="526" t="s">
        <v>329</v>
      </c>
      <c r="Q86" s="4"/>
      <c r="R86" s="533"/>
      <c r="S86" s="534"/>
      <c r="T86" s="534"/>
    </row>
    <row r="87" spans="1:20">
      <c r="A87" s="508"/>
      <c r="B87" s="508"/>
      <c r="C87" s="508"/>
      <c r="D87" s="509"/>
      <c r="E87" s="519">
        <f t="shared" si="1"/>
        <v>85</v>
      </c>
      <c r="F87" s="520">
        <v>51622</v>
      </c>
      <c r="G87" s="523">
        <v>67753.364462749727</v>
      </c>
      <c r="H87" s="522">
        <v>35177.664527998139</v>
      </c>
      <c r="I87" s="522">
        <v>32575.699934751588</v>
      </c>
      <c r="J87" s="522">
        <v>32575.699934751588</v>
      </c>
      <c r="K87" s="522">
        <v>0</v>
      </c>
      <c r="L87" s="522">
        <v>3725665.1828534808</v>
      </c>
      <c r="M87" s="524">
        <v>0</v>
      </c>
      <c r="N87" s="525">
        <v>8.6618083383709354E-3</v>
      </c>
      <c r="O87" s="525">
        <v>0</v>
      </c>
      <c r="P87" s="526" t="s">
        <v>329</v>
      </c>
      <c r="Q87" s="4"/>
      <c r="R87" s="527">
        <f>G87+G88+G89+G90</f>
        <v>271013.45785099879</v>
      </c>
      <c r="S87" s="527">
        <f>H87+H88+H89+H90</f>
        <v>142549.45118826709</v>
      </c>
      <c r="T87" s="527">
        <f>I87+I88+I89+I90</f>
        <v>128464.00666273173</v>
      </c>
    </row>
    <row r="88" spans="1:20">
      <c r="A88" s="508"/>
      <c r="B88" s="508"/>
      <c r="C88" s="508"/>
      <c r="D88" s="509"/>
      <c r="E88" s="519">
        <f t="shared" si="1"/>
        <v>86</v>
      </c>
      <c r="F88" s="520">
        <v>51714</v>
      </c>
      <c r="G88" s="523">
        <v>67753.364462749712</v>
      </c>
      <c r="H88" s="522">
        <v>35482.366715931159</v>
      </c>
      <c r="I88" s="522">
        <v>32270.997746818557</v>
      </c>
      <c r="J88" s="522">
        <v>32270.997746818557</v>
      </c>
      <c r="K88" s="522">
        <v>0</v>
      </c>
      <c r="L88" s="522">
        <v>3690182.8161375495</v>
      </c>
      <c r="M88" s="524">
        <v>0</v>
      </c>
      <c r="N88" s="525">
        <v>8.6618083383709354E-3</v>
      </c>
      <c r="O88" s="525">
        <v>0</v>
      </c>
      <c r="P88" s="526" t="s">
        <v>329</v>
      </c>
      <c r="Q88" s="4"/>
      <c r="R88" s="527"/>
      <c r="S88" s="530"/>
      <c r="T88" s="530"/>
    </row>
    <row r="89" spans="1:20">
      <c r="A89" s="508"/>
      <c r="B89" s="508"/>
      <c r="C89" s="508"/>
      <c r="D89" s="509"/>
      <c r="E89" s="519">
        <f t="shared" si="1"/>
        <v>87</v>
      </c>
      <c r="F89" s="520">
        <v>51806</v>
      </c>
      <c r="G89" s="523">
        <v>67753.364462749683</v>
      </c>
      <c r="H89" s="522">
        <v>35789.708175816319</v>
      </c>
      <c r="I89" s="522">
        <v>31963.656286933365</v>
      </c>
      <c r="J89" s="522">
        <v>31963.656286933365</v>
      </c>
      <c r="K89" s="522">
        <v>0</v>
      </c>
      <c r="L89" s="522">
        <v>3654393.1079617334</v>
      </c>
      <c r="M89" s="524">
        <v>0</v>
      </c>
      <c r="N89" s="525">
        <v>8.6618083383709354E-3</v>
      </c>
      <c r="O89" s="525">
        <v>0</v>
      </c>
      <c r="P89" s="526" t="s">
        <v>329</v>
      </c>
      <c r="Q89" s="4"/>
      <c r="R89" s="527"/>
      <c r="S89" s="527"/>
      <c r="T89" s="527"/>
    </row>
    <row r="90" spans="1:20">
      <c r="A90" s="508"/>
      <c r="B90" s="508"/>
      <c r="C90" s="508"/>
      <c r="D90" s="509"/>
      <c r="E90" s="519">
        <f t="shared" si="1"/>
        <v>88</v>
      </c>
      <c r="F90" s="520">
        <v>51898</v>
      </c>
      <c r="G90" s="523">
        <v>67753.364462749698</v>
      </c>
      <c r="H90" s="522">
        <v>36099.711768521476</v>
      </c>
      <c r="I90" s="522">
        <v>31653.652694228222</v>
      </c>
      <c r="J90" s="522">
        <v>31653.652694228222</v>
      </c>
      <c r="K90" s="522">
        <v>0</v>
      </c>
      <c r="L90" s="522">
        <v>3618293.3961932119</v>
      </c>
      <c r="M90" s="524">
        <v>0</v>
      </c>
      <c r="N90" s="525">
        <v>8.6618083383709354E-3</v>
      </c>
      <c r="O90" s="525">
        <v>0</v>
      </c>
      <c r="P90" s="526" t="s">
        <v>329</v>
      </c>
      <c r="Q90" s="4"/>
      <c r="R90" s="533"/>
      <c r="S90" s="534"/>
      <c r="T90" s="534"/>
    </row>
    <row r="91" spans="1:20">
      <c r="A91" s="508"/>
      <c r="B91" s="508"/>
      <c r="C91" s="508"/>
      <c r="D91" s="509"/>
      <c r="E91" s="519">
        <f t="shared" si="1"/>
        <v>89</v>
      </c>
      <c r="F91" s="520">
        <v>51987</v>
      </c>
      <c r="G91" s="523">
        <v>67753.364462749698</v>
      </c>
      <c r="H91" s="522">
        <v>36412.400552930849</v>
      </c>
      <c r="I91" s="522">
        <v>31340.963909818853</v>
      </c>
      <c r="J91" s="522">
        <v>31340.963909818853</v>
      </c>
      <c r="K91" s="522">
        <v>0</v>
      </c>
      <c r="L91" s="522">
        <v>3581880.9956402811</v>
      </c>
      <c r="M91" s="524">
        <v>0</v>
      </c>
      <c r="N91" s="525">
        <v>8.6618083383709354E-3</v>
      </c>
      <c r="O91" s="525">
        <v>0</v>
      </c>
      <c r="P91" s="526" t="s">
        <v>329</v>
      </c>
      <c r="Q91" s="4"/>
      <c r="R91" s="527">
        <f>G91+G92+G93+G94</f>
        <v>271013.45785099879</v>
      </c>
      <c r="S91" s="527">
        <f>H91+H92+H93+H94</f>
        <v>147552.93692497525</v>
      </c>
      <c r="T91" s="527">
        <f>I91+I92+I93+I94</f>
        <v>123460.52092602357</v>
      </c>
    </row>
    <row r="92" spans="1:20">
      <c r="A92" s="508"/>
      <c r="B92" s="508"/>
      <c r="C92" s="508"/>
      <c r="D92" s="509"/>
      <c r="E92" s="519">
        <f t="shared" si="1"/>
        <v>90</v>
      </c>
      <c r="F92" s="520">
        <v>52079</v>
      </c>
      <c r="G92" s="523">
        <v>67753.364462749698</v>
      </c>
      <c r="H92" s="522">
        <v>36727.797787660325</v>
      </c>
      <c r="I92" s="522">
        <v>31025.566675089376</v>
      </c>
      <c r="J92" s="522">
        <v>31025.566675089376</v>
      </c>
      <c r="K92" s="522">
        <v>0</v>
      </c>
      <c r="L92" s="522">
        <v>3545153.1978526209</v>
      </c>
      <c r="M92" s="524">
        <v>0</v>
      </c>
      <c r="N92" s="525">
        <v>8.6618083383709354E-3</v>
      </c>
      <c r="O92" s="525">
        <v>0</v>
      </c>
      <c r="P92" s="526" t="s">
        <v>329</v>
      </c>
      <c r="Q92" s="4"/>
      <c r="R92" s="527"/>
      <c r="S92" s="530"/>
      <c r="T92" s="530"/>
    </row>
    <row r="93" spans="1:20">
      <c r="A93" s="508"/>
      <c r="B93" s="508"/>
      <c r="C93" s="508"/>
      <c r="D93" s="509"/>
      <c r="E93" s="519">
        <f t="shared" si="1"/>
        <v>91</v>
      </c>
      <c r="F93" s="520">
        <v>52171</v>
      </c>
      <c r="G93" s="523">
        <v>67753.364462749698</v>
      </c>
      <c r="H93" s="522">
        <v>37045.926932787479</v>
      </c>
      <c r="I93" s="522">
        <v>30707.437529962219</v>
      </c>
      <c r="J93" s="522">
        <v>30707.437529962219</v>
      </c>
      <c r="K93" s="522">
        <v>0</v>
      </c>
      <c r="L93" s="522">
        <v>3508107.2709198333</v>
      </c>
      <c r="M93" s="524">
        <v>0</v>
      </c>
      <c r="N93" s="525">
        <v>8.6618083383709354E-3</v>
      </c>
      <c r="O93" s="525">
        <v>0</v>
      </c>
      <c r="P93" s="526" t="s">
        <v>329</v>
      </c>
      <c r="Q93" s="4"/>
      <c r="R93" s="527"/>
      <c r="S93" s="527"/>
      <c r="T93" s="527"/>
    </row>
    <row r="94" spans="1:20">
      <c r="A94" s="508"/>
      <c r="B94" s="508"/>
      <c r="C94" s="508"/>
      <c r="D94" s="509"/>
      <c r="E94" s="519">
        <f t="shared" si="1"/>
        <v>92</v>
      </c>
      <c r="F94" s="520">
        <v>52263</v>
      </c>
      <c r="G94" s="523">
        <v>67753.364462749698</v>
      </c>
      <c r="H94" s="522">
        <v>37366.811651596581</v>
      </c>
      <c r="I94" s="522">
        <v>30386.55281115312</v>
      </c>
      <c r="J94" s="522">
        <v>30386.55281115312</v>
      </c>
      <c r="K94" s="522">
        <v>0</v>
      </c>
      <c r="L94" s="522">
        <v>3470740.4592682365</v>
      </c>
      <c r="M94" s="524">
        <v>0</v>
      </c>
      <c r="N94" s="525">
        <v>8.6618083383709354E-3</v>
      </c>
      <c r="O94" s="525">
        <v>0</v>
      </c>
      <c r="P94" s="526" t="s">
        <v>329</v>
      </c>
      <c r="Q94" s="4"/>
      <c r="R94" s="533"/>
      <c r="S94" s="534"/>
      <c r="T94" s="534"/>
    </row>
    <row r="95" spans="1:20">
      <c r="A95" s="508"/>
      <c r="B95" s="508"/>
      <c r="C95" s="508"/>
      <c r="D95" s="509"/>
      <c r="E95" s="519">
        <f t="shared" si="1"/>
        <v>93</v>
      </c>
      <c r="F95" s="520">
        <v>52352</v>
      </c>
      <c r="G95" s="523">
        <v>67753.364462749669</v>
      </c>
      <c r="H95" s="522">
        <v>37690.475812338686</v>
      </c>
      <c r="I95" s="522">
        <v>30062.88865041098</v>
      </c>
      <c r="J95" s="522">
        <v>30062.88865041098</v>
      </c>
      <c r="K95" s="522">
        <v>0</v>
      </c>
      <c r="L95" s="522">
        <v>3433049.9834558978</v>
      </c>
      <c r="M95" s="524">
        <v>0</v>
      </c>
      <c r="N95" s="525">
        <v>8.6618083383709354E-3</v>
      </c>
      <c r="O95" s="525">
        <v>0</v>
      </c>
      <c r="P95" s="526" t="s">
        <v>329</v>
      </c>
      <c r="Q95" s="4"/>
      <c r="R95" s="527">
        <f>G95+G96+G97+G98</f>
        <v>271013.45785099867</v>
      </c>
      <c r="S95" s="527">
        <f>H95+H96+H97+H98</f>
        <v>152732.04501104174</v>
      </c>
      <c r="T95" s="527">
        <f>I95+I96+I97+I98</f>
        <v>118281.41283995693</v>
      </c>
    </row>
    <row r="96" spans="1:20">
      <c r="A96" s="508"/>
      <c r="B96" s="508"/>
      <c r="C96" s="508"/>
      <c r="D96" s="509"/>
      <c r="E96" s="519">
        <f t="shared" si="1"/>
        <v>94</v>
      </c>
      <c r="F96" s="520">
        <v>52444</v>
      </c>
      <c r="G96" s="523">
        <v>67753.364462749669</v>
      </c>
      <c r="H96" s="522">
        <v>38016.943490007172</v>
      </c>
      <c r="I96" s="522">
        <v>29736.420972742497</v>
      </c>
      <c r="J96" s="522">
        <v>29736.420972742497</v>
      </c>
      <c r="K96" s="522">
        <v>0</v>
      </c>
      <c r="L96" s="522">
        <v>3395033.0399658908</v>
      </c>
      <c r="M96" s="524">
        <v>0</v>
      </c>
      <c r="N96" s="525">
        <v>8.6618083383709354E-3</v>
      </c>
      <c r="O96" s="525">
        <v>0</v>
      </c>
      <c r="P96" s="526" t="s">
        <v>329</v>
      </c>
      <c r="Q96" s="4"/>
      <c r="R96" s="527"/>
      <c r="S96" s="530"/>
      <c r="T96" s="530"/>
    </row>
    <row r="97" spans="1:20">
      <c r="A97" s="508"/>
      <c r="B97" s="508"/>
      <c r="C97" s="508"/>
      <c r="D97" s="509"/>
      <c r="E97" s="519">
        <f t="shared" si="1"/>
        <v>95</v>
      </c>
      <c r="F97" s="520">
        <v>52536</v>
      </c>
      <c r="G97" s="523">
        <v>67753.364462749669</v>
      </c>
      <c r="H97" s="522">
        <v>38346.238968128295</v>
      </c>
      <c r="I97" s="522">
        <v>29407.125494621378</v>
      </c>
      <c r="J97" s="522">
        <v>29407.125494621378</v>
      </c>
      <c r="K97" s="522">
        <v>0</v>
      </c>
      <c r="L97" s="522">
        <v>3356686.8009977625</v>
      </c>
      <c r="M97" s="524">
        <v>0</v>
      </c>
      <c r="N97" s="525">
        <v>8.6618083383709354E-3</v>
      </c>
      <c r="O97" s="525">
        <v>0</v>
      </c>
      <c r="P97" s="526" t="s">
        <v>329</v>
      </c>
      <c r="Q97" s="4"/>
      <c r="R97" s="527"/>
      <c r="S97" s="527"/>
      <c r="T97" s="527"/>
    </row>
    <row r="98" spans="1:20">
      <c r="A98" s="508"/>
      <c r="B98" s="508"/>
      <c r="C98" s="508"/>
      <c r="D98" s="509"/>
      <c r="E98" s="519">
        <f t="shared" si="1"/>
        <v>96</v>
      </c>
      <c r="F98" s="520">
        <v>52628</v>
      </c>
      <c r="G98" s="523">
        <v>67753.364462749669</v>
      </c>
      <c r="H98" s="522">
        <v>38678.386740567585</v>
      </c>
      <c r="I98" s="522">
        <v>29074.97772218208</v>
      </c>
      <c r="J98" s="522">
        <v>29074.97772218208</v>
      </c>
      <c r="K98" s="522">
        <v>0</v>
      </c>
      <c r="L98" s="522">
        <v>3318008.4142571948</v>
      </c>
      <c r="M98" s="524">
        <v>0</v>
      </c>
      <c r="N98" s="525">
        <v>8.6618083383709354E-3</v>
      </c>
      <c r="O98" s="525">
        <v>0</v>
      </c>
      <c r="P98" s="526" t="s">
        <v>329</v>
      </c>
      <c r="Q98" s="4"/>
      <c r="R98" s="533"/>
      <c r="S98" s="534"/>
      <c r="T98" s="534"/>
    </row>
    <row r="99" spans="1:20">
      <c r="A99" s="508"/>
      <c r="B99" s="508"/>
      <c r="C99" s="508"/>
      <c r="D99" s="509"/>
      <c r="E99" s="519">
        <f t="shared" si="1"/>
        <v>97</v>
      </c>
      <c r="F99" s="520">
        <v>52718</v>
      </c>
      <c r="G99" s="523">
        <v>67753.364462749669</v>
      </c>
      <c r="H99" s="522">
        <v>39013.411513351777</v>
      </c>
      <c r="I99" s="522">
        <v>28739.952949397895</v>
      </c>
      <c r="J99" s="522">
        <v>28739.952949397895</v>
      </c>
      <c r="K99" s="522">
        <v>0</v>
      </c>
      <c r="L99" s="522">
        <v>3278995.002743843</v>
      </c>
      <c r="M99" s="524">
        <v>0</v>
      </c>
      <c r="N99" s="525">
        <v>8.6618083383709354E-3</v>
      </c>
      <c r="O99" s="525">
        <v>0</v>
      </c>
      <c r="P99" s="526" t="s">
        <v>329</v>
      </c>
      <c r="Q99" s="4"/>
      <c r="R99" s="527">
        <f>G99+G100+G101+G102</f>
        <v>271013.45785099862</v>
      </c>
      <c r="S99" s="527">
        <f>H99+H100+H101+H102</f>
        <v>158092.93979092926</v>
      </c>
      <c r="T99" s="527">
        <f>I99+I100+I101+I102</f>
        <v>112920.51806006939</v>
      </c>
    </row>
    <row r="100" spans="1:20">
      <c r="A100" s="508"/>
      <c r="B100" s="508"/>
      <c r="C100" s="508"/>
      <c r="D100" s="509"/>
      <c r="E100" s="519">
        <f t="shared" si="1"/>
        <v>98</v>
      </c>
      <c r="F100" s="520">
        <v>52810</v>
      </c>
      <c r="G100" s="523">
        <v>67753.364462749654</v>
      </c>
      <c r="H100" s="522">
        <v>39351.338206506407</v>
      </c>
      <c r="I100" s="522">
        <v>28402.026256243247</v>
      </c>
      <c r="J100" s="522">
        <v>28402.026256243247</v>
      </c>
      <c r="K100" s="522">
        <v>0</v>
      </c>
      <c r="L100" s="522">
        <v>3239643.6645373367</v>
      </c>
      <c r="M100" s="524">
        <v>0</v>
      </c>
      <c r="N100" s="525">
        <v>8.6618083383709354E-3</v>
      </c>
      <c r="O100" s="525">
        <v>0</v>
      </c>
      <c r="P100" s="526" t="s">
        <v>329</v>
      </c>
      <c r="Q100" s="4"/>
      <c r="R100" s="527"/>
      <c r="S100" s="530"/>
      <c r="T100" s="530"/>
    </row>
    <row r="101" spans="1:20">
      <c r="A101" s="508"/>
      <c r="B101" s="508"/>
      <c r="C101" s="508"/>
      <c r="D101" s="509"/>
      <c r="E101" s="519">
        <f t="shared" si="1"/>
        <v>99</v>
      </c>
      <c r="F101" s="520">
        <v>52902</v>
      </c>
      <c r="G101" s="523">
        <v>67753.364462749654</v>
      </c>
      <c r="H101" s="522">
        <v>39692.191955909577</v>
      </c>
      <c r="I101" s="522">
        <v>28061.172506840077</v>
      </c>
      <c r="J101" s="522">
        <v>28061.172506840077</v>
      </c>
      <c r="K101" s="522">
        <v>0</v>
      </c>
      <c r="L101" s="522">
        <v>3199951.4725814271</v>
      </c>
      <c r="M101" s="524">
        <v>0</v>
      </c>
      <c r="N101" s="525">
        <v>8.6618083383709354E-3</v>
      </c>
      <c r="O101" s="525">
        <v>0</v>
      </c>
      <c r="P101" s="526" t="s">
        <v>329</v>
      </c>
      <c r="Q101" s="4"/>
      <c r="R101" s="527"/>
      <c r="S101" s="527"/>
      <c r="T101" s="527"/>
    </row>
    <row r="102" spans="1:20">
      <c r="A102" s="508"/>
      <c r="B102" s="508"/>
      <c r="C102" s="508"/>
      <c r="D102" s="509"/>
      <c r="E102" s="519">
        <f t="shared" si="1"/>
        <v>100</v>
      </c>
      <c r="F102" s="520">
        <v>52994</v>
      </c>
      <c r="G102" s="523">
        <v>67753.364462749654</v>
      </c>
      <c r="H102" s="522">
        <v>40035.998115161492</v>
      </c>
      <c r="I102" s="522">
        <v>27717.366347588159</v>
      </c>
      <c r="J102" s="522">
        <v>27717.366347588159</v>
      </c>
      <c r="K102" s="522">
        <v>0</v>
      </c>
      <c r="L102" s="522">
        <v>3159915.4744662656</v>
      </c>
      <c r="M102" s="524">
        <v>0</v>
      </c>
      <c r="N102" s="525">
        <v>8.6618083383709354E-3</v>
      </c>
      <c r="O102" s="525">
        <v>0</v>
      </c>
      <c r="P102" s="526" t="s">
        <v>329</v>
      </c>
      <c r="Q102" s="4"/>
      <c r="R102" s="533"/>
      <c r="S102" s="534"/>
      <c r="T102" s="534"/>
    </row>
    <row r="103" spans="1:20">
      <c r="A103" s="508"/>
      <c r="B103" s="508"/>
      <c r="C103" s="508"/>
      <c r="D103" s="509"/>
      <c r="E103" s="519">
        <f t="shared" si="1"/>
        <v>101</v>
      </c>
      <c r="F103" s="520">
        <v>53083</v>
      </c>
      <c r="G103" s="523">
        <v>67753.364462749654</v>
      </c>
      <c r="H103" s="522">
        <v>40382.782257470404</v>
      </c>
      <c r="I103" s="522">
        <v>27370.58220527925</v>
      </c>
      <c r="J103" s="522">
        <v>27370.58220527925</v>
      </c>
      <c r="K103" s="522">
        <v>0</v>
      </c>
      <c r="L103" s="522">
        <v>3119532.6922087953</v>
      </c>
      <c r="M103" s="524">
        <v>0</v>
      </c>
      <c r="N103" s="525">
        <v>8.6618083383709354E-3</v>
      </c>
      <c r="O103" s="525">
        <v>0</v>
      </c>
      <c r="P103" s="526" t="s">
        <v>329</v>
      </c>
      <c r="Q103" s="4"/>
      <c r="R103" s="527">
        <f>G103+G104+G105+G106</f>
        <v>271013.45785099856</v>
      </c>
      <c r="S103" s="527">
        <f>H103+H104+H105+H106</f>
        <v>163642.00197759079</v>
      </c>
      <c r="T103" s="527">
        <f>I103+I104+I105+I106</f>
        <v>107371.45587340777</v>
      </c>
    </row>
    <row r="104" spans="1:20">
      <c r="A104" s="508"/>
      <c r="B104" s="508"/>
      <c r="C104" s="508"/>
      <c r="D104" s="509"/>
      <c r="E104" s="519">
        <f t="shared" si="1"/>
        <v>102</v>
      </c>
      <c r="F104" s="520">
        <v>53175</v>
      </c>
      <c r="G104" s="523">
        <v>67753.36446274964</v>
      </c>
      <c r="H104" s="522">
        <v>40732.570177554764</v>
      </c>
      <c r="I104" s="522">
        <v>27020.794285194876</v>
      </c>
      <c r="J104" s="522">
        <v>27020.794285194876</v>
      </c>
      <c r="K104" s="522">
        <v>0</v>
      </c>
      <c r="L104" s="522">
        <v>3078800.1220312407</v>
      </c>
      <c r="M104" s="524">
        <v>0</v>
      </c>
      <c r="N104" s="525">
        <v>8.6618083383709354E-3</v>
      </c>
      <c r="O104" s="525">
        <v>0</v>
      </c>
      <c r="P104" s="526" t="s">
        <v>329</v>
      </c>
      <c r="Q104" s="4"/>
      <c r="R104" s="527"/>
      <c r="S104" s="530"/>
      <c r="T104" s="530"/>
    </row>
    <row r="105" spans="1:20">
      <c r="A105" s="508"/>
      <c r="B105" s="508"/>
      <c r="C105" s="508"/>
      <c r="D105" s="509"/>
      <c r="E105" s="519">
        <f t="shared" si="1"/>
        <v>103</v>
      </c>
      <c r="F105" s="520">
        <v>53267</v>
      </c>
      <c r="G105" s="523">
        <v>67753.36446274964</v>
      </c>
      <c r="H105" s="522">
        <v>41085.387893561987</v>
      </c>
      <c r="I105" s="522">
        <v>26667.976569187653</v>
      </c>
      <c r="J105" s="522">
        <v>26667.976569187653</v>
      </c>
      <c r="K105" s="522">
        <v>0</v>
      </c>
      <c r="L105" s="522">
        <v>3037714.7341376785</v>
      </c>
      <c r="M105" s="524">
        <v>0</v>
      </c>
      <c r="N105" s="525">
        <v>8.6618083383709354E-3</v>
      </c>
      <c r="O105" s="525">
        <v>0</v>
      </c>
      <c r="P105" s="526" t="s">
        <v>329</v>
      </c>
      <c r="Q105" s="4"/>
      <c r="R105" s="527"/>
      <c r="S105" s="527"/>
      <c r="T105" s="527"/>
    </row>
    <row r="106" spans="1:20">
      <c r="A106" s="508"/>
      <c r="B106" s="508"/>
      <c r="C106" s="508"/>
      <c r="D106" s="509"/>
      <c r="E106" s="519">
        <f t="shared" si="1"/>
        <v>104</v>
      </c>
      <c r="F106" s="520">
        <v>53359</v>
      </c>
      <c r="G106" s="523">
        <v>67753.364462749625</v>
      </c>
      <c r="H106" s="522">
        <v>41441.261649003631</v>
      </c>
      <c r="I106" s="522">
        <v>26312.102813745994</v>
      </c>
      <c r="J106" s="522">
        <v>26312.102813745994</v>
      </c>
      <c r="K106" s="522">
        <v>0</v>
      </c>
      <c r="L106" s="522">
        <v>2996273.4724886748</v>
      </c>
      <c r="M106" s="524">
        <v>0</v>
      </c>
      <c r="N106" s="525">
        <v>8.6618083383709354E-3</v>
      </c>
      <c r="O106" s="525">
        <v>0</v>
      </c>
      <c r="P106" s="526" t="s">
        <v>329</v>
      </c>
      <c r="Q106" s="4"/>
      <c r="R106" s="533"/>
      <c r="S106" s="534"/>
      <c r="T106" s="534"/>
    </row>
    <row r="107" spans="1:20">
      <c r="A107" s="508"/>
      <c r="B107" s="508"/>
      <c r="C107" s="508"/>
      <c r="D107" s="509"/>
      <c r="E107" s="519">
        <f t="shared" si="1"/>
        <v>105</v>
      </c>
      <c r="F107" s="520">
        <v>53448</v>
      </c>
      <c r="G107" s="523">
        <v>67753.364462749625</v>
      </c>
      <c r="H107" s="522">
        <v>41800.21791470758</v>
      </c>
      <c r="I107" s="522">
        <v>25953.146548042041</v>
      </c>
      <c r="J107" s="522">
        <v>25953.146548042041</v>
      </c>
      <c r="K107" s="522">
        <v>0</v>
      </c>
      <c r="L107" s="522">
        <v>2954473.2545739673</v>
      </c>
      <c r="M107" s="524">
        <v>0</v>
      </c>
      <c r="N107" s="525">
        <v>8.6618083383709354E-3</v>
      </c>
      <c r="O107" s="525">
        <v>0</v>
      </c>
      <c r="P107" s="526" t="s">
        <v>329</v>
      </c>
      <c r="Q107" s="4"/>
      <c r="R107" s="527">
        <f>G107+G108+G109+G110</f>
        <v>271013.4578509985</v>
      </c>
      <c r="S107" s="527">
        <f>H107+H108+H109+H110</f>
        <v>169385.83624700413</v>
      </c>
      <c r="T107" s="527">
        <f>I107+I108+I109+I110</f>
        <v>101627.62160399434</v>
      </c>
    </row>
    <row r="108" spans="1:20">
      <c r="A108" s="508"/>
      <c r="B108" s="508"/>
      <c r="C108" s="508"/>
      <c r="D108" s="509"/>
      <c r="E108" s="519">
        <f t="shared" si="1"/>
        <v>106</v>
      </c>
      <c r="F108" s="520">
        <v>53540</v>
      </c>
      <c r="G108" s="523">
        <v>67753.364462749625</v>
      </c>
      <c r="H108" s="522">
        <v>42162.283390786921</v>
      </c>
      <c r="I108" s="522">
        <v>25591.081071962704</v>
      </c>
      <c r="J108" s="522">
        <v>25591.081071962704</v>
      </c>
      <c r="K108" s="522">
        <v>0</v>
      </c>
      <c r="L108" s="522">
        <v>2912310.9711831803</v>
      </c>
      <c r="M108" s="524">
        <v>0</v>
      </c>
      <c r="N108" s="525">
        <v>8.6618083383709354E-3</v>
      </c>
      <c r="O108" s="525">
        <v>0</v>
      </c>
      <c r="P108" s="526" t="s">
        <v>329</v>
      </c>
      <c r="Q108" s="4"/>
      <c r="R108" s="527"/>
      <c r="S108" s="530"/>
      <c r="T108" s="530"/>
    </row>
    <row r="109" spans="1:20">
      <c r="A109" s="508"/>
      <c r="B109" s="508"/>
      <c r="C109" s="508"/>
      <c r="D109" s="509"/>
      <c r="E109" s="519">
        <f t="shared" si="1"/>
        <v>107</v>
      </c>
      <c r="F109" s="520">
        <v>53632</v>
      </c>
      <c r="G109" s="523">
        <v>67753.364462749611</v>
      </c>
      <c r="H109" s="522">
        <v>42527.485008625983</v>
      </c>
      <c r="I109" s="522">
        <v>25225.879454123628</v>
      </c>
      <c r="J109" s="522">
        <v>25225.879454123628</v>
      </c>
      <c r="K109" s="522">
        <v>0</v>
      </c>
      <c r="L109" s="522">
        <v>2869783.4861745546</v>
      </c>
      <c r="M109" s="524">
        <v>0</v>
      </c>
      <c r="N109" s="525">
        <v>8.6618083383709354E-3</v>
      </c>
      <c r="O109" s="525">
        <v>0</v>
      </c>
      <c r="P109" s="526" t="s">
        <v>329</v>
      </c>
      <c r="Q109" s="4"/>
      <c r="R109" s="527"/>
      <c r="S109" s="527"/>
      <c r="T109" s="527"/>
    </row>
    <row r="110" spans="1:20">
      <c r="A110" s="508"/>
      <c r="B110" s="508"/>
      <c r="C110" s="508"/>
      <c r="D110" s="509"/>
      <c r="E110" s="519">
        <f t="shared" si="1"/>
        <v>108</v>
      </c>
      <c r="F110" s="520">
        <v>53724</v>
      </c>
      <c r="G110" s="523">
        <v>67753.364462749625</v>
      </c>
      <c r="H110" s="522">
        <v>42895.849932883655</v>
      </c>
      <c r="I110" s="522">
        <v>24857.51452986597</v>
      </c>
      <c r="J110" s="522">
        <v>24857.51452986597</v>
      </c>
      <c r="K110" s="522">
        <v>0</v>
      </c>
      <c r="L110" s="522">
        <v>2826887.6362416707</v>
      </c>
      <c r="M110" s="524">
        <v>0</v>
      </c>
      <c r="N110" s="525">
        <v>8.6618083383709354E-3</v>
      </c>
      <c r="O110" s="525">
        <v>0</v>
      </c>
      <c r="P110" s="526" t="s">
        <v>329</v>
      </c>
      <c r="Q110" s="4"/>
      <c r="R110" s="533"/>
      <c r="S110" s="534"/>
      <c r="T110" s="534"/>
    </row>
    <row r="111" spans="1:20">
      <c r="A111" s="508"/>
      <c r="B111" s="508"/>
      <c r="C111" s="508"/>
      <c r="D111" s="509"/>
      <c r="E111" s="519">
        <f t="shared" si="1"/>
        <v>109</v>
      </c>
      <c r="F111" s="520">
        <v>53813</v>
      </c>
      <c r="G111" s="523">
        <v>67753.364462749611</v>
      </c>
      <c r="H111" s="522">
        <v>43267.405563513807</v>
      </c>
      <c r="I111" s="522">
        <v>24485.958899235808</v>
      </c>
      <c r="J111" s="522">
        <v>24485.958899235808</v>
      </c>
      <c r="K111" s="522">
        <v>0</v>
      </c>
      <c r="L111" s="522">
        <v>2783620.2306781569</v>
      </c>
      <c r="M111" s="524">
        <v>0</v>
      </c>
      <c r="N111" s="525">
        <v>8.6618083383709354E-3</v>
      </c>
      <c r="O111" s="525">
        <v>0</v>
      </c>
      <c r="P111" s="526" t="s">
        <v>329</v>
      </c>
      <c r="Q111" s="4"/>
      <c r="R111" s="527">
        <f>G111+G112+G113+G114</f>
        <v>271013.45785099838</v>
      </c>
      <c r="S111" s="527">
        <f>H111+H112+H113+H114</f>
        <v>175331.2790992739</v>
      </c>
      <c r="T111" s="527">
        <f>I111+I112+I113+I114</f>
        <v>95682.17875172451</v>
      </c>
    </row>
    <row r="112" spans="1:20">
      <c r="A112" s="508"/>
      <c r="B112" s="508"/>
      <c r="C112" s="508"/>
      <c r="D112" s="509"/>
      <c r="E112" s="519">
        <f t="shared" si="1"/>
        <v>110</v>
      </c>
      <c r="F112" s="520">
        <v>53905</v>
      </c>
      <c r="G112" s="523">
        <v>67753.364462749596</v>
      </c>
      <c r="H112" s="522">
        <v>43642.179537803509</v>
      </c>
      <c r="I112" s="522">
        <v>24111.184924946087</v>
      </c>
      <c r="J112" s="522">
        <v>24111.184924946087</v>
      </c>
      <c r="K112" s="522">
        <v>0</v>
      </c>
      <c r="L112" s="522">
        <v>2739978.0511403535</v>
      </c>
      <c r="M112" s="524">
        <v>0</v>
      </c>
      <c r="N112" s="525">
        <v>8.6618083383709354E-3</v>
      </c>
      <c r="O112" s="525">
        <v>0</v>
      </c>
      <c r="P112" s="526" t="s">
        <v>329</v>
      </c>
      <c r="Q112" s="4"/>
      <c r="R112" s="527"/>
      <c r="S112" s="530"/>
      <c r="T112" s="530"/>
    </row>
    <row r="113" spans="1:20">
      <c r="A113" s="508"/>
      <c r="B113" s="508"/>
      <c r="C113" s="508"/>
      <c r="D113" s="509"/>
      <c r="E113" s="519">
        <f t="shared" si="1"/>
        <v>111</v>
      </c>
      <c r="F113" s="520">
        <v>53997</v>
      </c>
      <c r="G113" s="523">
        <v>67753.364462749596</v>
      </c>
      <c r="H113" s="522">
        <v>44020.199732428737</v>
      </c>
      <c r="I113" s="522">
        <v>23733.164730320859</v>
      </c>
      <c r="J113" s="522">
        <v>23733.164730320859</v>
      </c>
      <c r="K113" s="522">
        <v>0</v>
      </c>
      <c r="L113" s="522">
        <v>2695957.8514079247</v>
      </c>
      <c r="M113" s="524">
        <v>0</v>
      </c>
      <c r="N113" s="525">
        <v>8.6618083383709354E-3</v>
      </c>
      <c r="O113" s="525">
        <v>0</v>
      </c>
      <c r="P113" s="526" t="s">
        <v>329</v>
      </c>
      <c r="Q113" s="4"/>
      <c r="R113" s="527"/>
      <c r="S113" s="527"/>
      <c r="T113" s="527"/>
    </row>
    <row r="114" spans="1:20">
      <c r="A114" s="508"/>
      <c r="B114" s="508"/>
      <c r="C114" s="508"/>
      <c r="D114" s="509"/>
      <c r="E114" s="519">
        <f t="shared" si="1"/>
        <v>112</v>
      </c>
      <c r="F114" s="520">
        <v>54089</v>
      </c>
      <c r="G114" s="523">
        <v>67753.364462749596</v>
      </c>
      <c r="H114" s="522">
        <v>44401.494265527843</v>
      </c>
      <c r="I114" s="522">
        <v>23351.870197221753</v>
      </c>
      <c r="J114" s="522">
        <v>23351.870197221753</v>
      </c>
      <c r="K114" s="522">
        <v>0</v>
      </c>
      <c r="L114" s="522">
        <v>2651556.3571423967</v>
      </c>
      <c r="M114" s="524">
        <v>0</v>
      </c>
      <c r="N114" s="525">
        <v>8.6618083383709354E-3</v>
      </c>
      <c r="O114" s="525">
        <v>0</v>
      </c>
      <c r="P114" s="526" t="s">
        <v>329</v>
      </c>
      <c r="Q114" s="4"/>
      <c r="R114" s="533"/>
      <c r="S114" s="534"/>
      <c r="T114" s="534"/>
    </row>
    <row r="115" spans="1:20">
      <c r="A115" s="508"/>
      <c r="B115" s="508"/>
      <c r="C115" s="508"/>
      <c r="D115" s="509"/>
      <c r="E115" s="519">
        <f t="shared" si="1"/>
        <v>113</v>
      </c>
      <c r="F115" s="520">
        <v>54179</v>
      </c>
      <c r="G115" s="523">
        <v>67753.364462749581</v>
      </c>
      <c r="H115" s="522">
        <v>44786.091498793103</v>
      </c>
      <c r="I115" s="522">
        <v>22967.272963956475</v>
      </c>
      <c r="J115" s="522">
        <v>22967.272963956475</v>
      </c>
      <c r="K115" s="522">
        <v>0</v>
      </c>
      <c r="L115" s="522">
        <v>2606770.2656436036</v>
      </c>
      <c r="M115" s="524">
        <v>0</v>
      </c>
      <c r="N115" s="525">
        <v>8.6618083383709354E-3</v>
      </c>
      <c r="O115" s="525">
        <v>0</v>
      </c>
      <c r="P115" s="526" t="s">
        <v>329</v>
      </c>
      <c r="Q115" s="4"/>
      <c r="R115" s="527">
        <f>G115+G116+G117+G118</f>
        <v>271013.45785099827</v>
      </c>
      <c r="S115" s="527">
        <f>H115+H116+H117+H118</f>
        <v>181485.4069956583</v>
      </c>
      <c r="T115" s="527">
        <f>I115+I116+I117+I118</f>
        <v>89528.050855340014</v>
      </c>
    </row>
    <row r="116" spans="1:20">
      <c r="A116" s="508"/>
      <c r="B116" s="508"/>
      <c r="C116" s="508"/>
      <c r="D116" s="509"/>
      <c r="E116" s="519">
        <f>E115+1</f>
        <v>114</v>
      </c>
      <c r="F116" s="520">
        <v>54271</v>
      </c>
      <c r="G116" s="523">
        <v>67753.364462749567</v>
      </c>
      <c r="H116" s="522">
        <v>45174.020039580384</v>
      </c>
      <c r="I116" s="522">
        <v>22579.344423169183</v>
      </c>
      <c r="J116" s="522">
        <v>22579.344423169183</v>
      </c>
      <c r="K116" s="522">
        <v>0</v>
      </c>
      <c r="L116" s="522">
        <v>2561596.2456040233</v>
      </c>
      <c r="M116" s="524">
        <v>0</v>
      </c>
      <c r="N116" s="525">
        <v>8.6618083383709354E-3</v>
      </c>
      <c r="O116" s="525">
        <v>0</v>
      </c>
      <c r="P116" s="526" t="s">
        <v>329</v>
      </c>
      <c r="Q116" s="4"/>
      <c r="R116" s="527"/>
      <c r="S116" s="530"/>
      <c r="T116" s="530"/>
    </row>
    <row r="117" spans="1:20">
      <c r="A117" s="508"/>
      <c r="B117" s="508"/>
      <c r="C117" s="508"/>
      <c r="D117" s="509"/>
      <c r="E117" s="519">
        <f t="shared" si="1"/>
        <v>115</v>
      </c>
      <c r="F117" s="520">
        <v>54363</v>
      </c>
      <c r="G117" s="523">
        <v>67753.364462749567</v>
      </c>
      <c r="H117" s="522">
        <v>45565.308743036956</v>
      </c>
      <c r="I117" s="522">
        <v>22188.055719712611</v>
      </c>
      <c r="J117" s="522">
        <v>22188.055719712611</v>
      </c>
      <c r="K117" s="522">
        <v>0</v>
      </c>
      <c r="L117" s="522">
        <v>2516030.9368609865</v>
      </c>
      <c r="M117" s="524">
        <v>0</v>
      </c>
      <c r="N117" s="525">
        <v>8.6618083383709354E-3</v>
      </c>
      <c r="O117" s="525">
        <v>0</v>
      </c>
      <c r="P117" s="526" t="s">
        <v>329</v>
      </c>
      <c r="Q117" s="4"/>
      <c r="R117" s="527"/>
      <c r="S117" s="527"/>
      <c r="T117" s="527"/>
    </row>
    <row r="118" spans="1:20">
      <c r="A118" s="508"/>
      <c r="B118" s="508"/>
      <c r="C118" s="508"/>
      <c r="D118" s="509"/>
      <c r="E118" s="519">
        <f t="shared" si="1"/>
        <v>116</v>
      </c>
      <c r="F118" s="520">
        <v>54455</v>
      </c>
      <c r="G118" s="523">
        <v>67753.364462749581</v>
      </c>
      <c r="H118" s="522">
        <v>45959.986714247847</v>
      </c>
      <c r="I118" s="522">
        <v>21793.377748501731</v>
      </c>
      <c r="J118" s="522">
        <v>21793.377748501731</v>
      </c>
      <c r="K118" s="522">
        <v>0</v>
      </c>
      <c r="L118" s="522">
        <v>2470070.9501467384</v>
      </c>
      <c r="M118" s="524">
        <v>0</v>
      </c>
      <c r="N118" s="525">
        <v>8.6618083383709354E-3</v>
      </c>
      <c r="O118" s="525">
        <v>0</v>
      </c>
      <c r="P118" s="526" t="s">
        <v>329</v>
      </c>
      <c r="Q118" s="4"/>
      <c r="R118" s="533"/>
      <c r="S118" s="534"/>
      <c r="T118" s="534"/>
    </row>
    <row r="119" spans="1:20">
      <c r="A119" s="508"/>
      <c r="B119" s="508"/>
      <c r="C119" s="508"/>
      <c r="D119" s="509"/>
      <c r="E119" s="519">
        <f t="shared" si="1"/>
        <v>117</v>
      </c>
      <c r="F119" s="520">
        <v>54544</v>
      </c>
      <c r="G119" s="523">
        <v>67753.364462749567</v>
      </c>
      <c r="H119" s="522">
        <v>46358.083310400732</v>
      </c>
      <c r="I119" s="522">
        <v>21395.281152348838</v>
      </c>
      <c r="J119" s="522">
        <v>21395.281152348838</v>
      </c>
      <c r="K119" s="522">
        <v>0</v>
      </c>
      <c r="L119" s="522">
        <v>2423712.8668363378</v>
      </c>
      <c r="M119" s="524">
        <v>0</v>
      </c>
      <c r="N119" s="525">
        <v>8.6618083383709354E-3</v>
      </c>
      <c r="O119" s="525">
        <v>0</v>
      </c>
      <c r="P119" s="526" t="s">
        <v>329</v>
      </c>
      <c r="Q119" s="4"/>
      <c r="R119" s="527">
        <f>G119+G120+G121+G122</f>
        <v>271013.45785099827</v>
      </c>
      <c r="S119" s="527">
        <f>H119+H120+H121+H122</f>
        <v>187855.54478120583</v>
      </c>
      <c r="T119" s="527">
        <f>I119+I120+I121+I122</f>
        <v>83157.913069792397</v>
      </c>
    </row>
    <row r="120" spans="1:20">
      <c r="A120" s="508"/>
      <c r="B120" s="508"/>
      <c r="C120" s="508"/>
      <c r="D120" s="509"/>
      <c r="E120" s="519">
        <f t="shared" si="1"/>
        <v>118</v>
      </c>
      <c r="F120" s="520">
        <v>54636</v>
      </c>
      <c r="G120" s="523">
        <v>67753.364462749552</v>
      </c>
      <c r="H120" s="522">
        <v>46759.628142969639</v>
      </c>
      <c r="I120" s="522">
        <v>20993.736319779917</v>
      </c>
      <c r="J120" s="522">
        <v>20993.736319779917</v>
      </c>
      <c r="K120" s="522">
        <v>0</v>
      </c>
      <c r="L120" s="522">
        <v>2376953.2386933682</v>
      </c>
      <c r="M120" s="524">
        <v>0</v>
      </c>
      <c r="N120" s="525">
        <v>8.6618083383709354E-3</v>
      </c>
      <c r="O120" s="525">
        <v>0</v>
      </c>
      <c r="P120" s="526" t="s">
        <v>329</v>
      </c>
      <c r="Q120" s="4"/>
      <c r="R120" s="527"/>
      <c r="S120" s="527"/>
      <c r="T120" s="527"/>
    </row>
    <row r="121" spans="1:20">
      <c r="A121" s="508"/>
      <c r="B121" s="508"/>
      <c r="C121" s="508"/>
      <c r="D121" s="509"/>
      <c r="E121" s="519">
        <f t="shared" si="1"/>
        <v>119</v>
      </c>
      <c r="F121" s="520">
        <v>54728</v>
      </c>
      <c r="G121" s="523">
        <v>67753.364462749552</v>
      </c>
      <c r="H121" s="522">
        <v>47164.65107991753</v>
      </c>
      <c r="I121" s="522">
        <v>20588.713382832018</v>
      </c>
      <c r="J121" s="522">
        <v>20588.713382832018</v>
      </c>
      <c r="K121" s="522">
        <v>0</v>
      </c>
      <c r="L121" s="522">
        <v>2329788.5876134508</v>
      </c>
      <c r="M121" s="524">
        <v>0</v>
      </c>
      <c r="N121" s="525">
        <v>8.6618083383709354E-3</v>
      </c>
      <c r="O121" s="525">
        <v>0</v>
      </c>
      <c r="P121" s="526" t="s">
        <v>329</v>
      </c>
      <c r="Q121" s="4"/>
      <c r="R121" s="527"/>
      <c r="S121" s="527"/>
      <c r="T121" s="527"/>
    </row>
    <row r="122" spans="1:20">
      <c r="A122" s="508"/>
      <c r="B122" s="508"/>
      <c r="C122" s="508"/>
      <c r="D122" s="509"/>
      <c r="E122" s="519">
        <f t="shared" si="1"/>
        <v>120</v>
      </c>
      <c r="F122" s="520">
        <v>54820</v>
      </c>
      <c r="G122" s="523">
        <v>67753.364462749538</v>
      </c>
      <c r="H122" s="522">
        <v>47573.18224791791</v>
      </c>
      <c r="I122" s="522">
        <v>20180.182214831631</v>
      </c>
      <c r="J122" s="522">
        <v>20180.182214831631</v>
      </c>
      <c r="K122" s="522">
        <v>0</v>
      </c>
      <c r="L122" s="522">
        <v>2282215.4053655327</v>
      </c>
      <c r="M122" s="524">
        <v>0</v>
      </c>
      <c r="N122" s="525">
        <v>8.6618083383709354E-3</v>
      </c>
      <c r="O122" s="525">
        <v>0</v>
      </c>
      <c r="P122" s="526" t="s">
        <v>329</v>
      </c>
      <c r="Q122" s="4"/>
      <c r="R122" s="533"/>
      <c r="S122" s="534"/>
      <c r="T122" s="534"/>
    </row>
    <row r="123" spans="1:20">
      <c r="A123" s="508"/>
      <c r="B123" s="508"/>
      <c r="C123" s="508"/>
      <c r="D123" s="509"/>
      <c r="E123" s="519">
        <f>E122+1</f>
        <v>121</v>
      </c>
      <c r="F123" s="520">
        <v>54909</v>
      </c>
      <c r="G123" s="523">
        <v>67753.364462749552</v>
      </c>
      <c r="H123" s="522">
        <v>47985.252034595775</v>
      </c>
      <c r="I123" s="522">
        <v>19768.112428153778</v>
      </c>
      <c r="J123" s="522">
        <v>19768.112428153778</v>
      </c>
      <c r="K123" s="522">
        <v>0</v>
      </c>
      <c r="L123" s="522">
        <v>2234230.153330937</v>
      </c>
      <c r="M123" s="524">
        <v>0</v>
      </c>
      <c r="N123" s="525">
        <v>8.6618083383709354E-3</v>
      </c>
      <c r="O123" s="525">
        <v>0</v>
      </c>
      <c r="P123" s="526" t="s">
        <v>329</v>
      </c>
      <c r="Q123" s="4"/>
      <c r="R123" s="527">
        <f>G123+G124+G125+G126</f>
        <v>271013.45785099809</v>
      </c>
      <c r="S123" s="527">
        <f>H123+H124+H125+H126</f>
        <v>194449.27440302604</v>
      </c>
      <c r="T123" s="527">
        <f>I123+I124+I125+I126</f>
        <v>76564.183447972086</v>
      </c>
    </row>
    <row r="124" spans="1:20">
      <c r="A124" s="508"/>
      <c r="B124" s="508"/>
      <c r="C124" s="508"/>
      <c r="D124" s="509"/>
      <c r="E124" s="519">
        <f t="shared" si="1"/>
        <v>122</v>
      </c>
      <c r="F124" s="520">
        <v>55001</v>
      </c>
      <c r="G124" s="523">
        <v>67753.364462749538</v>
      </c>
      <c r="H124" s="522">
        <v>48400.891090787853</v>
      </c>
      <c r="I124" s="522">
        <v>19352.473371961685</v>
      </c>
      <c r="J124" s="522">
        <v>19352.473371961685</v>
      </c>
      <c r="K124" s="522">
        <v>0</v>
      </c>
      <c r="L124" s="522">
        <v>2185829.2622401491</v>
      </c>
      <c r="M124" s="524">
        <v>0</v>
      </c>
      <c r="N124" s="525">
        <v>8.6618083383709354E-3</v>
      </c>
      <c r="O124" s="525">
        <v>0</v>
      </c>
      <c r="P124" s="526" t="s">
        <v>329</v>
      </c>
      <c r="Q124" s="4"/>
      <c r="R124" s="527"/>
      <c r="S124" s="530"/>
      <c r="T124" s="530"/>
    </row>
    <row r="125" spans="1:20">
      <c r="A125" s="508"/>
      <c r="B125" s="508"/>
      <c r="C125" s="508"/>
      <c r="D125" s="509"/>
      <c r="E125" s="519">
        <f t="shared" si="1"/>
        <v>123</v>
      </c>
      <c r="F125" s="520">
        <v>55093</v>
      </c>
      <c r="G125" s="523">
        <v>67753.364462749523</v>
      </c>
      <c r="H125" s="522">
        <v>48820.130332822606</v>
      </c>
      <c r="I125" s="522">
        <v>18933.234129926914</v>
      </c>
      <c r="J125" s="522">
        <v>18933.234129926914</v>
      </c>
      <c r="K125" s="522">
        <v>0</v>
      </c>
      <c r="L125" s="522">
        <v>2137009.1319073266</v>
      </c>
      <c r="M125" s="524">
        <v>0</v>
      </c>
      <c r="N125" s="525">
        <v>8.6618083383709354E-3</v>
      </c>
      <c r="O125" s="525">
        <v>0</v>
      </c>
      <c r="P125" s="526" t="s">
        <v>329</v>
      </c>
      <c r="Q125" s="4"/>
      <c r="R125" s="527"/>
      <c r="S125" s="527"/>
      <c r="T125" s="527"/>
    </row>
    <row r="126" spans="1:20">
      <c r="A126" s="508"/>
      <c r="B126" s="508"/>
      <c r="C126" s="508"/>
      <c r="D126" s="509"/>
      <c r="E126" s="519">
        <f t="shared" si="1"/>
        <v>124</v>
      </c>
      <c r="F126" s="520">
        <v>55185</v>
      </c>
      <c r="G126" s="523">
        <v>67753.364462749523</v>
      </c>
      <c r="H126" s="522">
        <v>49243.000944819811</v>
      </c>
      <c r="I126" s="522">
        <v>18510.363517929716</v>
      </c>
      <c r="J126" s="522">
        <v>18510.363517929716</v>
      </c>
      <c r="K126" s="522">
        <v>0</v>
      </c>
      <c r="L126" s="522">
        <v>2087766.1309625069</v>
      </c>
      <c r="M126" s="524">
        <v>0</v>
      </c>
      <c r="N126" s="525">
        <v>8.6618083383709354E-3</v>
      </c>
      <c r="O126" s="525">
        <v>0</v>
      </c>
      <c r="P126" s="526" t="s">
        <v>329</v>
      </c>
      <c r="Q126" s="4"/>
      <c r="R126" s="533"/>
      <c r="S126" s="534"/>
      <c r="T126" s="534"/>
    </row>
    <row r="127" spans="1:20">
      <c r="A127" s="508"/>
      <c r="B127" s="508"/>
      <c r="C127" s="508"/>
      <c r="D127" s="509"/>
      <c r="E127" s="519">
        <f t="shared" si="1"/>
        <v>125</v>
      </c>
      <c r="F127" s="520">
        <v>55274</v>
      </c>
      <c r="G127" s="523">
        <v>67753.364462749509</v>
      </c>
      <c r="H127" s="522">
        <v>49669.534381010038</v>
      </c>
      <c r="I127" s="522">
        <v>18083.83008173947</v>
      </c>
      <c r="J127" s="522">
        <v>18083.83008173947</v>
      </c>
      <c r="K127" s="522">
        <v>0</v>
      </c>
      <c r="L127" s="522">
        <v>2038096.5965814968</v>
      </c>
      <c r="M127" s="524">
        <v>0</v>
      </c>
      <c r="N127" s="525">
        <v>8.6618083383709354E-3</v>
      </c>
      <c r="O127" s="525">
        <v>0</v>
      </c>
      <c r="P127" s="526" t="s">
        <v>329</v>
      </c>
      <c r="Q127" s="4"/>
      <c r="R127" s="527">
        <f>G127+G128+G129+G130</f>
        <v>271013.45785099798</v>
      </c>
      <c r="S127" s="527">
        <f>H127+H128+H129+H130</f>
        <v>201274.44393457207</v>
      </c>
      <c r="T127" s="527">
        <f>I127+I128+I129+I130</f>
        <v>69739.013916425873</v>
      </c>
    </row>
    <row r="128" spans="1:20">
      <c r="A128" s="508"/>
      <c r="B128" s="508"/>
      <c r="C128" s="508"/>
      <c r="D128" s="509"/>
      <c r="E128" s="519">
        <f t="shared" si="1"/>
        <v>126</v>
      </c>
      <c r="F128" s="520">
        <v>55366</v>
      </c>
      <c r="G128" s="523">
        <v>67753.364462749494</v>
      </c>
      <c r="H128" s="522">
        <v>50099.762368074458</v>
      </c>
      <c r="I128" s="522">
        <v>17653.602094675032</v>
      </c>
      <c r="J128" s="522">
        <v>17653.602094675032</v>
      </c>
      <c r="K128" s="522">
        <v>0</v>
      </c>
      <c r="L128" s="522">
        <v>1987996.8342134224</v>
      </c>
      <c r="M128" s="524">
        <v>0</v>
      </c>
      <c r="N128" s="525">
        <v>8.6618083383709354E-3</v>
      </c>
      <c r="O128" s="525">
        <v>0</v>
      </c>
      <c r="P128" s="526" t="s">
        <v>329</v>
      </c>
      <c r="Q128" s="4"/>
      <c r="R128" s="527"/>
      <c r="S128" s="530"/>
      <c r="T128" s="530"/>
    </row>
    <row r="129" spans="1:20">
      <c r="A129" s="508"/>
      <c r="B129" s="508"/>
      <c r="C129" s="508"/>
      <c r="D129" s="509"/>
      <c r="E129" s="519">
        <f t="shared" si="1"/>
        <v>127</v>
      </c>
      <c r="F129" s="520">
        <v>55458</v>
      </c>
      <c r="G129" s="523">
        <v>67753.364462749494</v>
      </c>
      <c r="H129" s="522">
        <v>50533.716907504655</v>
      </c>
      <c r="I129" s="522">
        <v>17219.647555244843</v>
      </c>
      <c r="J129" s="522">
        <v>17219.647555244843</v>
      </c>
      <c r="K129" s="522">
        <v>0</v>
      </c>
      <c r="L129" s="522">
        <v>1937463.1173059177</v>
      </c>
      <c r="M129" s="524">
        <v>0</v>
      </c>
      <c r="N129" s="525">
        <v>8.6618083383709354E-3</v>
      </c>
      <c r="O129" s="525">
        <v>0</v>
      </c>
      <c r="P129" s="526" t="s">
        <v>329</v>
      </c>
      <c r="Q129" s="4"/>
      <c r="R129" s="527"/>
      <c r="S129" s="527"/>
      <c r="T129" s="527"/>
    </row>
    <row r="130" spans="1:20">
      <c r="A130" s="508"/>
      <c r="B130" s="508"/>
      <c r="C130" s="508"/>
      <c r="D130" s="509"/>
      <c r="E130" s="519">
        <f t="shared" si="1"/>
        <v>128</v>
      </c>
      <c r="F130" s="520">
        <v>55550</v>
      </c>
      <c r="G130" s="523">
        <v>67753.364462749465</v>
      </c>
      <c r="H130" s="522">
        <v>50971.430277982923</v>
      </c>
      <c r="I130" s="522">
        <v>16781.934184766542</v>
      </c>
      <c r="J130" s="522">
        <v>16781.934184766542</v>
      </c>
      <c r="K130" s="522">
        <v>0</v>
      </c>
      <c r="L130" s="522">
        <v>1886491.6870279347</v>
      </c>
      <c r="M130" s="524">
        <v>0</v>
      </c>
      <c r="N130" s="525">
        <v>8.6618083383709354E-3</v>
      </c>
      <c r="O130" s="525">
        <v>0</v>
      </c>
      <c r="P130" s="526" t="s">
        <v>329</v>
      </c>
      <c r="Q130" s="4"/>
      <c r="R130" s="533"/>
      <c r="S130" s="534"/>
      <c r="T130" s="534"/>
    </row>
    <row r="131" spans="1:20">
      <c r="A131" s="508"/>
      <c r="B131" s="508"/>
      <c r="C131" s="508"/>
      <c r="D131" s="509"/>
      <c r="E131" s="519">
        <f t="shared" si="1"/>
        <v>129</v>
      </c>
      <c r="F131" s="520">
        <v>55640</v>
      </c>
      <c r="G131" s="523">
        <v>67753.36446274948</v>
      </c>
      <c r="H131" s="522">
        <v>51412.935037783463</v>
      </c>
      <c r="I131" s="522">
        <v>16340.429424966018</v>
      </c>
      <c r="J131" s="522">
        <v>16340.429424966018</v>
      </c>
      <c r="K131" s="522">
        <v>0</v>
      </c>
      <c r="L131" s="522">
        <v>1835078.7519901511</v>
      </c>
      <c r="M131" s="524">
        <v>0</v>
      </c>
      <c r="N131" s="525">
        <v>8.6618083383709354E-3</v>
      </c>
      <c r="O131" s="525">
        <v>0</v>
      </c>
      <c r="P131" s="526" t="s">
        <v>329</v>
      </c>
      <c r="Q131" s="4"/>
      <c r="R131" s="527">
        <f>G131+G132+G133+G134</f>
        <v>271013.4578509978</v>
      </c>
      <c r="S131" s="527">
        <f>H131+H132+H133+H134</f>
        <v>208339.17691667535</v>
      </c>
      <c r="T131" s="527">
        <f>I131+I132+I133+I134</f>
        <v>62674.280934322414</v>
      </c>
    </row>
    <row r="132" spans="1:20">
      <c r="A132" s="508"/>
      <c r="B132" s="508"/>
      <c r="C132" s="508"/>
      <c r="D132" s="509"/>
      <c r="E132" s="519">
        <f t="shared" ref="E132:E162" si="2">E131+1</f>
        <v>130</v>
      </c>
      <c r="F132" s="520">
        <v>55732</v>
      </c>
      <c r="G132" s="523">
        <v>67753.364462749436</v>
      </c>
      <c r="H132" s="522">
        <v>51858.264027193814</v>
      </c>
      <c r="I132" s="522">
        <v>15895.100435555622</v>
      </c>
      <c r="J132" s="522">
        <v>15895.100435555622</v>
      </c>
      <c r="K132" s="522">
        <v>0</v>
      </c>
      <c r="L132" s="522">
        <v>1783220.4879629572</v>
      </c>
      <c r="M132" s="524">
        <v>0</v>
      </c>
      <c r="N132" s="525">
        <v>8.6618083383709354E-3</v>
      </c>
      <c r="O132" s="525">
        <v>0</v>
      </c>
      <c r="P132" s="526" t="s">
        <v>329</v>
      </c>
      <c r="Q132" s="4"/>
      <c r="R132" s="527"/>
      <c r="S132" s="530"/>
      <c r="T132" s="530"/>
    </row>
    <row r="133" spans="1:20">
      <c r="A133" s="508"/>
      <c r="B133" s="508"/>
      <c r="C133" s="508"/>
      <c r="D133" s="509"/>
      <c r="E133" s="519">
        <f t="shared" si="2"/>
        <v>131</v>
      </c>
      <c r="F133" s="520">
        <v>55824</v>
      </c>
      <c r="G133" s="523">
        <v>67753.364462749436</v>
      </c>
      <c r="H133" s="522">
        <v>52307.450370958002</v>
      </c>
      <c r="I133" s="522">
        <v>15445.914091791432</v>
      </c>
      <c r="J133" s="522">
        <v>15445.914091791432</v>
      </c>
      <c r="K133" s="522">
        <v>0</v>
      </c>
      <c r="L133" s="522">
        <v>1730913.0375919992</v>
      </c>
      <c r="M133" s="524">
        <v>0</v>
      </c>
      <c r="N133" s="525">
        <v>8.6618083383709354E-3</v>
      </c>
      <c r="O133" s="525">
        <v>0</v>
      </c>
      <c r="P133" s="526" t="s">
        <v>329</v>
      </c>
      <c r="Q133" s="4"/>
      <c r="R133" s="527"/>
      <c r="S133" s="527"/>
      <c r="T133" s="527"/>
    </row>
    <row r="134" spans="1:20">
      <c r="A134" s="508"/>
      <c r="B134" s="508"/>
      <c r="C134" s="508"/>
      <c r="D134" s="509"/>
      <c r="E134" s="519">
        <f t="shared" si="2"/>
        <v>132</v>
      </c>
      <c r="F134" s="520">
        <v>55916</v>
      </c>
      <c r="G134" s="523">
        <v>67753.364462749421</v>
      </c>
      <c r="H134" s="522">
        <v>52760.527480740078</v>
      </c>
      <c r="I134" s="522">
        <v>14992.836982009343</v>
      </c>
      <c r="J134" s="522">
        <v>14992.836982009343</v>
      </c>
      <c r="K134" s="522">
        <v>0</v>
      </c>
      <c r="L134" s="522">
        <v>1678152.5101112591</v>
      </c>
      <c r="M134" s="524">
        <v>0</v>
      </c>
      <c r="N134" s="525">
        <v>8.6618083383709354E-3</v>
      </c>
      <c r="O134" s="525">
        <v>0</v>
      </c>
      <c r="P134" s="526" t="s">
        <v>329</v>
      </c>
      <c r="Q134" s="4"/>
      <c r="R134" s="533"/>
      <c r="S134" s="534"/>
      <c r="T134" s="534"/>
    </row>
    <row r="135" spans="1:20">
      <c r="A135" s="508"/>
      <c r="B135" s="508"/>
      <c r="C135" s="508"/>
      <c r="D135" s="509"/>
      <c r="E135" s="519">
        <f t="shared" si="2"/>
        <v>133</v>
      </c>
      <c r="F135" s="520">
        <v>56005</v>
      </c>
      <c r="G135" s="523">
        <v>67753.364462749421</v>
      </c>
      <c r="H135" s="522">
        <v>53217.529057609601</v>
      </c>
      <c r="I135" s="522">
        <v>14535.83540513982</v>
      </c>
      <c r="J135" s="522">
        <v>14535.83540513982</v>
      </c>
      <c r="K135" s="522">
        <v>0</v>
      </c>
      <c r="L135" s="522">
        <v>1624934.9810536494</v>
      </c>
      <c r="M135" s="524">
        <v>0</v>
      </c>
      <c r="N135" s="525">
        <v>8.6618083383709354E-3</v>
      </c>
      <c r="O135" s="525">
        <v>0</v>
      </c>
      <c r="P135" s="526" t="s">
        <v>329</v>
      </c>
      <c r="Q135" s="4"/>
      <c r="R135" s="527">
        <f>G135+G136+G137+G138</f>
        <v>271013.45785099757</v>
      </c>
      <c r="S135" s="527">
        <f>H135+H136+H137+H138</f>
        <v>215651.88202645048</v>
      </c>
      <c r="T135" s="527">
        <f>I135+I136+I137+I138</f>
        <v>55361.575824547108</v>
      </c>
    </row>
    <row r="136" spans="1:20">
      <c r="A136" s="508"/>
      <c r="B136" s="508"/>
      <c r="C136" s="508"/>
      <c r="D136" s="509"/>
      <c r="E136" s="519">
        <f t="shared" si="2"/>
        <v>134</v>
      </c>
      <c r="F136" s="520">
        <v>56097</v>
      </c>
      <c r="G136" s="523">
        <v>67753.364462749407</v>
      </c>
      <c r="H136" s="522">
        <v>53678.489094548291</v>
      </c>
      <c r="I136" s="522">
        <v>14074.875368201119</v>
      </c>
      <c r="J136" s="522">
        <v>14074.875368201119</v>
      </c>
      <c r="K136" s="522">
        <v>0</v>
      </c>
      <c r="L136" s="522">
        <v>1571256.4919591011</v>
      </c>
      <c r="M136" s="524">
        <v>0</v>
      </c>
      <c r="N136" s="525">
        <v>8.6618083383709354E-3</v>
      </c>
      <c r="O136" s="525">
        <v>0</v>
      </c>
      <c r="P136" s="526" t="s">
        <v>329</v>
      </c>
      <c r="Q136" s="4"/>
      <c r="R136" s="527"/>
      <c r="S136" s="530"/>
      <c r="T136" s="530"/>
    </row>
    <row r="137" spans="1:20">
      <c r="A137" s="508"/>
      <c r="B137" s="508"/>
      <c r="C137" s="508"/>
      <c r="D137" s="509"/>
      <c r="E137" s="519">
        <f t="shared" si="2"/>
        <v>135</v>
      </c>
      <c r="F137" s="520">
        <v>56189</v>
      </c>
      <c r="G137" s="523">
        <v>67753.364462749363</v>
      </c>
      <c r="H137" s="522">
        <v>54143.441878978556</v>
      </c>
      <c r="I137" s="522">
        <v>13609.922583770805</v>
      </c>
      <c r="J137" s="522">
        <v>13609.922583770805</v>
      </c>
      <c r="K137" s="522">
        <v>0</v>
      </c>
      <c r="L137" s="522">
        <v>1517113.0500801224</v>
      </c>
      <c r="M137" s="524">
        <v>0</v>
      </c>
      <c r="N137" s="525">
        <v>8.6618083383709354E-3</v>
      </c>
      <c r="O137" s="525">
        <v>0</v>
      </c>
      <c r="P137" s="526" t="s">
        <v>329</v>
      </c>
      <c r="Q137" s="4"/>
      <c r="R137" s="527"/>
      <c r="S137" s="527"/>
      <c r="T137" s="527"/>
    </row>
    <row r="138" spans="1:20">
      <c r="A138" s="508"/>
      <c r="B138" s="508"/>
      <c r="C138" s="508"/>
      <c r="D138" s="509"/>
      <c r="E138" s="519">
        <f t="shared" si="2"/>
        <v>136</v>
      </c>
      <c r="F138" s="520">
        <v>56281</v>
      </c>
      <c r="G138" s="523">
        <v>67753.364462749363</v>
      </c>
      <c r="H138" s="522">
        <v>54612.421995313998</v>
      </c>
      <c r="I138" s="522">
        <v>13140.942467435367</v>
      </c>
      <c r="J138" s="522">
        <v>13140.942467435367</v>
      </c>
      <c r="K138" s="522">
        <v>0</v>
      </c>
      <c r="L138" s="522">
        <v>1462500.6280848084</v>
      </c>
      <c r="M138" s="524">
        <v>0</v>
      </c>
      <c r="N138" s="525">
        <v>8.6618083383709354E-3</v>
      </c>
      <c r="O138" s="525">
        <v>0</v>
      </c>
      <c r="P138" s="526" t="s">
        <v>329</v>
      </c>
      <c r="Q138" s="4"/>
      <c r="R138" s="533"/>
      <c r="S138" s="534"/>
      <c r="T138" s="534"/>
    </row>
    <row r="139" spans="1:20">
      <c r="A139" s="508"/>
      <c r="B139" s="508"/>
      <c r="C139" s="508"/>
      <c r="D139" s="509"/>
      <c r="E139" s="519">
        <f t="shared" si="2"/>
        <v>137</v>
      </c>
      <c r="F139" s="520">
        <v>56370</v>
      </c>
      <c r="G139" s="523">
        <v>67753.364462749363</v>
      </c>
      <c r="H139" s="522">
        <v>55085.464327531641</v>
      </c>
      <c r="I139" s="522">
        <v>12667.900135217724</v>
      </c>
      <c r="J139" s="522">
        <v>12667.900135217724</v>
      </c>
      <c r="K139" s="522">
        <v>0</v>
      </c>
      <c r="L139" s="522">
        <v>1407415.1637572767</v>
      </c>
      <c r="M139" s="524">
        <v>0</v>
      </c>
      <c r="N139" s="525">
        <v>8.6618083383709354E-3</v>
      </c>
      <c r="O139" s="525">
        <v>0</v>
      </c>
      <c r="P139" s="526" t="s">
        <v>329</v>
      </c>
      <c r="Q139" s="4"/>
      <c r="R139" s="527">
        <f>G139+G140+G141+G142</f>
        <v>271013.45785099734</v>
      </c>
      <c r="S139" s="527">
        <f>H139+H140+H141+H142</f>
        <v>223221.26308557863</v>
      </c>
      <c r="T139" s="527">
        <f>I139+I140+I141+I142</f>
        <v>47792.19476541871</v>
      </c>
    </row>
    <row r="140" spans="1:20">
      <c r="A140" s="508"/>
      <c r="B140" s="508"/>
      <c r="C140" s="508"/>
      <c r="D140" s="509"/>
      <c r="E140" s="519">
        <f t="shared" si="2"/>
        <v>138</v>
      </c>
      <c r="F140" s="520">
        <v>56462</v>
      </c>
      <c r="G140" s="523">
        <v>67753.364462749349</v>
      </c>
      <c r="H140" s="522">
        <v>55562.604061766877</v>
      </c>
      <c r="I140" s="522">
        <v>12190.760400982475</v>
      </c>
      <c r="J140" s="522">
        <v>12190.760400982475</v>
      </c>
      <c r="K140" s="522">
        <v>0</v>
      </c>
      <c r="L140" s="522">
        <v>1351852.5596955097</v>
      </c>
      <c r="M140" s="524">
        <v>0</v>
      </c>
      <c r="N140" s="525">
        <v>8.6618083383709354E-3</v>
      </c>
      <c r="O140" s="525">
        <v>0</v>
      </c>
      <c r="P140" s="526" t="s">
        <v>329</v>
      </c>
      <c r="Q140" s="4"/>
      <c r="R140" s="527"/>
      <c r="S140" s="530"/>
      <c r="T140" s="530"/>
    </row>
    <row r="141" spans="1:20">
      <c r="A141" s="508"/>
      <c r="B141" s="508"/>
      <c r="C141" s="508"/>
      <c r="D141" s="509"/>
      <c r="E141" s="519">
        <f t="shared" si="2"/>
        <v>139</v>
      </c>
      <c r="F141" s="520">
        <v>56554</v>
      </c>
      <c r="G141" s="523">
        <v>67753.36446274932</v>
      </c>
      <c r="H141" s="522">
        <v>56043.876688930657</v>
      </c>
      <c r="I141" s="522">
        <v>11709.487773818659</v>
      </c>
      <c r="J141" s="522">
        <v>11709.487773818659</v>
      </c>
      <c r="K141" s="522">
        <v>0</v>
      </c>
      <c r="L141" s="522">
        <v>1295808.6830065791</v>
      </c>
      <c r="M141" s="524">
        <v>0</v>
      </c>
      <c r="N141" s="525">
        <v>8.6618083383709354E-3</v>
      </c>
      <c r="O141" s="525">
        <v>0</v>
      </c>
      <c r="P141" s="526" t="s">
        <v>329</v>
      </c>
      <c r="Q141" s="4"/>
      <c r="R141" s="527"/>
      <c r="S141" s="527"/>
      <c r="T141" s="527"/>
    </row>
    <row r="142" spans="1:20">
      <c r="A142" s="508"/>
      <c r="B142" s="508"/>
      <c r="C142" s="508"/>
      <c r="D142" s="509"/>
      <c r="E142" s="519">
        <f t="shared" si="2"/>
        <v>140</v>
      </c>
      <c r="F142" s="520">
        <v>56646</v>
      </c>
      <c r="G142" s="523">
        <v>67753.364462749305</v>
      </c>
      <c r="H142" s="522">
        <v>56529.318007349459</v>
      </c>
      <c r="I142" s="522">
        <v>11224.046455399846</v>
      </c>
      <c r="J142" s="522">
        <v>11224.046455399846</v>
      </c>
      <c r="K142" s="522">
        <v>0</v>
      </c>
      <c r="L142" s="522">
        <v>1239279.3649992296</v>
      </c>
      <c r="M142" s="524">
        <v>0</v>
      </c>
      <c r="N142" s="525">
        <v>8.6618083383709354E-3</v>
      </c>
      <c r="O142" s="525">
        <v>0</v>
      </c>
      <c r="P142" s="526" t="s">
        <v>329</v>
      </c>
      <c r="Q142" s="4"/>
      <c r="R142" s="533"/>
      <c r="S142" s="534"/>
      <c r="T142" s="534"/>
    </row>
    <row r="143" spans="1:20">
      <c r="A143" s="508"/>
      <c r="B143" s="508"/>
      <c r="C143" s="508"/>
      <c r="D143" s="509"/>
      <c r="E143" s="519">
        <f t="shared" si="2"/>
        <v>141</v>
      </c>
      <c r="F143" s="520">
        <v>56735</v>
      </c>
      <c r="G143" s="523">
        <v>67753.364462749261</v>
      </c>
      <c r="H143" s="522">
        <v>57018.964125427898</v>
      </c>
      <c r="I143" s="522">
        <v>10734.400337321365</v>
      </c>
      <c r="J143" s="522">
        <v>10734.400337321365</v>
      </c>
      <c r="K143" s="522">
        <v>0</v>
      </c>
      <c r="L143" s="522">
        <v>1182260.4008738017</v>
      </c>
      <c r="M143" s="524">
        <v>0</v>
      </c>
      <c r="N143" s="525">
        <v>8.6618083383709354E-3</v>
      </c>
      <c r="O143" s="525">
        <v>0</v>
      </c>
      <c r="P143" s="526" t="s">
        <v>329</v>
      </c>
      <c r="Q143" s="4"/>
      <c r="R143" s="527">
        <f>G143+G144+G145+G146</f>
        <v>271013.45785099693</v>
      </c>
      <c r="S143" s="527">
        <f>H143+H144+H145+H146</f>
        <v>231056.32941988207</v>
      </c>
      <c r="T143" s="527">
        <f>I143+I144+I145+I146</f>
        <v>39957.128431114907</v>
      </c>
    </row>
    <row r="144" spans="1:20">
      <c r="A144" s="508"/>
      <c r="B144" s="508"/>
      <c r="C144" s="508"/>
      <c r="D144" s="509"/>
      <c r="E144" s="519">
        <f t="shared" si="2"/>
        <v>142</v>
      </c>
      <c r="F144" s="520">
        <v>56827</v>
      </c>
      <c r="G144" s="523">
        <v>67753.364462749247</v>
      </c>
      <c r="H144" s="522">
        <v>57512.851464334788</v>
      </c>
      <c r="I144" s="522">
        <v>10240.512998414461</v>
      </c>
      <c r="J144" s="522">
        <v>10240.512998414461</v>
      </c>
      <c r="K144" s="522">
        <v>0</v>
      </c>
      <c r="L144" s="522">
        <v>1124747.5494094668</v>
      </c>
      <c r="M144" s="524">
        <v>0</v>
      </c>
      <c r="N144" s="525">
        <v>8.6618083383709354E-3</v>
      </c>
      <c r="O144" s="525">
        <v>0</v>
      </c>
      <c r="P144" s="526" t="s">
        <v>329</v>
      </c>
      <c r="Q144" s="4"/>
      <c r="R144" s="527"/>
      <c r="S144" s="530"/>
      <c r="T144" s="530"/>
    </row>
    <row r="145" spans="1:20">
      <c r="A145" s="508"/>
      <c r="B145" s="508"/>
      <c r="C145" s="508"/>
      <c r="D145" s="509"/>
      <c r="E145" s="519">
        <f t="shared" si="2"/>
        <v>143</v>
      </c>
      <c r="F145" s="520">
        <v>56919</v>
      </c>
      <c r="G145" s="523">
        <v>67753.364462749218</v>
      </c>
      <c r="H145" s="522">
        <v>58011.016760712024</v>
      </c>
      <c r="I145" s="522">
        <v>9742.3477020371956</v>
      </c>
      <c r="J145" s="522">
        <v>9742.3477020371956</v>
      </c>
      <c r="K145" s="522">
        <v>0</v>
      </c>
      <c r="L145" s="522">
        <v>1066736.5326487548</v>
      </c>
      <c r="M145" s="524">
        <v>0</v>
      </c>
      <c r="N145" s="525">
        <v>8.6618083383709354E-3</v>
      </c>
      <c r="O145" s="525">
        <v>0</v>
      </c>
      <c r="P145" s="526" t="s">
        <v>329</v>
      </c>
      <c r="Q145" s="4"/>
      <c r="R145" s="527"/>
      <c r="S145" s="527"/>
      <c r="T145" s="527"/>
    </row>
    <row r="146" spans="1:20">
      <c r="A146" s="508"/>
      <c r="B146" s="508"/>
      <c r="C146" s="508"/>
      <c r="D146" s="509"/>
      <c r="E146" s="519">
        <f t="shared" si="2"/>
        <v>144</v>
      </c>
      <c r="F146" s="520">
        <v>57011</v>
      </c>
      <c r="G146" s="523">
        <v>67753.364462749218</v>
      </c>
      <c r="H146" s="522">
        <v>58513.497069407334</v>
      </c>
      <c r="I146" s="522">
        <v>9239.8673933418831</v>
      </c>
      <c r="J146" s="522">
        <v>9239.8673933418831</v>
      </c>
      <c r="K146" s="522">
        <v>0</v>
      </c>
      <c r="L146" s="522">
        <v>1008223.0355793474</v>
      </c>
      <c r="M146" s="524">
        <v>0</v>
      </c>
      <c r="N146" s="525">
        <v>8.6618083383709354E-3</v>
      </c>
      <c r="O146" s="525">
        <v>0</v>
      </c>
      <c r="P146" s="526" t="s">
        <v>329</v>
      </c>
      <c r="Q146" s="4"/>
      <c r="R146" s="533"/>
      <c r="S146" s="534"/>
      <c r="T146" s="534"/>
    </row>
    <row r="147" spans="1:20">
      <c r="A147" s="508"/>
      <c r="B147" s="508"/>
      <c r="C147" s="508"/>
      <c r="D147" s="509"/>
      <c r="E147" s="519">
        <f t="shared" si="2"/>
        <v>145</v>
      </c>
      <c r="F147" s="520">
        <v>57101</v>
      </c>
      <c r="G147" s="523">
        <v>67753.364462749203</v>
      </c>
      <c r="H147" s="522">
        <v>59020.329766230352</v>
      </c>
      <c r="I147" s="522">
        <v>8733.0346965188473</v>
      </c>
      <c r="J147" s="522">
        <v>8733.0346965188473</v>
      </c>
      <c r="K147" s="522">
        <v>0</v>
      </c>
      <c r="L147" s="522">
        <v>949202.70581311709</v>
      </c>
      <c r="M147" s="524">
        <v>0</v>
      </c>
      <c r="N147" s="525">
        <v>8.6618083383709354E-3</v>
      </c>
      <c r="O147" s="525">
        <v>0</v>
      </c>
      <c r="P147" s="526" t="s">
        <v>329</v>
      </c>
      <c r="Q147" s="4"/>
      <c r="R147" s="527">
        <f>G147+G148+G149+G150</f>
        <v>271013.45785099664</v>
      </c>
      <c r="S147" s="527">
        <f>H147+H148+H149+H150</f>
        <v>239166.40658251962</v>
      </c>
      <c r="T147" s="527">
        <f>I147+I148+I149+I150</f>
        <v>31847.051268477058</v>
      </c>
    </row>
    <row r="148" spans="1:20">
      <c r="A148" s="508"/>
      <c r="B148" s="508"/>
      <c r="C148" s="508"/>
      <c r="D148" s="509"/>
      <c r="E148" s="519">
        <f t="shared" si="2"/>
        <v>146</v>
      </c>
      <c r="F148" s="520">
        <v>57193</v>
      </c>
      <c r="G148" s="523">
        <v>67753.364462749203</v>
      </c>
      <c r="H148" s="522">
        <v>59531.552550732893</v>
      </c>
      <c r="I148" s="522">
        <v>8221.8119120163119</v>
      </c>
      <c r="J148" s="522">
        <v>8221.8119120163119</v>
      </c>
      <c r="K148" s="522">
        <v>0</v>
      </c>
      <c r="L148" s="522">
        <v>889671.15326238424</v>
      </c>
      <c r="M148" s="524">
        <v>0</v>
      </c>
      <c r="N148" s="525">
        <v>8.6618083383709354E-3</v>
      </c>
      <c r="O148" s="525">
        <v>0</v>
      </c>
      <c r="P148" s="526" t="s">
        <v>329</v>
      </c>
      <c r="Q148" s="4"/>
      <c r="R148" s="527"/>
      <c r="S148" s="530"/>
      <c r="T148" s="530"/>
    </row>
    <row r="149" spans="1:20">
      <c r="A149" s="508"/>
      <c r="B149" s="508"/>
      <c r="C149" s="508"/>
      <c r="D149" s="509"/>
      <c r="E149" s="519">
        <f t="shared" si="2"/>
        <v>147</v>
      </c>
      <c r="F149" s="520">
        <v>57285</v>
      </c>
      <c r="G149" s="523">
        <v>67753.364462749145</v>
      </c>
      <c r="H149" s="522">
        <v>60047.203449012937</v>
      </c>
      <c r="I149" s="522">
        <v>7706.1610137362059</v>
      </c>
      <c r="J149" s="522">
        <v>7706.1610137362059</v>
      </c>
      <c r="K149" s="522">
        <v>0</v>
      </c>
      <c r="L149" s="522">
        <v>829623.94981337129</v>
      </c>
      <c r="M149" s="524">
        <v>0</v>
      </c>
      <c r="N149" s="525">
        <v>8.6618083383709354E-3</v>
      </c>
      <c r="O149" s="525">
        <v>0</v>
      </c>
      <c r="P149" s="526" t="s">
        <v>329</v>
      </c>
      <c r="Q149" s="4"/>
      <c r="R149" s="527"/>
      <c r="S149" s="527"/>
      <c r="T149" s="527"/>
    </row>
    <row r="150" spans="1:20">
      <c r="A150" s="508"/>
      <c r="B150" s="508"/>
      <c r="C150" s="508"/>
      <c r="D150" s="509"/>
      <c r="E150" s="519">
        <f t="shared" si="2"/>
        <v>148</v>
      </c>
      <c r="F150" s="520">
        <v>57377</v>
      </c>
      <c r="G150" s="523">
        <v>67753.364462749101</v>
      </c>
      <c r="H150" s="522">
        <v>60567.320816543412</v>
      </c>
      <c r="I150" s="522">
        <v>7186.0436462056896</v>
      </c>
      <c r="J150" s="522">
        <v>7186.0436462056896</v>
      </c>
      <c r="K150" s="522">
        <v>0</v>
      </c>
      <c r="L150" s="522">
        <v>769056.62899682787</v>
      </c>
      <c r="M150" s="524">
        <v>0</v>
      </c>
      <c r="N150" s="525">
        <v>8.6618083383709354E-3</v>
      </c>
      <c r="O150" s="525">
        <v>0</v>
      </c>
      <c r="P150" s="526" t="s">
        <v>329</v>
      </c>
      <c r="Q150" s="4"/>
      <c r="R150" s="533"/>
      <c r="S150" s="534"/>
      <c r="T150" s="534"/>
    </row>
    <row r="151" spans="1:20">
      <c r="A151" s="508"/>
      <c r="B151" s="508"/>
      <c r="C151" s="508"/>
      <c r="D151" s="509"/>
      <c r="E151" s="519">
        <f t="shared" si="2"/>
        <v>149</v>
      </c>
      <c r="F151" s="520">
        <v>57466</v>
      </c>
      <c r="G151" s="523">
        <v>67753.364462749145</v>
      </c>
      <c r="H151" s="522">
        <v>61091.943341024977</v>
      </c>
      <c r="I151" s="522">
        <v>6661.4211217241664</v>
      </c>
      <c r="J151" s="522">
        <v>6661.4211217241664</v>
      </c>
      <c r="K151" s="522">
        <v>0</v>
      </c>
      <c r="L151" s="522">
        <v>707964.68565580295</v>
      </c>
      <c r="M151" s="524">
        <v>0</v>
      </c>
      <c r="N151" s="525">
        <v>8.6618083383709354E-3</v>
      </c>
      <c r="O151" s="525">
        <v>0</v>
      </c>
      <c r="P151" s="526" t="s">
        <v>329</v>
      </c>
      <c r="Q151" s="4"/>
      <c r="R151" s="527">
        <f>G151+G152+G153+G154</f>
        <v>271013.45785099623</v>
      </c>
      <c r="S151" s="527">
        <f>H151+H152+H153+H154</f>
        <v>247561.14745356562</v>
      </c>
      <c r="T151" s="527">
        <f>I151+I152+I153+I154</f>
        <v>23452.310397430636</v>
      </c>
    </row>
    <row r="152" spans="1:20">
      <c r="A152" s="508"/>
      <c r="B152" s="508"/>
      <c r="C152" s="508"/>
      <c r="D152" s="509"/>
      <c r="E152" s="519">
        <f t="shared" si="2"/>
        <v>150</v>
      </c>
      <c r="F152" s="520">
        <v>57558</v>
      </c>
      <c r="G152" s="523">
        <v>67753.364462749072</v>
      </c>
      <c r="H152" s="522">
        <v>61621.110045263478</v>
      </c>
      <c r="I152" s="522">
        <v>6132.2544174855921</v>
      </c>
      <c r="J152" s="522">
        <v>6132.2544174855921</v>
      </c>
      <c r="K152" s="522">
        <v>0</v>
      </c>
      <c r="L152" s="522">
        <v>646343.57561053953</v>
      </c>
      <c r="M152" s="524">
        <v>0</v>
      </c>
      <c r="N152" s="525">
        <v>8.6618083383709354E-3</v>
      </c>
      <c r="O152" s="525">
        <v>0</v>
      </c>
      <c r="P152" s="526" t="s">
        <v>329</v>
      </c>
      <c r="Q152" s="4"/>
      <c r="R152" s="527"/>
      <c r="S152" s="530"/>
      <c r="T152" s="530"/>
    </row>
    <row r="153" spans="1:20">
      <c r="A153" s="508"/>
      <c r="B153" s="508"/>
      <c r="C153" s="508"/>
      <c r="D153" s="509"/>
      <c r="E153" s="519">
        <f t="shared" si="2"/>
        <v>151</v>
      </c>
      <c r="F153" s="520">
        <v>57650</v>
      </c>
      <c r="G153" s="523">
        <v>67753.364462749028</v>
      </c>
      <c r="H153" s="522">
        <v>62154.860290073171</v>
      </c>
      <c r="I153" s="522">
        <v>5598.5041726758564</v>
      </c>
      <c r="J153" s="522">
        <v>5598.5041726758564</v>
      </c>
      <c r="K153" s="522">
        <v>0</v>
      </c>
      <c r="L153" s="522">
        <v>584188.71532046632</v>
      </c>
      <c r="M153" s="524">
        <v>0</v>
      </c>
      <c r="N153" s="525">
        <v>8.6618083383709354E-3</v>
      </c>
      <c r="O153" s="525">
        <v>0</v>
      </c>
      <c r="P153" s="526" t="s">
        <v>329</v>
      </c>
      <c r="Q153" s="4"/>
      <c r="R153" s="527"/>
      <c r="S153" s="527"/>
      <c r="T153" s="527"/>
    </row>
    <row r="154" spans="1:20">
      <c r="A154" s="508"/>
      <c r="B154" s="508"/>
      <c r="C154" s="508"/>
      <c r="D154" s="509"/>
      <c r="E154" s="519">
        <f t="shared" si="2"/>
        <v>152</v>
      </c>
      <c r="F154" s="520">
        <v>57742</v>
      </c>
      <c r="G154" s="523">
        <v>67753.364462748985</v>
      </c>
      <c r="H154" s="522">
        <v>62693.233777203961</v>
      </c>
      <c r="I154" s="522">
        <v>5060.1306855450202</v>
      </c>
      <c r="J154" s="522">
        <v>5060.1306855450202</v>
      </c>
      <c r="K154" s="522">
        <v>0</v>
      </c>
      <c r="L154" s="522">
        <v>521495.48154326237</v>
      </c>
      <c r="M154" s="524">
        <v>0</v>
      </c>
      <c r="N154" s="525">
        <v>8.6618083383709354E-3</v>
      </c>
      <c r="O154" s="525">
        <v>0</v>
      </c>
      <c r="P154" s="526" t="s">
        <v>329</v>
      </c>
      <c r="Q154" s="4"/>
      <c r="R154" s="533"/>
      <c r="S154" s="534"/>
      <c r="T154" s="534"/>
    </row>
    <row r="155" spans="1:20">
      <c r="A155" s="508"/>
      <c r="B155" s="508"/>
      <c r="C155" s="508"/>
      <c r="D155" s="509"/>
      <c r="E155" s="519">
        <f t="shared" si="2"/>
        <v>153</v>
      </c>
      <c r="F155" s="520">
        <v>57831</v>
      </c>
      <c r="G155" s="523">
        <v>67753.364462748941</v>
      </c>
      <c r="H155" s="522">
        <v>63236.270552294744</v>
      </c>
      <c r="I155" s="522">
        <v>4517.0939104541967</v>
      </c>
      <c r="J155" s="522">
        <v>4517.0939104541967</v>
      </c>
      <c r="K155" s="522">
        <v>0</v>
      </c>
      <c r="L155" s="522">
        <v>458259.21099096764</v>
      </c>
      <c r="M155" s="524">
        <v>0</v>
      </c>
      <c r="N155" s="525">
        <v>8.6618083383709354E-3</v>
      </c>
      <c r="O155" s="525">
        <v>0</v>
      </c>
      <c r="P155" s="526" t="s">
        <v>329</v>
      </c>
      <c r="Q155" s="4"/>
      <c r="R155" s="527">
        <f>G155+G156+G157+G158</f>
        <v>271013.45785099553</v>
      </c>
      <c r="S155" s="527">
        <f>H155+H156+H157+H158</f>
        <v>256250.54372918504</v>
      </c>
      <c r="T155" s="527">
        <f>I155+I156+I157+I158</f>
        <v>14762.914121810505</v>
      </c>
    </row>
    <row r="156" spans="1:20">
      <c r="A156" s="508"/>
      <c r="B156" s="508"/>
      <c r="C156" s="508"/>
      <c r="D156" s="509"/>
      <c r="E156" s="519">
        <f t="shared" si="2"/>
        <v>154</v>
      </c>
      <c r="F156" s="520">
        <v>57923</v>
      </c>
      <c r="G156" s="523">
        <v>67753.364462748883</v>
      </c>
      <c r="H156" s="522">
        <v>63784.011007852037</v>
      </c>
      <c r="I156" s="522">
        <v>3969.3534548968491</v>
      </c>
      <c r="J156" s="522">
        <v>3969.3534548968491</v>
      </c>
      <c r="K156" s="522">
        <v>0</v>
      </c>
      <c r="L156" s="522">
        <v>394475.1999831156</v>
      </c>
      <c r="M156" s="524">
        <v>0</v>
      </c>
      <c r="N156" s="525">
        <v>8.6618083383709354E-3</v>
      </c>
      <c r="O156" s="525">
        <v>0</v>
      </c>
      <c r="P156" s="526" t="s">
        <v>329</v>
      </c>
      <c r="Q156" s="4"/>
      <c r="R156" s="527"/>
      <c r="S156" s="530"/>
      <c r="T156" s="530"/>
    </row>
    <row r="157" spans="1:20">
      <c r="A157" s="508"/>
      <c r="B157" s="508"/>
      <c r="C157" s="508"/>
      <c r="D157" s="509"/>
      <c r="E157" s="519">
        <f t="shared" si="2"/>
        <v>155</v>
      </c>
      <c r="F157" s="520">
        <v>58015</v>
      </c>
      <c r="G157" s="523">
        <v>67753.364462748868</v>
      </c>
      <c r="H157" s="522">
        <v>64336.495886254575</v>
      </c>
      <c r="I157" s="522">
        <v>3416.8685764942929</v>
      </c>
      <c r="J157" s="522">
        <v>3416.8685764942929</v>
      </c>
      <c r="K157" s="522">
        <v>0</v>
      </c>
      <c r="L157" s="522">
        <v>330138.70409686101</v>
      </c>
      <c r="M157" s="524">
        <v>0</v>
      </c>
      <c r="N157" s="525">
        <v>8.6618083383709354E-3</v>
      </c>
      <c r="O157" s="525">
        <v>0</v>
      </c>
      <c r="P157" s="526" t="s">
        <v>329</v>
      </c>
      <c r="Q157" s="4"/>
      <c r="R157" s="527"/>
      <c r="S157" s="527"/>
      <c r="T157" s="527"/>
    </row>
    <row r="158" spans="1:20">
      <c r="A158" s="508"/>
      <c r="B158" s="508"/>
      <c r="C158" s="508"/>
      <c r="D158" s="509"/>
      <c r="E158" s="519">
        <f t="shared" si="2"/>
        <v>156</v>
      </c>
      <c r="F158" s="520">
        <v>58107</v>
      </c>
      <c r="G158" s="523">
        <v>67753.364462748839</v>
      </c>
      <c r="H158" s="522">
        <v>64893.766282783676</v>
      </c>
      <c r="I158" s="522">
        <v>2859.5981799651654</v>
      </c>
      <c r="J158" s="522">
        <v>2859.5981799651654</v>
      </c>
      <c r="K158" s="522">
        <v>0</v>
      </c>
      <c r="L158" s="522">
        <v>265244.93781407736</v>
      </c>
      <c r="M158" s="524">
        <v>0</v>
      </c>
      <c r="N158" s="525">
        <v>8.6618083383709354E-3</v>
      </c>
      <c r="O158" s="525">
        <v>0</v>
      </c>
      <c r="P158" s="526" t="s">
        <v>329</v>
      </c>
      <c r="Q158" s="4"/>
      <c r="R158" s="533"/>
      <c r="S158" s="534"/>
      <c r="T158" s="534"/>
    </row>
    <row r="159" spans="1:20">
      <c r="A159" s="508"/>
      <c r="B159" s="508"/>
      <c r="C159" s="508"/>
      <c r="D159" s="509"/>
      <c r="E159" s="519">
        <f t="shared" si="2"/>
        <v>157</v>
      </c>
      <c r="F159" s="520">
        <v>58196</v>
      </c>
      <c r="G159" s="523">
        <v>67753.364462748694</v>
      </c>
      <c r="H159" s="522">
        <v>65455.863648680039</v>
      </c>
      <c r="I159" s="522">
        <v>2297.5008140686555</v>
      </c>
      <c r="J159" s="522">
        <v>2297.5008140686555</v>
      </c>
      <c r="K159" s="522">
        <v>0</v>
      </c>
      <c r="L159" s="522">
        <v>199789.07416539732</v>
      </c>
      <c r="M159" s="524">
        <v>0</v>
      </c>
      <c r="N159" s="525">
        <v>8.6618083383709354E-3</v>
      </c>
      <c r="O159" s="525">
        <v>0</v>
      </c>
      <c r="P159" s="526" t="s">
        <v>329</v>
      </c>
      <c r="Q159" s="4"/>
      <c r="R159" s="527">
        <f>G159+G160+G161+G162</f>
        <v>271013.45785099384</v>
      </c>
      <c r="S159" s="527">
        <f>H159+H160+H161+H162</f>
        <v>265244.93781407771</v>
      </c>
      <c r="T159" s="527">
        <f>I159+I160+I161+I162</f>
        <v>5768.5200369161375</v>
      </c>
    </row>
    <row r="160" spans="1:20">
      <c r="A160" s="508"/>
      <c r="B160" s="508"/>
      <c r="C160" s="508"/>
      <c r="D160" s="509"/>
      <c r="E160" s="519">
        <f t="shared" si="2"/>
        <v>158</v>
      </c>
      <c r="F160" s="520">
        <v>58288</v>
      </c>
      <c r="G160" s="523">
        <v>67753.36446274849</v>
      </c>
      <c r="H160" s="522">
        <v>66022.829794227247</v>
      </c>
      <c r="I160" s="522">
        <v>1730.5346685212478</v>
      </c>
      <c r="J160" s="522">
        <v>1730.5346685212478</v>
      </c>
      <c r="K160" s="522">
        <v>0</v>
      </c>
      <c r="L160" s="522">
        <v>133766.24437117006</v>
      </c>
      <c r="M160" s="524">
        <v>0</v>
      </c>
      <c r="N160" s="525">
        <v>8.6618083383709354E-3</v>
      </c>
      <c r="O160" s="525">
        <v>0</v>
      </c>
      <c r="P160" s="526" t="s">
        <v>329</v>
      </c>
      <c r="Q160" s="4"/>
      <c r="R160" s="527"/>
      <c r="S160" s="530"/>
      <c r="T160" s="530"/>
    </row>
    <row r="161" spans="1:20">
      <c r="A161" s="508"/>
      <c r="B161" s="508"/>
      <c r="C161" s="508"/>
      <c r="D161" s="509"/>
      <c r="E161" s="519">
        <f t="shared" si="2"/>
        <v>159</v>
      </c>
      <c r="F161" s="520">
        <v>58380</v>
      </c>
      <c r="G161" s="523">
        <v>67753.364462748432</v>
      </c>
      <c r="H161" s="522">
        <v>66594.706891861671</v>
      </c>
      <c r="I161" s="522">
        <v>1158.6575708867651</v>
      </c>
      <c r="J161" s="522">
        <v>1158.6575708867651</v>
      </c>
      <c r="K161" s="522">
        <v>0</v>
      </c>
      <c r="L161" s="522">
        <v>67171.53747930839</v>
      </c>
      <c r="M161" s="524">
        <v>0</v>
      </c>
      <c r="N161" s="525">
        <v>8.6618083383709354E-3</v>
      </c>
      <c r="O161" s="525">
        <v>0</v>
      </c>
      <c r="P161" s="526" t="s">
        <v>329</v>
      </c>
      <c r="Q161" s="4"/>
      <c r="R161" s="527"/>
      <c r="S161" s="527"/>
      <c r="T161" s="527"/>
    </row>
    <row r="162" spans="1:20">
      <c r="A162" s="508"/>
      <c r="B162" s="508"/>
      <c r="C162" s="508"/>
      <c r="D162" s="509"/>
      <c r="E162" s="519">
        <f t="shared" si="2"/>
        <v>160</v>
      </c>
      <c r="F162" s="520">
        <v>58472</v>
      </c>
      <c r="G162" s="523">
        <v>67753.364462748214</v>
      </c>
      <c r="H162" s="522">
        <v>67171.537479308739</v>
      </c>
      <c r="I162" s="522">
        <v>581.82698343946925</v>
      </c>
      <c r="J162" s="522">
        <v>581.82698343946925</v>
      </c>
      <c r="K162" s="522">
        <v>0</v>
      </c>
      <c r="L162" s="522">
        <v>-3.4924596548080444E-10</v>
      </c>
      <c r="M162" s="524">
        <v>0</v>
      </c>
      <c r="N162" s="525">
        <v>8.6618083383709354E-3</v>
      </c>
      <c r="O162" s="525">
        <v>0</v>
      </c>
      <c r="P162" s="526" t="s">
        <v>329</v>
      </c>
      <c r="Q162" s="4"/>
      <c r="R162" s="533"/>
      <c r="S162" s="534"/>
      <c r="T162" s="534"/>
    </row>
    <row r="163" spans="1:20" ht="13.5" thickBot="1">
      <c r="A163" s="508"/>
      <c r="B163" s="508"/>
      <c r="C163" s="508"/>
      <c r="D163" s="509"/>
      <c r="E163" s="546"/>
      <c r="F163" s="547" t="s">
        <v>10</v>
      </c>
      <c r="G163" s="548">
        <f>SUM(G2:G162)</f>
        <v>11148835.201521518</v>
      </c>
      <c r="H163" s="548">
        <f>SUM(H2:H162)</f>
        <v>5854058.7556869201</v>
      </c>
      <c r="I163" s="548">
        <f>SUM(I2:I162)</f>
        <v>5294776.4458345594</v>
      </c>
      <c r="J163" s="548">
        <f>SUM(J2:J162)</f>
        <v>5294776.4458345594</v>
      </c>
      <c r="K163" s="548">
        <f>SUM(K2:K162)</f>
        <v>0</v>
      </c>
      <c r="L163" s="548"/>
      <c r="M163" s="548"/>
      <c r="N163" s="548"/>
      <c r="O163" s="548"/>
      <c r="P163" s="549"/>
      <c r="Q163" s="4"/>
      <c r="R163" s="550">
        <f>SUM(R2:R162)</f>
        <v>11148835.20152148</v>
      </c>
      <c r="S163" s="551">
        <f>SUM(S2:S162)</f>
        <v>5854058.7556869229</v>
      </c>
      <c r="T163" s="551">
        <f>SUM(T2:T162)</f>
        <v>5294776.4458345566</v>
      </c>
    </row>
    <row r="164" spans="1:20">
      <c r="H164" s="552">
        <f>C5-H163</f>
        <v>4.3130796402692795E-3</v>
      </c>
      <c r="R164" s="3">
        <f>R163-G163</f>
        <v>-3.7252902984619141E-8</v>
      </c>
      <c r="S164" s="3">
        <f>S163-H163</f>
        <v>0</v>
      </c>
      <c r="T164" s="3">
        <f>T163-I163</f>
        <v>0</v>
      </c>
    </row>
    <row r="165" spans="1:20">
      <c r="T165" s="553">
        <f>T163/S163</f>
        <v>0.90446247070734442</v>
      </c>
    </row>
  </sheetData>
  <mergeCells count="2">
    <mergeCell ref="A8:A12"/>
    <mergeCell ref="A13:A23"/>
  </mergeCells>
  <pageMargins left="0.70866141732283472" right="0.70866141732283472" top="0.74803149606299213" bottom="0.74803149606299213" header="0.31496062992125984" footer="0.31496062992125984"/>
  <pageSetup paperSize="8" scale="46" fitToHeight="2" orientation="portrait" r:id="rId1"/>
  <headerFooter>
    <oddHeader>&amp;LSODEGIS&amp;CLOYER FINANCIER (L1)
RESIDENCE UNIVERSITAIRE
CAMPUS UNIVERSITAIRE DE SAINT-PIERRE&amp;RPLS
VD</oddHeader>
  </headerFooter>
  <legacyDrawing r:id="rId2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F0"/>
    <pageSetUpPr fitToPage="1"/>
  </sheetPr>
  <dimension ref="A1:F18"/>
  <sheetViews>
    <sheetView workbookViewId="0">
      <selection activeCell="G9" sqref="G9"/>
    </sheetView>
  </sheetViews>
  <sheetFormatPr baseColWidth="10" defaultRowHeight="12.75"/>
  <cols>
    <col min="1" max="1" width="12.7109375" style="1" customWidth="1"/>
    <col min="2" max="2" width="23.140625" style="1" bestFit="1" customWidth="1"/>
    <col min="3" max="3" width="22.7109375" style="1" bestFit="1" customWidth="1"/>
    <col min="4" max="4" width="9.5703125" style="1" bestFit="1" customWidth="1"/>
    <col min="5" max="5" width="15.140625" style="1" bestFit="1" customWidth="1"/>
    <col min="6" max="6" width="14.140625" style="1" bestFit="1" customWidth="1"/>
    <col min="7" max="256" width="11.42578125" style="1"/>
    <col min="257" max="257" width="12.7109375" style="1" customWidth="1"/>
    <col min="258" max="258" width="23.140625" style="1" bestFit="1" customWidth="1"/>
    <col min="259" max="259" width="22.7109375" style="1" bestFit="1" customWidth="1"/>
    <col min="260" max="260" width="9.5703125" style="1" bestFit="1" customWidth="1"/>
    <col min="261" max="261" width="15.140625" style="1" bestFit="1" customWidth="1"/>
    <col min="262" max="262" width="14.140625" style="1" bestFit="1" customWidth="1"/>
    <col min="263" max="512" width="11.42578125" style="1"/>
    <col min="513" max="513" width="12.7109375" style="1" customWidth="1"/>
    <col min="514" max="514" width="23.140625" style="1" bestFit="1" customWidth="1"/>
    <col min="515" max="515" width="22.7109375" style="1" bestFit="1" customWidth="1"/>
    <col min="516" max="516" width="9.5703125" style="1" bestFit="1" customWidth="1"/>
    <col min="517" max="517" width="15.140625" style="1" bestFit="1" customWidth="1"/>
    <col min="518" max="518" width="14.140625" style="1" bestFit="1" customWidth="1"/>
    <col min="519" max="768" width="11.42578125" style="1"/>
    <col min="769" max="769" width="12.7109375" style="1" customWidth="1"/>
    <col min="770" max="770" width="23.140625" style="1" bestFit="1" customWidth="1"/>
    <col min="771" max="771" width="22.7109375" style="1" bestFit="1" customWidth="1"/>
    <col min="772" max="772" width="9.5703125" style="1" bestFit="1" customWidth="1"/>
    <col min="773" max="773" width="15.140625" style="1" bestFit="1" customWidth="1"/>
    <col min="774" max="774" width="14.140625" style="1" bestFit="1" customWidth="1"/>
    <col min="775" max="1024" width="11.42578125" style="1"/>
    <col min="1025" max="1025" width="12.7109375" style="1" customWidth="1"/>
    <col min="1026" max="1026" width="23.140625" style="1" bestFit="1" customWidth="1"/>
    <col min="1027" max="1027" width="22.7109375" style="1" bestFit="1" customWidth="1"/>
    <col min="1028" max="1028" width="9.5703125" style="1" bestFit="1" customWidth="1"/>
    <col min="1029" max="1029" width="15.140625" style="1" bestFit="1" customWidth="1"/>
    <col min="1030" max="1030" width="14.140625" style="1" bestFit="1" customWidth="1"/>
    <col min="1031" max="1280" width="11.42578125" style="1"/>
    <col min="1281" max="1281" width="12.7109375" style="1" customWidth="1"/>
    <col min="1282" max="1282" width="23.140625" style="1" bestFit="1" customWidth="1"/>
    <col min="1283" max="1283" width="22.7109375" style="1" bestFit="1" customWidth="1"/>
    <col min="1284" max="1284" width="9.5703125" style="1" bestFit="1" customWidth="1"/>
    <col min="1285" max="1285" width="15.140625" style="1" bestFit="1" customWidth="1"/>
    <col min="1286" max="1286" width="14.140625" style="1" bestFit="1" customWidth="1"/>
    <col min="1287" max="1536" width="11.42578125" style="1"/>
    <col min="1537" max="1537" width="12.7109375" style="1" customWidth="1"/>
    <col min="1538" max="1538" width="23.140625" style="1" bestFit="1" customWidth="1"/>
    <col min="1539" max="1539" width="22.7109375" style="1" bestFit="1" customWidth="1"/>
    <col min="1540" max="1540" width="9.5703125" style="1" bestFit="1" customWidth="1"/>
    <col min="1541" max="1541" width="15.140625" style="1" bestFit="1" customWidth="1"/>
    <col min="1542" max="1542" width="14.140625" style="1" bestFit="1" customWidth="1"/>
    <col min="1543" max="1792" width="11.42578125" style="1"/>
    <col min="1793" max="1793" width="12.7109375" style="1" customWidth="1"/>
    <col min="1794" max="1794" width="23.140625" style="1" bestFit="1" customWidth="1"/>
    <col min="1795" max="1795" width="22.7109375" style="1" bestFit="1" customWidth="1"/>
    <col min="1796" max="1796" width="9.5703125" style="1" bestFit="1" customWidth="1"/>
    <col min="1797" max="1797" width="15.140625" style="1" bestFit="1" customWidth="1"/>
    <col min="1798" max="1798" width="14.140625" style="1" bestFit="1" customWidth="1"/>
    <col min="1799" max="2048" width="11.42578125" style="1"/>
    <col min="2049" max="2049" width="12.7109375" style="1" customWidth="1"/>
    <col min="2050" max="2050" width="23.140625" style="1" bestFit="1" customWidth="1"/>
    <col min="2051" max="2051" width="22.7109375" style="1" bestFit="1" customWidth="1"/>
    <col min="2052" max="2052" width="9.5703125" style="1" bestFit="1" customWidth="1"/>
    <col min="2053" max="2053" width="15.140625" style="1" bestFit="1" customWidth="1"/>
    <col min="2054" max="2054" width="14.140625" style="1" bestFit="1" customWidth="1"/>
    <col min="2055" max="2304" width="11.42578125" style="1"/>
    <col min="2305" max="2305" width="12.7109375" style="1" customWidth="1"/>
    <col min="2306" max="2306" width="23.140625" style="1" bestFit="1" customWidth="1"/>
    <col min="2307" max="2307" width="22.7109375" style="1" bestFit="1" customWidth="1"/>
    <col min="2308" max="2308" width="9.5703125" style="1" bestFit="1" customWidth="1"/>
    <col min="2309" max="2309" width="15.140625" style="1" bestFit="1" customWidth="1"/>
    <col min="2310" max="2310" width="14.140625" style="1" bestFit="1" customWidth="1"/>
    <col min="2311" max="2560" width="11.42578125" style="1"/>
    <col min="2561" max="2561" width="12.7109375" style="1" customWidth="1"/>
    <col min="2562" max="2562" width="23.140625" style="1" bestFit="1" customWidth="1"/>
    <col min="2563" max="2563" width="22.7109375" style="1" bestFit="1" customWidth="1"/>
    <col min="2564" max="2564" width="9.5703125" style="1" bestFit="1" customWidth="1"/>
    <col min="2565" max="2565" width="15.140625" style="1" bestFit="1" customWidth="1"/>
    <col min="2566" max="2566" width="14.140625" style="1" bestFit="1" customWidth="1"/>
    <col min="2567" max="2816" width="11.42578125" style="1"/>
    <col min="2817" max="2817" width="12.7109375" style="1" customWidth="1"/>
    <col min="2818" max="2818" width="23.140625" style="1" bestFit="1" customWidth="1"/>
    <col min="2819" max="2819" width="22.7109375" style="1" bestFit="1" customWidth="1"/>
    <col min="2820" max="2820" width="9.5703125" style="1" bestFit="1" customWidth="1"/>
    <col min="2821" max="2821" width="15.140625" style="1" bestFit="1" customWidth="1"/>
    <col min="2822" max="2822" width="14.140625" style="1" bestFit="1" customWidth="1"/>
    <col min="2823" max="3072" width="11.42578125" style="1"/>
    <col min="3073" max="3073" width="12.7109375" style="1" customWidth="1"/>
    <col min="3074" max="3074" width="23.140625" style="1" bestFit="1" customWidth="1"/>
    <col min="3075" max="3075" width="22.7109375" style="1" bestFit="1" customWidth="1"/>
    <col min="3076" max="3076" width="9.5703125" style="1" bestFit="1" customWidth="1"/>
    <col min="3077" max="3077" width="15.140625" style="1" bestFit="1" customWidth="1"/>
    <col min="3078" max="3078" width="14.140625" style="1" bestFit="1" customWidth="1"/>
    <col min="3079" max="3328" width="11.42578125" style="1"/>
    <col min="3329" max="3329" width="12.7109375" style="1" customWidth="1"/>
    <col min="3330" max="3330" width="23.140625" style="1" bestFit="1" customWidth="1"/>
    <col min="3331" max="3331" width="22.7109375" style="1" bestFit="1" customWidth="1"/>
    <col min="3332" max="3332" width="9.5703125" style="1" bestFit="1" customWidth="1"/>
    <col min="3333" max="3333" width="15.140625" style="1" bestFit="1" customWidth="1"/>
    <col min="3334" max="3334" width="14.140625" style="1" bestFit="1" customWidth="1"/>
    <col min="3335" max="3584" width="11.42578125" style="1"/>
    <col min="3585" max="3585" width="12.7109375" style="1" customWidth="1"/>
    <col min="3586" max="3586" width="23.140625" style="1" bestFit="1" customWidth="1"/>
    <col min="3587" max="3587" width="22.7109375" style="1" bestFit="1" customWidth="1"/>
    <col min="3588" max="3588" width="9.5703125" style="1" bestFit="1" customWidth="1"/>
    <col min="3589" max="3589" width="15.140625" style="1" bestFit="1" customWidth="1"/>
    <col min="3590" max="3590" width="14.140625" style="1" bestFit="1" customWidth="1"/>
    <col min="3591" max="3840" width="11.42578125" style="1"/>
    <col min="3841" max="3841" width="12.7109375" style="1" customWidth="1"/>
    <col min="3842" max="3842" width="23.140625" style="1" bestFit="1" customWidth="1"/>
    <col min="3843" max="3843" width="22.7109375" style="1" bestFit="1" customWidth="1"/>
    <col min="3844" max="3844" width="9.5703125" style="1" bestFit="1" customWidth="1"/>
    <col min="3845" max="3845" width="15.140625" style="1" bestFit="1" customWidth="1"/>
    <col min="3846" max="3846" width="14.140625" style="1" bestFit="1" customWidth="1"/>
    <col min="3847" max="4096" width="11.42578125" style="1"/>
    <col min="4097" max="4097" width="12.7109375" style="1" customWidth="1"/>
    <col min="4098" max="4098" width="23.140625" style="1" bestFit="1" customWidth="1"/>
    <col min="4099" max="4099" width="22.7109375" style="1" bestFit="1" customWidth="1"/>
    <col min="4100" max="4100" width="9.5703125" style="1" bestFit="1" customWidth="1"/>
    <col min="4101" max="4101" width="15.140625" style="1" bestFit="1" customWidth="1"/>
    <col min="4102" max="4102" width="14.140625" style="1" bestFit="1" customWidth="1"/>
    <col min="4103" max="4352" width="11.42578125" style="1"/>
    <col min="4353" max="4353" width="12.7109375" style="1" customWidth="1"/>
    <col min="4354" max="4354" width="23.140625" style="1" bestFit="1" customWidth="1"/>
    <col min="4355" max="4355" width="22.7109375" style="1" bestFit="1" customWidth="1"/>
    <col min="4356" max="4356" width="9.5703125" style="1" bestFit="1" customWidth="1"/>
    <col min="4357" max="4357" width="15.140625" style="1" bestFit="1" customWidth="1"/>
    <col min="4358" max="4358" width="14.140625" style="1" bestFit="1" customWidth="1"/>
    <col min="4359" max="4608" width="11.42578125" style="1"/>
    <col min="4609" max="4609" width="12.7109375" style="1" customWidth="1"/>
    <col min="4610" max="4610" width="23.140625" style="1" bestFit="1" customWidth="1"/>
    <col min="4611" max="4611" width="22.7109375" style="1" bestFit="1" customWidth="1"/>
    <col min="4612" max="4612" width="9.5703125" style="1" bestFit="1" customWidth="1"/>
    <col min="4613" max="4613" width="15.140625" style="1" bestFit="1" customWidth="1"/>
    <col min="4614" max="4614" width="14.140625" style="1" bestFit="1" customWidth="1"/>
    <col min="4615" max="4864" width="11.42578125" style="1"/>
    <col min="4865" max="4865" width="12.7109375" style="1" customWidth="1"/>
    <col min="4866" max="4866" width="23.140625" style="1" bestFit="1" customWidth="1"/>
    <col min="4867" max="4867" width="22.7109375" style="1" bestFit="1" customWidth="1"/>
    <col min="4868" max="4868" width="9.5703125" style="1" bestFit="1" customWidth="1"/>
    <col min="4869" max="4869" width="15.140625" style="1" bestFit="1" customWidth="1"/>
    <col min="4870" max="4870" width="14.140625" style="1" bestFit="1" customWidth="1"/>
    <col min="4871" max="5120" width="11.42578125" style="1"/>
    <col min="5121" max="5121" width="12.7109375" style="1" customWidth="1"/>
    <col min="5122" max="5122" width="23.140625" style="1" bestFit="1" customWidth="1"/>
    <col min="5123" max="5123" width="22.7109375" style="1" bestFit="1" customWidth="1"/>
    <col min="5124" max="5124" width="9.5703125" style="1" bestFit="1" customWidth="1"/>
    <col min="5125" max="5125" width="15.140625" style="1" bestFit="1" customWidth="1"/>
    <col min="5126" max="5126" width="14.140625" style="1" bestFit="1" customWidth="1"/>
    <col min="5127" max="5376" width="11.42578125" style="1"/>
    <col min="5377" max="5377" width="12.7109375" style="1" customWidth="1"/>
    <col min="5378" max="5378" width="23.140625" style="1" bestFit="1" customWidth="1"/>
    <col min="5379" max="5379" width="22.7109375" style="1" bestFit="1" customWidth="1"/>
    <col min="5380" max="5380" width="9.5703125" style="1" bestFit="1" customWidth="1"/>
    <col min="5381" max="5381" width="15.140625" style="1" bestFit="1" customWidth="1"/>
    <col min="5382" max="5382" width="14.140625" style="1" bestFit="1" customWidth="1"/>
    <col min="5383" max="5632" width="11.42578125" style="1"/>
    <col min="5633" max="5633" width="12.7109375" style="1" customWidth="1"/>
    <col min="5634" max="5634" width="23.140625" style="1" bestFit="1" customWidth="1"/>
    <col min="5635" max="5635" width="22.7109375" style="1" bestFit="1" customWidth="1"/>
    <col min="5636" max="5636" width="9.5703125" style="1" bestFit="1" customWidth="1"/>
    <col min="5637" max="5637" width="15.140625" style="1" bestFit="1" customWidth="1"/>
    <col min="5638" max="5638" width="14.140625" style="1" bestFit="1" customWidth="1"/>
    <col min="5639" max="5888" width="11.42578125" style="1"/>
    <col min="5889" max="5889" width="12.7109375" style="1" customWidth="1"/>
    <col min="5890" max="5890" width="23.140625" style="1" bestFit="1" customWidth="1"/>
    <col min="5891" max="5891" width="22.7109375" style="1" bestFit="1" customWidth="1"/>
    <col min="5892" max="5892" width="9.5703125" style="1" bestFit="1" customWidth="1"/>
    <col min="5893" max="5893" width="15.140625" style="1" bestFit="1" customWidth="1"/>
    <col min="5894" max="5894" width="14.140625" style="1" bestFit="1" customWidth="1"/>
    <col min="5895" max="6144" width="11.42578125" style="1"/>
    <col min="6145" max="6145" width="12.7109375" style="1" customWidth="1"/>
    <col min="6146" max="6146" width="23.140625" style="1" bestFit="1" customWidth="1"/>
    <col min="6147" max="6147" width="22.7109375" style="1" bestFit="1" customWidth="1"/>
    <col min="6148" max="6148" width="9.5703125" style="1" bestFit="1" customWidth="1"/>
    <col min="6149" max="6149" width="15.140625" style="1" bestFit="1" customWidth="1"/>
    <col min="6150" max="6150" width="14.140625" style="1" bestFit="1" customWidth="1"/>
    <col min="6151" max="6400" width="11.42578125" style="1"/>
    <col min="6401" max="6401" width="12.7109375" style="1" customWidth="1"/>
    <col min="6402" max="6402" width="23.140625" style="1" bestFit="1" customWidth="1"/>
    <col min="6403" max="6403" width="22.7109375" style="1" bestFit="1" customWidth="1"/>
    <col min="6404" max="6404" width="9.5703125" style="1" bestFit="1" customWidth="1"/>
    <col min="6405" max="6405" width="15.140625" style="1" bestFit="1" customWidth="1"/>
    <col min="6406" max="6406" width="14.140625" style="1" bestFit="1" customWidth="1"/>
    <col min="6407" max="6656" width="11.42578125" style="1"/>
    <col min="6657" max="6657" width="12.7109375" style="1" customWidth="1"/>
    <col min="6658" max="6658" width="23.140625" style="1" bestFit="1" customWidth="1"/>
    <col min="6659" max="6659" width="22.7109375" style="1" bestFit="1" customWidth="1"/>
    <col min="6660" max="6660" width="9.5703125" style="1" bestFit="1" customWidth="1"/>
    <col min="6661" max="6661" width="15.140625" style="1" bestFit="1" customWidth="1"/>
    <col min="6662" max="6662" width="14.140625" style="1" bestFit="1" customWidth="1"/>
    <col min="6663" max="6912" width="11.42578125" style="1"/>
    <col min="6913" max="6913" width="12.7109375" style="1" customWidth="1"/>
    <col min="6914" max="6914" width="23.140625" style="1" bestFit="1" customWidth="1"/>
    <col min="6915" max="6915" width="22.7109375" style="1" bestFit="1" customWidth="1"/>
    <col min="6916" max="6916" width="9.5703125" style="1" bestFit="1" customWidth="1"/>
    <col min="6917" max="6917" width="15.140625" style="1" bestFit="1" customWidth="1"/>
    <col min="6918" max="6918" width="14.140625" style="1" bestFit="1" customWidth="1"/>
    <col min="6919" max="7168" width="11.42578125" style="1"/>
    <col min="7169" max="7169" width="12.7109375" style="1" customWidth="1"/>
    <col min="7170" max="7170" width="23.140625" style="1" bestFit="1" customWidth="1"/>
    <col min="7171" max="7171" width="22.7109375" style="1" bestFit="1" customWidth="1"/>
    <col min="7172" max="7172" width="9.5703125" style="1" bestFit="1" customWidth="1"/>
    <col min="7173" max="7173" width="15.140625" style="1" bestFit="1" customWidth="1"/>
    <col min="7174" max="7174" width="14.140625" style="1" bestFit="1" customWidth="1"/>
    <col min="7175" max="7424" width="11.42578125" style="1"/>
    <col min="7425" max="7425" width="12.7109375" style="1" customWidth="1"/>
    <col min="7426" max="7426" width="23.140625" style="1" bestFit="1" customWidth="1"/>
    <col min="7427" max="7427" width="22.7109375" style="1" bestFit="1" customWidth="1"/>
    <col min="7428" max="7428" width="9.5703125" style="1" bestFit="1" customWidth="1"/>
    <col min="7429" max="7429" width="15.140625" style="1" bestFit="1" customWidth="1"/>
    <col min="7430" max="7430" width="14.140625" style="1" bestFit="1" customWidth="1"/>
    <col min="7431" max="7680" width="11.42578125" style="1"/>
    <col min="7681" max="7681" width="12.7109375" style="1" customWidth="1"/>
    <col min="7682" max="7682" width="23.140625" style="1" bestFit="1" customWidth="1"/>
    <col min="7683" max="7683" width="22.7109375" style="1" bestFit="1" customWidth="1"/>
    <col min="7684" max="7684" width="9.5703125" style="1" bestFit="1" customWidth="1"/>
    <col min="7685" max="7685" width="15.140625" style="1" bestFit="1" customWidth="1"/>
    <col min="7686" max="7686" width="14.140625" style="1" bestFit="1" customWidth="1"/>
    <col min="7687" max="7936" width="11.42578125" style="1"/>
    <col min="7937" max="7937" width="12.7109375" style="1" customWidth="1"/>
    <col min="7938" max="7938" width="23.140625" style="1" bestFit="1" customWidth="1"/>
    <col min="7939" max="7939" width="22.7109375" style="1" bestFit="1" customWidth="1"/>
    <col min="7940" max="7940" width="9.5703125" style="1" bestFit="1" customWidth="1"/>
    <col min="7941" max="7941" width="15.140625" style="1" bestFit="1" customWidth="1"/>
    <col min="7942" max="7942" width="14.140625" style="1" bestFit="1" customWidth="1"/>
    <col min="7943" max="8192" width="11.42578125" style="1"/>
    <col min="8193" max="8193" width="12.7109375" style="1" customWidth="1"/>
    <col min="8194" max="8194" width="23.140625" style="1" bestFit="1" customWidth="1"/>
    <col min="8195" max="8195" width="22.7109375" style="1" bestFit="1" customWidth="1"/>
    <col min="8196" max="8196" width="9.5703125" style="1" bestFit="1" customWidth="1"/>
    <col min="8197" max="8197" width="15.140625" style="1" bestFit="1" customWidth="1"/>
    <col min="8198" max="8198" width="14.140625" style="1" bestFit="1" customWidth="1"/>
    <col min="8199" max="8448" width="11.42578125" style="1"/>
    <col min="8449" max="8449" width="12.7109375" style="1" customWidth="1"/>
    <col min="8450" max="8450" width="23.140625" style="1" bestFit="1" customWidth="1"/>
    <col min="8451" max="8451" width="22.7109375" style="1" bestFit="1" customWidth="1"/>
    <col min="8452" max="8452" width="9.5703125" style="1" bestFit="1" customWidth="1"/>
    <col min="8453" max="8453" width="15.140625" style="1" bestFit="1" customWidth="1"/>
    <col min="8454" max="8454" width="14.140625" style="1" bestFit="1" customWidth="1"/>
    <col min="8455" max="8704" width="11.42578125" style="1"/>
    <col min="8705" max="8705" width="12.7109375" style="1" customWidth="1"/>
    <col min="8706" max="8706" width="23.140625" style="1" bestFit="1" customWidth="1"/>
    <col min="8707" max="8707" width="22.7109375" style="1" bestFit="1" customWidth="1"/>
    <col min="8708" max="8708" width="9.5703125" style="1" bestFit="1" customWidth="1"/>
    <col min="8709" max="8709" width="15.140625" style="1" bestFit="1" customWidth="1"/>
    <col min="8710" max="8710" width="14.140625" style="1" bestFit="1" customWidth="1"/>
    <col min="8711" max="8960" width="11.42578125" style="1"/>
    <col min="8961" max="8961" width="12.7109375" style="1" customWidth="1"/>
    <col min="8962" max="8962" width="23.140625" style="1" bestFit="1" customWidth="1"/>
    <col min="8963" max="8963" width="22.7109375" style="1" bestFit="1" customWidth="1"/>
    <col min="8964" max="8964" width="9.5703125" style="1" bestFit="1" customWidth="1"/>
    <col min="8965" max="8965" width="15.140625" style="1" bestFit="1" customWidth="1"/>
    <col min="8966" max="8966" width="14.140625" style="1" bestFit="1" customWidth="1"/>
    <col min="8967" max="9216" width="11.42578125" style="1"/>
    <col min="9217" max="9217" width="12.7109375" style="1" customWidth="1"/>
    <col min="9218" max="9218" width="23.140625" style="1" bestFit="1" customWidth="1"/>
    <col min="9219" max="9219" width="22.7109375" style="1" bestFit="1" customWidth="1"/>
    <col min="9220" max="9220" width="9.5703125" style="1" bestFit="1" customWidth="1"/>
    <col min="9221" max="9221" width="15.140625" style="1" bestFit="1" customWidth="1"/>
    <col min="9222" max="9222" width="14.140625" style="1" bestFit="1" customWidth="1"/>
    <col min="9223" max="9472" width="11.42578125" style="1"/>
    <col min="9473" max="9473" width="12.7109375" style="1" customWidth="1"/>
    <col min="9474" max="9474" width="23.140625" style="1" bestFit="1" customWidth="1"/>
    <col min="9475" max="9475" width="22.7109375" style="1" bestFit="1" customWidth="1"/>
    <col min="9476" max="9476" width="9.5703125" style="1" bestFit="1" customWidth="1"/>
    <col min="9477" max="9477" width="15.140625" style="1" bestFit="1" customWidth="1"/>
    <col min="9478" max="9478" width="14.140625" style="1" bestFit="1" customWidth="1"/>
    <col min="9479" max="9728" width="11.42578125" style="1"/>
    <col min="9729" max="9729" width="12.7109375" style="1" customWidth="1"/>
    <col min="9730" max="9730" width="23.140625" style="1" bestFit="1" customWidth="1"/>
    <col min="9731" max="9731" width="22.7109375" style="1" bestFit="1" customWidth="1"/>
    <col min="9732" max="9732" width="9.5703125" style="1" bestFit="1" customWidth="1"/>
    <col min="9733" max="9733" width="15.140625" style="1" bestFit="1" customWidth="1"/>
    <col min="9734" max="9734" width="14.140625" style="1" bestFit="1" customWidth="1"/>
    <col min="9735" max="9984" width="11.42578125" style="1"/>
    <col min="9985" max="9985" width="12.7109375" style="1" customWidth="1"/>
    <col min="9986" max="9986" width="23.140625" style="1" bestFit="1" customWidth="1"/>
    <col min="9987" max="9987" width="22.7109375" style="1" bestFit="1" customWidth="1"/>
    <col min="9988" max="9988" width="9.5703125" style="1" bestFit="1" customWidth="1"/>
    <col min="9989" max="9989" width="15.140625" style="1" bestFit="1" customWidth="1"/>
    <col min="9990" max="9990" width="14.140625" style="1" bestFit="1" customWidth="1"/>
    <col min="9991" max="10240" width="11.42578125" style="1"/>
    <col min="10241" max="10241" width="12.7109375" style="1" customWidth="1"/>
    <col min="10242" max="10242" width="23.140625" style="1" bestFit="1" customWidth="1"/>
    <col min="10243" max="10243" width="22.7109375" style="1" bestFit="1" customWidth="1"/>
    <col min="10244" max="10244" width="9.5703125" style="1" bestFit="1" customWidth="1"/>
    <col min="10245" max="10245" width="15.140625" style="1" bestFit="1" customWidth="1"/>
    <col min="10246" max="10246" width="14.140625" style="1" bestFit="1" customWidth="1"/>
    <col min="10247" max="10496" width="11.42578125" style="1"/>
    <col min="10497" max="10497" width="12.7109375" style="1" customWidth="1"/>
    <col min="10498" max="10498" width="23.140625" style="1" bestFit="1" customWidth="1"/>
    <col min="10499" max="10499" width="22.7109375" style="1" bestFit="1" customWidth="1"/>
    <col min="10500" max="10500" width="9.5703125" style="1" bestFit="1" customWidth="1"/>
    <col min="10501" max="10501" width="15.140625" style="1" bestFit="1" customWidth="1"/>
    <col min="10502" max="10502" width="14.140625" style="1" bestFit="1" customWidth="1"/>
    <col min="10503" max="10752" width="11.42578125" style="1"/>
    <col min="10753" max="10753" width="12.7109375" style="1" customWidth="1"/>
    <col min="10754" max="10754" width="23.140625" style="1" bestFit="1" customWidth="1"/>
    <col min="10755" max="10755" width="22.7109375" style="1" bestFit="1" customWidth="1"/>
    <col min="10756" max="10756" width="9.5703125" style="1" bestFit="1" customWidth="1"/>
    <col min="10757" max="10757" width="15.140625" style="1" bestFit="1" customWidth="1"/>
    <col min="10758" max="10758" width="14.140625" style="1" bestFit="1" customWidth="1"/>
    <col min="10759" max="11008" width="11.42578125" style="1"/>
    <col min="11009" max="11009" width="12.7109375" style="1" customWidth="1"/>
    <col min="11010" max="11010" width="23.140625" style="1" bestFit="1" customWidth="1"/>
    <col min="11011" max="11011" width="22.7109375" style="1" bestFit="1" customWidth="1"/>
    <col min="11012" max="11012" width="9.5703125" style="1" bestFit="1" customWidth="1"/>
    <col min="11013" max="11013" width="15.140625" style="1" bestFit="1" customWidth="1"/>
    <col min="11014" max="11014" width="14.140625" style="1" bestFit="1" customWidth="1"/>
    <col min="11015" max="11264" width="11.42578125" style="1"/>
    <col min="11265" max="11265" width="12.7109375" style="1" customWidth="1"/>
    <col min="11266" max="11266" width="23.140625" style="1" bestFit="1" customWidth="1"/>
    <col min="11267" max="11267" width="22.7109375" style="1" bestFit="1" customWidth="1"/>
    <col min="11268" max="11268" width="9.5703125" style="1" bestFit="1" customWidth="1"/>
    <col min="11269" max="11269" width="15.140625" style="1" bestFit="1" customWidth="1"/>
    <col min="11270" max="11270" width="14.140625" style="1" bestFit="1" customWidth="1"/>
    <col min="11271" max="11520" width="11.42578125" style="1"/>
    <col min="11521" max="11521" width="12.7109375" style="1" customWidth="1"/>
    <col min="11522" max="11522" width="23.140625" style="1" bestFit="1" customWidth="1"/>
    <col min="11523" max="11523" width="22.7109375" style="1" bestFit="1" customWidth="1"/>
    <col min="11524" max="11524" width="9.5703125" style="1" bestFit="1" customWidth="1"/>
    <col min="11525" max="11525" width="15.140625" style="1" bestFit="1" customWidth="1"/>
    <col min="11526" max="11526" width="14.140625" style="1" bestFit="1" customWidth="1"/>
    <col min="11527" max="11776" width="11.42578125" style="1"/>
    <col min="11777" max="11777" width="12.7109375" style="1" customWidth="1"/>
    <col min="11778" max="11778" width="23.140625" style="1" bestFit="1" customWidth="1"/>
    <col min="11779" max="11779" width="22.7109375" style="1" bestFit="1" customWidth="1"/>
    <col min="11780" max="11780" width="9.5703125" style="1" bestFit="1" customWidth="1"/>
    <col min="11781" max="11781" width="15.140625" style="1" bestFit="1" customWidth="1"/>
    <col min="11782" max="11782" width="14.140625" style="1" bestFit="1" customWidth="1"/>
    <col min="11783" max="12032" width="11.42578125" style="1"/>
    <col min="12033" max="12033" width="12.7109375" style="1" customWidth="1"/>
    <col min="12034" max="12034" width="23.140625" style="1" bestFit="1" customWidth="1"/>
    <col min="12035" max="12035" width="22.7109375" style="1" bestFit="1" customWidth="1"/>
    <col min="12036" max="12036" width="9.5703125" style="1" bestFit="1" customWidth="1"/>
    <col min="12037" max="12037" width="15.140625" style="1" bestFit="1" customWidth="1"/>
    <col min="12038" max="12038" width="14.140625" style="1" bestFit="1" customWidth="1"/>
    <col min="12039" max="12288" width="11.42578125" style="1"/>
    <col min="12289" max="12289" width="12.7109375" style="1" customWidth="1"/>
    <col min="12290" max="12290" width="23.140625" style="1" bestFit="1" customWidth="1"/>
    <col min="12291" max="12291" width="22.7109375" style="1" bestFit="1" customWidth="1"/>
    <col min="12292" max="12292" width="9.5703125" style="1" bestFit="1" customWidth="1"/>
    <col min="12293" max="12293" width="15.140625" style="1" bestFit="1" customWidth="1"/>
    <col min="12294" max="12294" width="14.140625" style="1" bestFit="1" customWidth="1"/>
    <col min="12295" max="12544" width="11.42578125" style="1"/>
    <col min="12545" max="12545" width="12.7109375" style="1" customWidth="1"/>
    <col min="12546" max="12546" width="23.140625" style="1" bestFit="1" customWidth="1"/>
    <col min="12547" max="12547" width="22.7109375" style="1" bestFit="1" customWidth="1"/>
    <col min="12548" max="12548" width="9.5703125" style="1" bestFit="1" customWidth="1"/>
    <col min="12549" max="12549" width="15.140625" style="1" bestFit="1" customWidth="1"/>
    <col min="12550" max="12550" width="14.140625" style="1" bestFit="1" customWidth="1"/>
    <col min="12551" max="12800" width="11.42578125" style="1"/>
    <col min="12801" max="12801" width="12.7109375" style="1" customWidth="1"/>
    <col min="12802" max="12802" width="23.140625" style="1" bestFit="1" customWidth="1"/>
    <col min="12803" max="12803" width="22.7109375" style="1" bestFit="1" customWidth="1"/>
    <col min="12804" max="12804" width="9.5703125" style="1" bestFit="1" customWidth="1"/>
    <col min="12805" max="12805" width="15.140625" style="1" bestFit="1" customWidth="1"/>
    <col min="12806" max="12806" width="14.140625" style="1" bestFit="1" customWidth="1"/>
    <col min="12807" max="13056" width="11.42578125" style="1"/>
    <col min="13057" max="13057" width="12.7109375" style="1" customWidth="1"/>
    <col min="13058" max="13058" width="23.140625" style="1" bestFit="1" customWidth="1"/>
    <col min="13059" max="13059" width="22.7109375" style="1" bestFit="1" customWidth="1"/>
    <col min="13060" max="13060" width="9.5703125" style="1" bestFit="1" customWidth="1"/>
    <col min="13061" max="13061" width="15.140625" style="1" bestFit="1" customWidth="1"/>
    <col min="13062" max="13062" width="14.140625" style="1" bestFit="1" customWidth="1"/>
    <col min="13063" max="13312" width="11.42578125" style="1"/>
    <col min="13313" max="13313" width="12.7109375" style="1" customWidth="1"/>
    <col min="13314" max="13314" width="23.140625" style="1" bestFit="1" customWidth="1"/>
    <col min="13315" max="13315" width="22.7109375" style="1" bestFit="1" customWidth="1"/>
    <col min="13316" max="13316" width="9.5703125" style="1" bestFit="1" customWidth="1"/>
    <col min="13317" max="13317" width="15.140625" style="1" bestFit="1" customWidth="1"/>
    <col min="13318" max="13318" width="14.140625" style="1" bestFit="1" customWidth="1"/>
    <col min="13319" max="13568" width="11.42578125" style="1"/>
    <col min="13569" max="13569" width="12.7109375" style="1" customWidth="1"/>
    <col min="13570" max="13570" width="23.140625" style="1" bestFit="1" customWidth="1"/>
    <col min="13571" max="13571" width="22.7109375" style="1" bestFit="1" customWidth="1"/>
    <col min="13572" max="13572" width="9.5703125" style="1" bestFit="1" customWidth="1"/>
    <col min="13573" max="13573" width="15.140625" style="1" bestFit="1" customWidth="1"/>
    <col min="13574" max="13574" width="14.140625" style="1" bestFit="1" customWidth="1"/>
    <col min="13575" max="13824" width="11.42578125" style="1"/>
    <col min="13825" max="13825" width="12.7109375" style="1" customWidth="1"/>
    <col min="13826" max="13826" width="23.140625" style="1" bestFit="1" customWidth="1"/>
    <col min="13827" max="13827" width="22.7109375" style="1" bestFit="1" customWidth="1"/>
    <col min="13828" max="13828" width="9.5703125" style="1" bestFit="1" customWidth="1"/>
    <col min="13829" max="13829" width="15.140625" style="1" bestFit="1" customWidth="1"/>
    <col min="13830" max="13830" width="14.140625" style="1" bestFit="1" customWidth="1"/>
    <col min="13831" max="14080" width="11.42578125" style="1"/>
    <col min="14081" max="14081" width="12.7109375" style="1" customWidth="1"/>
    <col min="14082" max="14082" width="23.140625" style="1" bestFit="1" customWidth="1"/>
    <col min="14083" max="14083" width="22.7109375" style="1" bestFit="1" customWidth="1"/>
    <col min="14084" max="14084" width="9.5703125" style="1" bestFit="1" customWidth="1"/>
    <col min="14085" max="14085" width="15.140625" style="1" bestFit="1" customWidth="1"/>
    <col min="14086" max="14086" width="14.140625" style="1" bestFit="1" customWidth="1"/>
    <col min="14087" max="14336" width="11.42578125" style="1"/>
    <col min="14337" max="14337" width="12.7109375" style="1" customWidth="1"/>
    <col min="14338" max="14338" width="23.140625" style="1" bestFit="1" customWidth="1"/>
    <col min="14339" max="14339" width="22.7109375" style="1" bestFit="1" customWidth="1"/>
    <col min="14340" max="14340" width="9.5703125" style="1" bestFit="1" customWidth="1"/>
    <col min="14341" max="14341" width="15.140625" style="1" bestFit="1" customWidth="1"/>
    <col min="14342" max="14342" width="14.140625" style="1" bestFit="1" customWidth="1"/>
    <col min="14343" max="14592" width="11.42578125" style="1"/>
    <col min="14593" max="14593" width="12.7109375" style="1" customWidth="1"/>
    <col min="14594" max="14594" width="23.140625" style="1" bestFit="1" customWidth="1"/>
    <col min="14595" max="14595" width="22.7109375" style="1" bestFit="1" customWidth="1"/>
    <col min="14596" max="14596" width="9.5703125" style="1" bestFit="1" customWidth="1"/>
    <col min="14597" max="14597" width="15.140625" style="1" bestFit="1" customWidth="1"/>
    <col min="14598" max="14598" width="14.140625" style="1" bestFit="1" customWidth="1"/>
    <col min="14599" max="14848" width="11.42578125" style="1"/>
    <col min="14849" max="14849" width="12.7109375" style="1" customWidth="1"/>
    <col min="14850" max="14850" width="23.140625" style="1" bestFit="1" customWidth="1"/>
    <col min="14851" max="14851" width="22.7109375" style="1" bestFit="1" customWidth="1"/>
    <col min="14852" max="14852" width="9.5703125" style="1" bestFit="1" customWidth="1"/>
    <col min="14853" max="14853" width="15.140625" style="1" bestFit="1" customWidth="1"/>
    <col min="14854" max="14854" width="14.140625" style="1" bestFit="1" customWidth="1"/>
    <col min="14855" max="15104" width="11.42578125" style="1"/>
    <col min="15105" max="15105" width="12.7109375" style="1" customWidth="1"/>
    <col min="15106" max="15106" width="23.140625" style="1" bestFit="1" customWidth="1"/>
    <col min="15107" max="15107" width="22.7109375" style="1" bestFit="1" customWidth="1"/>
    <col min="15108" max="15108" width="9.5703125" style="1" bestFit="1" customWidth="1"/>
    <col min="15109" max="15109" width="15.140625" style="1" bestFit="1" customWidth="1"/>
    <col min="15110" max="15110" width="14.140625" style="1" bestFit="1" customWidth="1"/>
    <col min="15111" max="15360" width="11.42578125" style="1"/>
    <col min="15361" max="15361" width="12.7109375" style="1" customWidth="1"/>
    <col min="15362" max="15362" width="23.140625" style="1" bestFit="1" customWidth="1"/>
    <col min="15363" max="15363" width="22.7109375" style="1" bestFit="1" customWidth="1"/>
    <col min="15364" max="15364" width="9.5703125" style="1" bestFit="1" customWidth="1"/>
    <col min="15365" max="15365" width="15.140625" style="1" bestFit="1" customWidth="1"/>
    <col min="15366" max="15366" width="14.140625" style="1" bestFit="1" customWidth="1"/>
    <col min="15367" max="15616" width="11.42578125" style="1"/>
    <col min="15617" max="15617" width="12.7109375" style="1" customWidth="1"/>
    <col min="15618" max="15618" width="23.140625" style="1" bestFit="1" customWidth="1"/>
    <col min="15619" max="15619" width="22.7109375" style="1" bestFit="1" customWidth="1"/>
    <col min="15620" max="15620" width="9.5703125" style="1" bestFit="1" customWidth="1"/>
    <col min="15621" max="15621" width="15.140625" style="1" bestFit="1" customWidth="1"/>
    <col min="15622" max="15622" width="14.140625" style="1" bestFit="1" customWidth="1"/>
    <col min="15623" max="15872" width="11.42578125" style="1"/>
    <col min="15873" max="15873" width="12.7109375" style="1" customWidth="1"/>
    <col min="15874" max="15874" width="23.140625" style="1" bestFit="1" customWidth="1"/>
    <col min="15875" max="15875" width="22.7109375" style="1" bestFit="1" customWidth="1"/>
    <col min="15876" max="15876" width="9.5703125" style="1" bestFit="1" customWidth="1"/>
    <col min="15877" max="15877" width="15.140625" style="1" bestFit="1" customWidth="1"/>
    <col min="15878" max="15878" width="14.140625" style="1" bestFit="1" customWidth="1"/>
    <col min="15879" max="16128" width="11.42578125" style="1"/>
    <col min="16129" max="16129" width="12.7109375" style="1" customWidth="1"/>
    <col min="16130" max="16130" width="23.140625" style="1" bestFit="1" customWidth="1"/>
    <col min="16131" max="16131" width="22.7109375" style="1" bestFit="1" customWidth="1"/>
    <col min="16132" max="16132" width="9.5703125" style="1" bestFit="1" customWidth="1"/>
    <col min="16133" max="16133" width="15.140625" style="1" bestFit="1" customWidth="1"/>
    <col min="16134" max="16134" width="14.140625" style="1" bestFit="1" customWidth="1"/>
    <col min="16135" max="16384" width="11.42578125" style="1"/>
  </cols>
  <sheetData>
    <row r="1" spans="1:6" ht="15">
      <c r="A1" s="703" t="s">
        <v>395</v>
      </c>
      <c r="B1" s="704"/>
      <c r="C1" s="704"/>
      <c r="D1" s="704"/>
      <c r="E1" s="704"/>
      <c r="F1" s="705"/>
    </row>
    <row r="2" spans="1:6" ht="15">
      <c r="A2" s="554" t="s">
        <v>396</v>
      </c>
      <c r="B2" s="555" t="s">
        <v>397</v>
      </c>
      <c r="C2" s="555" t="s">
        <v>398</v>
      </c>
      <c r="D2" s="556" t="s">
        <v>399</v>
      </c>
      <c r="E2" s="556" t="s">
        <v>400</v>
      </c>
      <c r="F2" s="556" t="s">
        <v>401</v>
      </c>
    </row>
    <row r="3" spans="1:6">
      <c r="A3" s="557">
        <v>2</v>
      </c>
      <c r="B3" s="558">
        <v>10942.56</v>
      </c>
      <c r="C3" s="558">
        <v>26864.460000000003</v>
      </c>
      <c r="D3" s="558">
        <v>2880.2</v>
      </c>
      <c r="E3" s="559">
        <f t="shared" ref="E3:E8" si="0">B3/D3</f>
        <v>3.7992361641552672</v>
      </c>
      <c r="F3" s="559">
        <f t="shared" ref="F3:F8" si="1">C3/D3</f>
        <v>9.3272897715436436</v>
      </c>
    </row>
    <row r="4" spans="1:6">
      <c r="A4" s="557">
        <v>5</v>
      </c>
      <c r="B4" s="558">
        <v>14063.759999999998</v>
      </c>
      <c r="C4" s="558">
        <v>34566.800000000003</v>
      </c>
      <c r="D4" s="558">
        <v>3476.86</v>
      </c>
      <c r="E4" s="559">
        <f t="shared" si="0"/>
        <v>4.0449601076833686</v>
      </c>
      <c r="F4" s="559">
        <f t="shared" si="1"/>
        <v>9.9419591240372061</v>
      </c>
    </row>
    <row r="5" spans="1:6">
      <c r="A5" s="557">
        <v>7</v>
      </c>
      <c r="B5" s="558">
        <v>20577.240000000002</v>
      </c>
      <c r="C5" s="558">
        <v>50512.23</v>
      </c>
      <c r="D5" s="558">
        <v>5571.03</v>
      </c>
      <c r="E5" s="559">
        <f t="shared" si="0"/>
        <v>3.6936150047657259</v>
      </c>
      <c r="F5" s="559">
        <f t="shared" si="1"/>
        <v>9.0669463276988278</v>
      </c>
    </row>
    <row r="6" spans="1:6">
      <c r="A6" s="557">
        <v>13</v>
      </c>
      <c r="B6" s="558">
        <v>13734.36</v>
      </c>
      <c r="C6" s="558">
        <v>33706.749999999993</v>
      </c>
      <c r="D6" s="558">
        <v>5563.26</v>
      </c>
      <c r="E6" s="559">
        <f t="shared" si="0"/>
        <v>2.4687611220759051</v>
      </c>
      <c r="F6" s="559">
        <f t="shared" si="1"/>
        <v>6.0588126386327428</v>
      </c>
    </row>
    <row r="7" spans="1:6">
      <c r="A7" s="557">
        <v>14</v>
      </c>
      <c r="B7" s="558">
        <v>5294.1600000000008</v>
      </c>
      <c r="C7" s="558">
        <v>13002.720000000001</v>
      </c>
      <c r="D7" s="558">
        <v>1488.12</v>
      </c>
      <c r="E7" s="559">
        <f t="shared" si="0"/>
        <v>3.557616321264415</v>
      </c>
      <c r="F7" s="559">
        <f t="shared" si="1"/>
        <v>8.7376824449641166</v>
      </c>
    </row>
    <row r="8" spans="1:6">
      <c r="A8" s="557">
        <v>19</v>
      </c>
      <c r="B8" s="558">
        <v>6131.1600000000008</v>
      </c>
      <c r="C8" s="558">
        <v>15052.419999999998</v>
      </c>
      <c r="D8" s="558">
        <v>2621.53</v>
      </c>
      <c r="E8" s="559">
        <f t="shared" si="0"/>
        <v>2.3387716333591455</v>
      </c>
      <c r="F8" s="559">
        <f t="shared" si="1"/>
        <v>5.7418454108860084</v>
      </c>
    </row>
    <row r="9" spans="1:6" ht="15">
      <c r="A9" s="560" t="s">
        <v>402</v>
      </c>
      <c r="B9" s="561">
        <v>70743.240000000005</v>
      </c>
      <c r="C9" s="561">
        <v>173705.38</v>
      </c>
      <c r="D9" s="562" t="s">
        <v>403</v>
      </c>
      <c r="E9" s="563">
        <f>AVERAGE(E3:E8)</f>
        <v>3.3171600588839709</v>
      </c>
      <c r="F9" s="564">
        <f>AVERAGE(F3:F8)</f>
        <v>8.1457559529604247</v>
      </c>
    </row>
    <row r="10" spans="1:6">
      <c r="A10" s="16"/>
      <c r="B10" s="16"/>
      <c r="C10" s="16"/>
      <c r="D10" s="16"/>
      <c r="E10" s="16"/>
      <c r="F10" s="16"/>
    </row>
    <row r="11" spans="1:6">
      <c r="A11" s="16"/>
      <c r="B11" s="16"/>
      <c r="C11" s="16"/>
      <c r="D11" s="16"/>
      <c r="E11" s="16"/>
      <c r="F11" s="16"/>
    </row>
    <row r="12" spans="1:6">
      <c r="A12" s="16"/>
      <c r="B12" s="16"/>
      <c r="C12" s="16"/>
      <c r="D12" s="16"/>
      <c r="E12" s="16"/>
      <c r="F12" s="16"/>
    </row>
    <row r="13" spans="1:6">
      <c r="A13" s="16"/>
      <c r="B13" s="16"/>
      <c r="C13" s="16"/>
      <c r="D13" s="16"/>
      <c r="E13" s="16"/>
      <c r="F13" s="16"/>
    </row>
    <row r="14" spans="1:6" ht="15">
      <c r="A14" s="16"/>
      <c r="B14" s="703" t="s">
        <v>404</v>
      </c>
      <c r="C14" s="704"/>
      <c r="D14" s="704"/>
      <c r="E14" s="705"/>
      <c r="F14" s="16"/>
    </row>
    <row r="15" spans="1:6">
      <c r="A15" s="16"/>
      <c r="B15" s="565"/>
      <c r="C15" s="566" t="s">
        <v>23</v>
      </c>
      <c r="D15" s="566" t="s">
        <v>405</v>
      </c>
      <c r="E15" s="566" t="s">
        <v>30</v>
      </c>
      <c r="F15" s="16"/>
    </row>
    <row r="16" spans="1:6" ht="15">
      <c r="A16" s="16"/>
      <c r="B16" s="567" t="s">
        <v>406</v>
      </c>
      <c r="C16" s="568">
        <f>'[49]Modèle financier'!E14</f>
        <v>4050.95</v>
      </c>
      <c r="D16" s="569">
        <f>E9</f>
        <v>3.3171600588839709</v>
      </c>
      <c r="E16" s="570">
        <f>C16*D16</f>
        <v>13437.649540536022</v>
      </c>
      <c r="F16" s="16"/>
    </row>
    <row r="17" spans="1:6" ht="15">
      <c r="A17" s="16"/>
      <c r="B17" s="571" t="s">
        <v>407</v>
      </c>
      <c r="C17" s="572">
        <f>C16</f>
        <v>4050.95</v>
      </c>
      <c r="D17" s="573">
        <f>F9</f>
        <v>8.1457559529604247</v>
      </c>
      <c r="E17" s="574">
        <f>C17*D17</f>
        <v>32998.050077645028</v>
      </c>
      <c r="F17" s="16"/>
    </row>
    <row r="18" spans="1:6" ht="15">
      <c r="B18" s="571" t="s">
        <v>408</v>
      </c>
      <c r="C18" s="575"/>
      <c r="D18" s="575"/>
      <c r="E18" s="574">
        <f>SUM(E16:E17)</f>
        <v>46435.699618181054</v>
      </c>
    </row>
  </sheetData>
  <mergeCells count="2">
    <mergeCell ref="A1:F1"/>
    <mergeCell ref="B14:E14"/>
  </mergeCells>
  <pageMargins left="0.70866141732283472" right="0.70866141732283472" top="1.5354330708661419" bottom="0.74803149606299213" header="0.31496062992125984" footer="0.31496062992125984"/>
  <pageSetup paperSize="9" orientation="portrait" verticalDpi="0" r:id="rId2"/>
  <headerFooter>
    <oddHeader>&amp;LSODEGIS&amp;CIMPOTS ET TAXES
RESIDENCE UNIVERSITAIRE
CAMPUS UNIVERSITAIRE DE SAINT-PIERRE&amp;RPLS
VD</oddHeader>
  </headerFooter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F0"/>
    <pageSetUpPr fitToPage="1"/>
  </sheetPr>
  <dimension ref="A1:F4"/>
  <sheetViews>
    <sheetView workbookViewId="0">
      <selection activeCell="G9" sqref="G9"/>
    </sheetView>
  </sheetViews>
  <sheetFormatPr baseColWidth="10" defaultRowHeight="12.75"/>
  <cols>
    <col min="1" max="1" width="57.28515625" style="1" customWidth="1"/>
    <col min="2" max="2" width="17.85546875" style="1" bestFit="1" customWidth="1"/>
    <col min="3" max="3" width="12" style="1" bestFit="1" customWidth="1"/>
    <col min="4" max="4" width="15.28515625" style="1" bestFit="1" customWidth="1"/>
    <col min="5" max="5" width="3.28515625" style="1" customWidth="1"/>
    <col min="6" max="256" width="11.42578125" style="1"/>
    <col min="257" max="257" width="57.28515625" style="1" customWidth="1"/>
    <col min="258" max="258" width="17.85546875" style="1" bestFit="1" customWidth="1"/>
    <col min="259" max="259" width="12" style="1" bestFit="1" customWidth="1"/>
    <col min="260" max="260" width="15.28515625" style="1" bestFit="1" customWidth="1"/>
    <col min="261" max="261" width="3.28515625" style="1" customWidth="1"/>
    <col min="262" max="512" width="11.42578125" style="1"/>
    <col min="513" max="513" width="57.28515625" style="1" customWidth="1"/>
    <col min="514" max="514" width="17.85546875" style="1" bestFit="1" customWidth="1"/>
    <col min="515" max="515" width="12" style="1" bestFit="1" customWidth="1"/>
    <col min="516" max="516" width="15.28515625" style="1" bestFit="1" customWidth="1"/>
    <col min="517" max="517" width="3.28515625" style="1" customWidth="1"/>
    <col min="518" max="768" width="11.42578125" style="1"/>
    <col min="769" max="769" width="57.28515625" style="1" customWidth="1"/>
    <col min="770" max="770" width="17.85546875" style="1" bestFit="1" customWidth="1"/>
    <col min="771" max="771" width="12" style="1" bestFit="1" customWidth="1"/>
    <col min="772" max="772" width="15.28515625" style="1" bestFit="1" customWidth="1"/>
    <col min="773" max="773" width="3.28515625" style="1" customWidth="1"/>
    <col min="774" max="1024" width="11.42578125" style="1"/>
    <col min="1025" max="1025" width="57.28515625" style="1" customWidth="1"/>
    <col min="1026" max="1026" width="17.85546875" style="1" bestFit="1" customWidth="1"/>
    <col min="1027" max="1027" width="12" style="1" bestFit="1" customWidth="1"/>
    <col min="1028" max="1028" width="15.28515625" style="1" bestFit="1" customWidth="1"/>
    <col min="1029" max="1029" width="3.28515625" style="1" customWidth="1"/>
    <col min="1030" max="1280" width="11.42578125" style="1"/>
    <col min="1281" max="1281" width="57.28515625" style="1" customWidth="1"/>
    <col min="1282" max="1282" width="17.85546875" style="1" bestFit="1" customWidth="1"/>
    <col min="1283" max="1283" width="12" style="1" bestFit="1" customWidth="1"/>
    <col min="1284" max="1284" width="15.28515625" style="1" bestFit="1" customWidth="1"/>
    <col min="1285" max="1285" width="3.28515625" style="1" customWidth="1"/>
    <col min="1286" max="1536" width="11.42578125" style="1"/>
    <col min="1537" max="1537" width="57.28515625" style="1" customWidth="1"/>
    <col min="1538" max="1538" width="17.85546875" style="1" bestFit="1" customWidth="1"/>
    <col min="1539" max="1539" width="12" style="1" bestFit="1" customWidth="1"/>
    <col min="1540" max="1540" width="15.28515625" style="1" bestFit="1" customWidth="1"/>
    <col min="1541" max="1541" width="3.28515625" style="1" customWidth="1"/>
    <col min="1542" max="1792" width="11.42578125" style="1"/>
    <col min="1793" max="1793" width="57.28515625" style="1" customWidth="1"/>
    <col min="1794" max="1794" width="17.85546875" style="1" bestFit="1" customWidth="1"/>
    <col min="1795" max="1795" width="12" style="1" bestFit="1" customWidth="1"/>
    <col min="1796" max="1796" width="15.28515625" style="1" bestFit="1" customWidth="1"/>
    <col min="1797" max="1797" width="3.28515625" style="1" customWidth="1"/>
    <col min="1798" max="2048" width="11.42578125" style="1"/>
    <col min="2049" max="2049" width="57.28515625" style="1" customWidth="1"/>
    <col min="2050" max="2050" width="17.85546875" style="1" bestFit="1" customWidth="1"/>
    <col min="2051" max="2051" width="12" style="1" bestFit="1" customWidth="1"/>
    <col min="2052" max="2052" width="15.28515625" style="1" bestFit="1" customWidth="1"/>
    <col min="2053" max="2053" width="3.28515625" style="1" customWidth="1"/>
    <col min="2054" max="2304" width="11.42578125" style="1"/>
    <col min="2305" max="2305" width="57.28515625" style="1" customWidth="1"/>
    <col min="2306" max="2306" width="17.85546875" style="1" bestFit="1" customWidth="1"/>
    <col min="2307" max="2307" width="12" style="1" bestFit="1" customWidth="1"/>
    <col min="2308" max="2308" width="15.28515625" style="1" bestFit="1" customWidth="1"/>
    <col min="2309" max="2309" width="3.28515625" style="1" customWidth="1"/>
    <col min="2310" max="2560" width="11.42578125" style="1"/>
    <col min="2561" max="2561" width="57.28515625" style="1" customWidth="1"/>
    <col min="2562" max="2562" width="17.85546875" style="1" bestFit="1" customWidth="1"/>
    <col min="2563" max="2563" width="12" style="1" bestFit="1" customWidth="1"/>
    <col min="2564" max="2564" width="15.28515625" style="1" bestFit="1" customWidth="1"/>
    <col min="2565" max="2565" width="3.28515625" style="1" customWidth="1"/>
    <col min="2566" max="2816" width="11.42578125" style="1"/>
    <col min="2817" max="2817" width="57.28515625" style="1" customWidth="1"/>
    <col min="2818" max="2818" width="17.85546875" style="1" bestFit="1" customWidth="1"/>
    <col min="2819" max="2819" width="12" style="1" bestFit="1" customWidth="1"/>
    <col min="2820" max="2820" width="15.28515625" style="1" bestFit="1" customWidth="1"/>
    <col min="2821" max="2821" width="3.28515625" style="1" customWidth="1"/>
    <col min="2822" max="3072" width="11.42578125" style="1"/>
    <col min="3073" max="3073" width="57.28515625" style="1" customWidth="1"/>
    <col min="3074" max="3074" width="17.85546875" style="1" bestFit="1" customWidth="1"/>
    <col min="3075" max="3075" width="12" style="1" bestFit="1" customWidth="1"/>
    <col min="3076" max="3076" width="15.28515625" style="1" bestFit="1" customWidth="1"/>
    <col min="3077" max="3077" width="3.28515625" style="1" customWidth="1"/>
    <col min="3078" max="3328" width="11.42578125" style="1"/>
    <col min="3329" max="3329" width="57.28515625" style="1" customWidth="1"/>
    <col min="3330" max="3330" width="17.85546875" style="1" bestFit="1" customWidth="1"/>
    <col min="3331" max="3331" width="12" style="1" bestFit="1" customWidth="1"/>
    <col min="3332" max="3332" width="15.28515625" style="1" bestFit="1" customWidth="1"/>
    <col min="3333" max="3333" width="3.28515625" style="1" customWidth="1"/>
    <col min="3334" max="3584" width="11.42578125" style="1"/>
    <col min="3585" max="3585" width="57.28515625" style="1" customWidth="1"/>
    <col min="3586" max="3586" width="17.85546875" style="1" bestFit="1" customWidth="1"/>
    <col min="3587" max="3587" width="12" style="1" bestFit="1" customWidth="1"/>
    <col min="3588" max="3588" width="15.28515625" style="1" bestFit="1" customWidth="1"/>
    <col min="3589" max="3589" width="3.28515625" style="1" customWidth="1"/>
    <col min="3590" max="3840" width="11.42578125" style="1"/>
    <col min="3841" max="3841" width="57.28515625" style="1" customWidth="1"/>
    <col min="3842" max="3842" width="17.85546875" style="1" bestFit="1" customWidth="1"/>
    <col min="3843" max="3843" width="12" style="1" bestFit="1" customWidth="1"/>
    <col min="3844" max="3844" width="15.28515625" style="1" bestFit="1" customWidth="1"/>
    <col min="3845" max="3845" width="3.28515625" style="1" customWidth="1"/>
    <col min="3846" max="4096" width="11.42578125" style="1"/>
    <col min="4097" max="4097" width="57.28515625" style="1" customWidth="1"/>
    <col min="4098" max="4098" width="17.85546875" style="1" bestFit="1" customWidth="1"/>
    <col min="4099" max="4099" width="12" style="1" bestFit="1" customWidth="1"/>
    <col min="4100" max="4100" width="15.28515625" style="1" bestFit="1" customWidth="1"/>
    <col min="4101" max="4101" width="3.28515625" style="1" customWidth="1"/>
    <col min="4102" max="4352" width="11.42578125" style="1"/>
    <col min="4353" max="4353" width="57.28515625" style="1" customWidth="1"/>
    <col min="4354" max="4354" width="17.85546875" style="1" bestFit="1" customWidth="1"/>
    <col min="4355" max="4355" width="12" style="1" bestFit="1" customWidth="1"/>
    <col min="4356" max="4356" width="15.28515625" style="1" bestFit="1" customWidth="1"/>
    <col min="4357" max="4357" width="3.28515625" style="1" customWidth="1"/>
    <col min="4358" max="4608" width="11.42578125" style="1"/>
    <col min="4609" max="4609" width="57.28515625" style="1" customWidth="1"/>
    <col min="4610" max="4610" width="17.85546875" style="1" bestFit="1" customWidth="1"/>
    <col min="4611" max="4611" width="12" style="1" bestFit="1" customWidth="1"/>
    <col min="4612" max="4612" width="15.28515625" style="1" bestFit="1" customWidth="1"/>
    <col min="4613" max="4613" width="3.28515625" style="1" customWidth="1"/>
    <col min="4614" max="4864" width="11.42578125" style="1"/>
    <col min="4865" max="4865" width="57.28515625" style="1" customWidth="1"/>
    <col min="4866" max="4866" width="17.85546875" style="1" bestFit="1" customWidth="1"/>
    <col min="4867" max="4867" width="12" style="1" bestFit="1" customWidth="1"/>
    <col min="4868" max="4868" width="15.28515625" style="1" bestFit="1" customWidth="1"/>
    <col min="4869" max="4869" width="3.28515625" style="1" customWidth="1"/>
    <col min="4870" max="5120" width="11.42578125" style="1"/>
    <col min="5121" max="5121" width="57.28515625" style="1" customWidth="1"/>
    <col min="5122" max="5122" width="17.85546875" style="1" bestFit="1" customWidth="1"/>
    <col min="5123" max="5123" width="12" style="1" bestFit="1" customWidth="1"/>
    <col min="5124" max="5124" width="15.28515625" style="1" bestFit="1" customWidth="1"/>
    <col min="5125" max="5125" width="3.28515625" style="1" customWidth="1"/>
    <col min="5126" max="5376" width="11.42578125" style="1"/>
    <col min="5377" max="5377" width="57.28515625" style="1" customWidth="1"/>
    <col min="5378" max="5378" width="17.85546875" style="1" bestFit="1" customWidth="1"/>
    <col min="5379" max="5379" width="12" style="1" bestFit="1" customWidth="1"/>
    <col min="5380" max="5380" width="15.28515625" style="1" bestFit="1" customWidth="1"/>
    <col min="5381" max="5381" width="3.28515625" style="1" customWidth="1"/>
    <col min="5382" max="5632" width="11.42578125" style="1"/>
    <col min="5633" max="5633" width="57.28515625" style="1" customWidth="1"/>
    <col min="5634" max="5634" width="17.85546875" style="1" bestFit="1" customWidth="1"/>
    <col min="5635" max="5635" width="12" style="1" bestFit="1" customWidth="1"/>
    <col min="5636" max="5636" width="15.28515625" style="1" bestFit="1" customWidth="1"/>
    <col min="5637" max="5637" width="3.28515625" style="1" customWidth="1"/>
    <col min="5638" max="5888" width="11.42578125" style="1"/>
    <col min="5889" max="5889" width="57.28515625" style="1" customWidth="1"/>
    <col min="5890" max="5890" width="17.85546875" style="1" bestFit="1" customWidth="1"/>
    <col min="5891" max="5891" width="12" style="1" bestFit="1" customWidth="1"/>
    <col min="5892" max="5892" width="15.28515625" style="1" bestFit="1" customWidth="1"/>
    <col min="5893" max="5893" width="3.28515625" style="1" customWidth="1"/>
    <col min="5894" max="6144" width="11.42578125" style="1"/>
    <col min="6145" max="6145" width="57.28515625" style="1" customWidth="1"/>
    <col min="6146" max="6146" width="17.85546875" style="1" bestFit="1" customWidth="1"/>
    <col min="6147" max="6147" width="12" style="1" bestFit="1" customWidth="1"/>
    <col min="6148" max="6148" width="15.28515625" style="1" bestFit="1" customWidth="1"/>
    <col min="6149" max="6149" width="3.28515625" style="1" customWidth="1"/>
    <col min="6150" max="6400" width="11.42578125" style="1"/>
    <col min="6401" max="6401" width="57.28515625" style="1" customWidth="1"/>
    <col min="6402" max="6402" width="17.85546875" style="1" bestFit="1" customWidth="1"/>
    <col min="6403" max="6403" width="12" style="1" bestFit="1" customWidth="1"/>
    <col min="6404" max="6404" width="15.28515625" style="1" bestFit="1" customWidth="1"/>
    <col min="6405" max="6405" width="3.28515625" style="1" customWidth="1"/>
    <col min="6406" max="6656" width="11.42578125" style="1"/>
    <col min="6657" max="6657" width="57.28515625" style="1" customWidth="1"/>
    <col min="6658" max="6658" width="17.85546875" style="1" bestFit="1" customWidth="1"/>
    <col min="6659" max="6659" width="12" style="1" bestFit="1" customWidth="1"/>
    <col min="6660" max="6660" width="15.28515625" style="1" bestFit="1" customWidth="1"/>
    <col min="6661" max="6661" width="3.28515625" style="1" customWidth="1"/>
    <col min="6662" max="6912" width="11.42578125" style="1"/>
    <col min="6913" max="6913" width="57.28515625" style="1" customWidth="1"/>
    <col min="6914" max="6914" width="17.85546875" style="1" bestFit="1" customWidth="1"/>
    <col min="6915" max="6915" width="12" style="1" bestFit="1" customWidth="1"/>
    <col min="6916" max="6916" width="15.28515625" style="1" bestFit="1" customWidth="1"/>
    <col min="6917" max="6917" width="3.28515625" style="1" customWidth="1"/>
    <col min="6918" max="7168" width="11.42578125" style="1"/>
    <col min="7169" max="7169" width="57.28515625" style="1" customWidth="1"/>
    <col min="7170" max="7170" width="17.85546875" style="1" bestFit="1" customWidth="1"/>
    <col min="7171" max="7171" width="12" style="1" bestFit="1" customWidth="1"/>
    <col min="7172" max="7172" width="15.28515625" style="1" bestFit="1" customWidth="1"/>
    <col min="7173" max="7173" width="3.28515625" style="1" customWidth="1"/>
    <col min="7174" max="7424" width="11.42578125" style="1"/>
    <col min="7425" max="7425" width="57.28515625" style="1" customWidth="1"/>
    <col min="7426" max="7426" width="17.85546875" style="1" bestFit="1" customWidth="1"/>
    <col min="7427" max="7427" width="12" style="1" bestFit="1" customWidth="1"/>
    <col min="7428" max="7428" width="15.28515625" style="1" bestFit="1" customWidth="1"/>
    <col min="7429" max="7429" width="3.28515625" style="1" customWidth="1"/>
    <col min="7430" max="7680" width="11.42578125" style="1"/>
    <col min="7681" max="7681" width="57.28515625" style="1" customWidth="1"/>
    <col min="7682" max="7682" width="17.85546875" style="1" bestFit="1" customWidth="1"/>
    <col min="7683" max="7683" width="12" style="1" bestFit="1" customWidth="1"/>
    <col min="7684" max="7684" width="15.28515625" style="1" bestFit="1" customWidth="1"/>
    <col min="7685" max="7685" width="3.28515625" style="1" customWidth="1"/>
    <col min="7686" max="7936" width="11.42578125" style="1"/>
    <col min="7937" max="7937" width="57.28515625" style="1" customWidth="1"/>
    <col min="7938" max="7938" width="17.85546875" style="1" bestFit="1" customWidth="1"/>
    <col min="7939" max="7939" width="12" style="1" bestFit="1" customWidth="1"/>
    <col min="7940" max="7940" width="15.28515625" style="1" bestFit="1" customWidth="1"/>
    <col min="7941" max="7941" width="3.28515625" style="1" customWidth="1"/>
    <col min="7942" max="8192" width="11.42578125" style="1"/>
    <col min="8193" max="8193" width="57.28515625" style="1" customWidth="1"/>
    <col min="8194" max="8194" width="17.85546875" style="1" bestFit="1" customWidth="1"/>
    <col min="8195" max="8195" width="12" style="1" bestFit="1" customWidth="1"/>
    <col min="8196" max="8196" width="15.28515625" style="1" bestFit="1" customWidth="1"/>
    <col min="8197" max="8197" width="3.28515625" style="1" customWidth="1"/>
    <col min="8198" max="8448" width="11.42578125" style="1"/>
    <col min="8449" max="8449" width="57.28515625" style="1" customWidth="1"/>
    <col min="8450" max="8450" width="17.85546875" style="1" bestFit="1" customWidth="1"/>
    <col min="8451" max="8451" width="12" style="1" bestFit="1" customWidth="1"/>
    <col min="8452" max="8452" width="15.28515625" style="1" bestFit="1" customWidth="1"/>
    <col min="8453" max="8453" width="3.28515625" style="1" customWidth="1"/>
    <col min="8454" max="8704" width="11.42578125" style="1"/>
    <col min="8705" max="8705" width="57.28515625" style="1" customWidth="1"/>
    <col min="8706" max="8706" width="17.85546875" style="1" bestFit="1" customWidth="1"/>
    <col min="8707" max="8707" width="12" style="1" bestFit="1" customWidth="1"/>
    <col min="8708" max="8708" width="15.28515625" style="1" bestFit="1" customWidth="1"/>
    <col min="8709" max="8709" width="3.28515625" style="1" customWidth="1"/>
    <col min="8710" max="8960" width="11.42578125" style="1"/>
    <col min="8961" max="8961" width="57.28515625" style="1" customWidth="1"/>
    <col min="8962" max="8962" width="17.85546875" style="1" bestFit="1" customWidth="1"/>
    <col min="8963" max="8963" width="12" style="1" bestFit="1" customWidth="1"/>
    <col min="8964" max="8964" width="15.28515625" style="1" bestFit="1" customWidth="1"/>
    <col min="8965" max="8965" width="3.28515625" style="1" customWidth="1"/>
    <col min="8966" max="9216" width="11.42578125" style="1"/>
    <col min="9217" max="9217" width="57.28515625" style="1" customWidth="1"/>
    <col min="9218" max="9218" width="17.85546875" style="1" bestFit="1" customWidth="1"/>
    <col min="9219" max="9219" width="12" style="1" bestFit="1" customWidth="1"/>
    <col min="9220" max="9220" width="15.28515625" style="1" bestFit="1" customWidth="1"/>
    <col min="9221" max="9221" width="3.28515625" style="1" customWidth="1"/>
    <col min="9222" max="9472" width="11.42578125" style="1"/>
    <col min="9473" max="9473" width="57.28515625" style="1" customWidth="1"/>
    <col min="9474" max="9474" width="17.85546875" style="1" bestFit="1" customWidth="1"/>
    <col min="9475" max="9475" width="12" style="1" bestFit="1" customWidth="1"/>
    <col min="9476" max="9476" width="15.28515625" style="1" bestFit="1" customWidth="1"/>
    <col min="9477" max="9477" width="3.28515625" style="1" customWidth="1"/>
    <col min="9478" max="9728" width="11.42578125" style="1"/>
    <col min="9729" max="9729" width="57.28515625" style="1" customWidth="1"/>
    <col min="9730" max="9730" width="17.85546875" style="1" bestFit="1" customWidth="1"/>
    <col min="9731" max="9731" width="12" style="1" bestFit="1" customWidth="1"/>
    <col min="9732" max="9732" width="15.28515625" style="1" bestFit="1" customWidth="1"/>
    <col min="9733" max="9733" width="3.28515625" style="1" customWidth="1"/>
    <col min="9734" max="9984" width="11.42578125" style="1"/>
    <col min="9985" max="9985" width="57.28515625" style="1" customWidth="1"/>
    <col min="9986" max="9986" width="17.85546875" style="1" bestFit="1" customWidth="1"/>
    <col min="9987" max="9987" width="12" style="1" bestFit="1" customWidth="1"/>
    <col min="9988" max="9988" width="15.28515625" style="1" bestFit="1" customWidth="1"/>
    <col min="9989" max="9989" width="3.28515625" style="1" customWidth="1"/>
    <col min="9990" max="10240" width="11.42578125" style="1"/>
    <col min="10241" max="10241" width="57.28515625" style="1" customWidth="1"/>
    <col min="10242" max="10242" width="17.85546875" style="1" bestFit="1" customWidth="1"/>
    <col min="10243" max="10243" width="12" style="1" bestFit="1" customWidth="1"/>
    <col min="10244" max="10244" width="15.28515625" style="1" bestFit="1" customWidth="1"/>
    <col min="10245" max="10245" width="3.28515625" style="1" customWidth="1"/>
    <col min="10246" max="10496" width="11.42578125" style="1"/>
    <col min="10497" max="10497" width="57.28515625" style="1" customWidth="1"/>
    <col min="10498" max="10498" width="17.85546875" style="1" bestFit="1" customWidth="1"/>
    <col min="10499" max="10499" width="12" style="1" bestFit="1" customWidth="1"/>
    <col min="10500" max="10500" width="15.28515625" style="1" bestFit="1" customWidth="1"/>
    <col min="10501" max="10501" width="3.28515625" style="1" customWidth="1"/>
    <col min="10502" max="10752" width="11.42578125" style="1"/>
    <col min="10753" max="10753" width="57.28515625" style="1" customWidth="1"/>
    <col min="10754" max="10754" width="17.85546875" style="1" bestFit="1" customWidth="1"/>
    <col min="10755" max="10755" width="12" style="1" bestFit="1" customWidth="1"/>
    <col min="10756" max="10756" width="15.28515625" style="1" bestFit="1" customWidth="1"/>
    <col min="10757" max="10757" width="3.28515625" style="1" customWidth="1"/>
    <col min="10758" max="11008" width="11.42578125" style="1"/>
    <col min="11009" max="11009" width="57.28515625" style="1" customWidth="1"/>
    <col min="11010" max="11010" width="17.85546875" style="1" bestFit="1" customWidth="1"/>
    <col min="11011" max="11011" width="12" style="1" bestFit="1" customWidth="1"/>
    <col min="11012" max="11012" width="15.28515625" style="1" bestFit="1" customWidth="1"/>
    <col min="11013" max="11013" width="3.28515625" style="1" customWidth="1"/>
    <col min="11014" max="11264" width="11.42578125" style="1"/>
    <col min="11265" max="11265" width="57.28515625" style="1" customWidth="1"/>
    <col min="11266" max="11266" width="17.85546875" style="1" bestFit="1" customWidth="1"/>
    <col min="11267" max="11267" width="12" style="1" bestFit="1" customWidth="1"/>
    <col min="11268" max="11268" width="15.28515625" style="1" bestFit="1" customWidth="1"/>
    <col min="11269" max="11269" width="3.28515625" style="1" customWidth="1"/>
    <col min="11270" max="11520" width="11.42578125" style="1"/>
    <col min="11521" max="11521" width="57.28515625" style="1" customWidth="1"/>
    <col min="11522" max="11522" width="17.85546875" style="1" bestFit="1" customWidth="1"/>
    <col min="11523" max="11523" width="12" style="1" bestFit="1" customWidth="1"/>
    <col min="11524" max="11524" width="15.28515625" style="1" bestFit="1" customWidth="1"/>
    <col min="11525" max="11525" width="3.28515625" style="1" customWidth="1"/>
    <col min="11526" max="11776" width="11.42578125" style="1"/>
    <col min="11777" max="11777" width="57.28515625" style="1" customWidth="1"/>
    <col min="11778" max="11778" width="17.85546875" style="1" bestFit="1" customWidth="1"/>
    <col min="11779" max="11779" width="12" style="1" bestFit="1" customWidth="1"/>
    <col min="11780" max="11780" width="15.28515625" style="1" bestFit="1" customWidth="1"/>
    <col min="11781" max="11781" width="3.28515625" style="1" customWidth="1"/>
    <col min="11782" max="12032" width="11.42578125" style="1"/>
    <col min="12033" max="12033" width="57.28515625" style="1" customWidth="1"/>
    <col min="12034" max="12034" width="17.85546875" style="1" bestFit="1" customWidth="1"/>
    <col min="12035" max="12035" width="12" style="1" bestFit="1" customWidth="1"/>
    <col min="12036" max="12036" width="15.28515625" style="1" bestFit="1" customWidth="1"/>
    <col min="12037" max="12037" width="3.28515625" style="1" customWidth="1"/>
    <col min="12038" max="12288" width="11.42578125" style="1"/>
    <col min="12289" max="12289" width="57.28515625" style="1" customWidth="1"/>
    <col min="12290" max="12290" width="17.85546875" style="1" bestFit="1" customWidth="1"/>
    <col min="12291" max="12291" width="12" style="1" bestFit="1" customWidth="1"/>
    <col min="12292" max="12292" width="15.28515625" style="1" bestFit="1" customWidth="1"/>
    <col min="12293" max="12293" width="3.28515625" style="1" customWidth="1"/>
    <col min="12294" max="12544" width="11.42578125" style="1"/>
    <col min="12545" max="12545" width="57.28515625" style="1" customWidth="1"/>
    <col min="12546" max="12546" width="17.85546875" style="1" bestFit="1" customWidth="1"/>
    <col min="12547" max="12547" width="12" style="1" bestFit="1" customWidth="1"/>
    <col min="12548" max="12548" width="15.28515625" style="1" bestFit="1" customWidth="1"/>
    <col min="12549" max="12549" width="3.28515625" style="1" customWidth="1"/>
    <col min="12550" max="12800" width="11.42578125" style="1"/>
    <col min="12801" max="12801" width="57.28515625" style="1" customWidth="1"/>
    <col min="12802" max="12802" width="17.85546875" style="1" bestFit="1" customWidth="1"/>
    <col min="12803" max="12803" width="12" style="1" bestFit="1" customWidth="1"/>
    <col min="12804" max="12804" width="15.28515625" style="1" bestFit="1" customWidth="1"/>
    <col min="12805" max="12805" width="3.28515625" style="1" customWidth="1"/>
    <col min="12806" max="13056" width="11.42578125" style="1"/>
    <col min="13057" max="13057" width="57.28515625" style="1" customWidth="1"/>
    <col min="13058" max="13058" width="17.85546875" style="1" bestFit="1" customWidth="1"/>
    <col min="13059" max="13059" width="12" style="1" bestFit="1" customWidth="1"/>
    <col min="13060" max="13060" width="15.28515625" style="1" bestFit="1" customWidth="1"/>
    <col min="13061" max="13061" width="3.28515625" style="1" customWidth="1"/>
    <col min="13062" max="13312" width="11.42578125" style="1"/>
    <col min="13313" max="13313" width="57.28515625" style="1" customWidth="1"/>
    <col min="13314" max="13314" width="17.85546875" style="1" bestFit="1" customWidth="1"/>
    <col min="13315" max="13315" width="12" style="1" bestFit="1" customWidth="1"/>
    <col min="13316" max="13316" width="15.28515625" style="1" bestFit="1" customWidth="1"/>
    <col min="13317" max="13317" width="3.28515625" style="1" customWidth="1"/>
    <col min="13318" max="13568" width="11.42578125" style="1"/>
    <col min="13569" max="13569" width="57.28515625" style="1" customWidth="1"/>
    <col min="13570" max="13570" width="17.85546875" style="1" bestFit="1" customWidth="1"/>
    <col min="13571" max="13571" width="12" style="1" bestFit="1" customWidth="1"/>
    <col min="13572" max="13572" width="15.28515625" style="1" bestFit="1" customWidth="1"/>
    <col min="13573" max="13573" width="3.28515625" style="1" customWidth="1"/>
    <col min="13574" max="13824" width="11.42578125" style="1"/>
    <col min="13825" max="13825" width="57.28515625" style="1" customWidth="1"/>
    <col min="13826" max="13826" width="17.85546875" style="1" bestFit="1" customWidth="1"/>
    <col min="13827" max="13827" width="12" style="1" bestFit="1" customWidth="1"/>
    <col min="13828" max="13828" width="15.28515625" style="1" bestFit="1" customWidth="1"/>
    <col min="13829" max="13829" width="3.28515625" style="1" customWidth="1"/>
    <col min="13830" max="14080" width="11.42578125" style="1"/>
    <col min="14081" max="14081" width="57.28515625" style="1" customWidth="1"/>
    <col min="14082" max="14082" width="17.85546875" style="1" bestFit="1" customWidth="1"/>
    <col min="14083" max="14083" width="12" style="1" bestFit="1" customWidth="1"/>
    <col min="14084" max="14084" width="15.28515625" style="1" bestFit="1" customWidth="1"/>
    <col min="14085" max="14085" width="3.28515625" style="1" customWidth="1"/>
    <col min="14086" max="14336" width="11.42578125" style="1"/>
    <col min="14337" max="14337" width="57.28515625" style="1" customWidth="1"/>
    <col min="14338" max="14338" width="17.85546875" style="1" bestFit="1" customWidth="1"/>
    <col min="14339" max="14339" width="12" style="1" bestFit="1" customWidth="1"/>
    <col min="14340" max="14340" width="15.28515625" style="1" bestFit="1" customWidth="1"/>
    <col min="14341" max="14341" width="3.28515625" style="1" customWidth="1"/>
    <col min="14342" max="14592" width="11.42578125" style="1"/>
    <col min="14593" max="14593" width="57.28515625" style="1" customWidth="1"/>
    <col min="14594" max="14594" width="17.85546875" style="1" bestFit="1" customWidth="1"/>
    <col min="14595" max="14595" width="12" style="1" bestFit="1" customWidth="1"/>
    <col min="14596" max="14596" width="15.28515625" style="1" bestFit="1" customWidth="1"/>
    <col min="14597" max="14597" width="3.28515625" style="1" customWidth="1"/>
    <col min="14598" max="14848" width="11.42578125" style="1"/>
    <col min="14849" max="14849" width="57.28515625" style="1" customWidth="1"/>
    <col min="14850" max="14850" width="17.85546875" style="1" bestFit="1" customWidth="1"/>
    <col min="14851" max="14851" width="12" style="1" bestFit="1" customWidth="1"/>
    <col min="14852" max="14852" width="15.28515625" style="1" bestFit="1" customWidth="1"/>
    <col min="14853" max="14853" width="3.28515625" style="1" customWidth="1"/>
    <col min="14854" max="15104" width="11.42578125" style="1"/>
    <col min="15105" max="15105" width="57.28515625" style="1" customWidth="1"/>
    <col min="15106" max="15106" width="17.85546875" style="1" bestFit="1" customWidth="1"/>
    <col min="15107" max="15107" width="12" style="1" bestFit="1" customWidth="1"/>
    <col min="15108" max="15108" width="15.28515625" style="1" bestFit="1" customWidth="1"/>
    <col min="15109" max="15109" width="3.28515625" style="1" customWidth="1"/>
    <col min="15110" max="15360" width="11.42578125" style="1"/>
    <col min="15361" max="15361" width="57.28515625" style="1" customWidth="1"/>
    <col min="15362" max="15362" width="17.85546875" style="1" bestFit="1" customWidth="1"/>
    <col min="15363" max="15363" width="12" style="1" bestFit="1" customWidth="1"/>
    <col min="15364" max="15364" width="15.28515625" style="1" bestFit="1" customWidth="1"/>
    <col min="15365" max="15365" width="3.28515625" style="1" customWidth="1"/>
    <col min="15366" max="15616" width="11.42578125" style="1"/>
    <col min="15617" max="15617" width="57.28515625" style="1" customWidth="1"/>
    <col min="15618" max="15618" width="17.85546875" style="1" bestFit="1" customWidth="1"/>
    <col min="15619" max="15619" width="12" style="1" bestFit="1" customWidth="1"/>
    <col min="15620" max="15620" width="15.28515625" style="1" bestFit="1" customWidth="1"/>
    <col min="15621" max="15621" width="3.28515625" style="1" customWidth="1"/>
    <col min="15622" max="15872" width="11.42578125" style="1"/>
    <col min="15873" max="15873" width="57.28515625" style="1" customWidth="1"/>
    <col min="15874" max="15874" width="17.85546875" style="1" bestFit="1" customWidth="1"/>
    <col min="15875" max="15875" width="12" style="1" bestFit="1" customWidth="1"/>
    <col min="15876" max="15876" width="15.28515625" style="1" bestFit="1" customWidth="1"/>
    <col min="15877" max="15877" width="3.28515625" style="1" customWidth="1"/>
    <col min="15878" max="16128" width="11.42578125" style="1"/>
    <col min="16129" max="16129" width="57.28515625" style="1" customWidth="1"/>
    <col min="16130" max="16130" width="17.85546875" style="1" bestFit="1" customWidth="1"/>
    <col min="16131" max="16131" width="12" style="1" bestFit="1" customWidth="1"/>
    <col min="16132" max="16132" width="15.28515625" style="1" bestFit="1" customWidth="1"/>
    <col min="16133" max="16133" width="3.28515625" style="1" customWidth="1"/>
    <col min="16134" max="16384" width="11.42578125" style="1"/>
  </cols>
  <sheetData>
    <row r="1" spans="1:6" s="231" customFormat="1" ht="38.25">
      <c r="A1" s="576" t="s">
        <v>409</v>
      </c>
      <c r="B1" s="577" t="s">
        <v>410</v>
      </c>
      <c r="C1" s="578" t="s">
        <v>411</v>
      </c>
      <c r="D1" s="578" t="s">
        <v>412</v>
      </c>
      <c r="F1" s="579" t="s">
        <v>413</v>
      </c>
    </row>
    <row r="2" spans="1:6" ht="25.5">
      <c r="A2" s="580" t="s">
        <v>414</v>
      </c>
      <c r="B2" s="581">
        <v>1.333</v>
      </c>
      <c r="C2" s="582" t="s">
        <v>415</v>
      </c>
      <c r="D2" s="583">
        <v>3235.19</v>
      </c>
      <c r="F2" s="584"/>
    </row>
    <row r="3" spans="1:6" ht="25.5">
      <c r="A3" s="580" t="s">
        <v>416</v>
      </c>
      <c r="B3" s="581">
        <v>0.219</v>
      </c>
      <c r="C3" s="582" t="s">
        <v>415</v>
      </c>
      <c r="D3" s="583">
        <v>531.51</v>
      </c>
      <c r="F3" s="585">
        <f>B3*'[49]Modèle financier'!E14</f>
        <v>887.15805</v>
      </c>
    </row>
    <row r="4" spans="1:6" ht="15.75">
      <c r="A4" s="586"/>
      <c r="B4" s="587"/>
      <c r="C4" s="588" t="s">
        <v>176</v>
      </c>
      <c r="D4" s="589">
        <v>3766.7</v>
      </c>
      <c r="F4" s="590"/>
    </row>
  </sheetData>
  <pageMargins left="0.70866141732283472" right="0.70866141732283472" top="0.74803149606299213" bottom="0.74803149606299213" header="0.31496062992125984" footer="0.31496062992125984"/>
  <pageSetup paperSize="9" scale="76" orientation="portrait" verticalDpi="0" r:id="rId1"/>
  <headerFooter>
    <oddHeader>&amp;LSODEGIS&amp;RPLS VD</oddHeader>
  </headerFooter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F0"/>
    <pageSetUpPr fitToPage="1"/>
  </sheetPr>
  <dimension ref="A1:U61"/>
  <sheetViews>
    <sheetView showGridLines="0" topLeftCell="A19" zoomScaleNormal="100" workbookViewId="0">
      <selection activeCell="G9" sqref="G9"/>
    </sheetView>
  </sheetViews>
  <sheetFormatPr baseColWidth="10" defaultRowHeight="12.75"/>
  <cols>
    <col min="1" max="1" width="15.7109375" style="1" bestFit="1" customWidth="1"/>
    <col min="2" max="2" width="9.7109375" style="1" bestFit="1" customWidth="1"/>
    <col min="3" max="3" width="13.5703125" style="1" customWidth="1"/>
    <col min="4" max="4" width="11.7109375" style="1" customWidth="1"/>
    <col min="5" max="5" width="10.140625" style="1" bestFit="1" customWidth="1"/>
    <col min="6" max="6" width="9.7109375" style="1" bestFit="1" customWidth="1"/>
    <col min="7" max="7" width="12.140625" style="1" bestFit="1" customWidth="1"/>
    <col min="8" max="8" width="13.28515625" style="1" bestFit="1" customWidth="1"/>
    <col min="9" max="10" width="12.140625" style="1" customWidth="1"/>
    <col min="11" max="11" width="14.140625" style="1" customWidth="1"/>
    <col min="12" max="12" width="15.140625" style="1" customWidth="1"/>
    <col min="13" max="13" width="14.140625" style="1" customWidth="1"/>
    <col min="14" max="14" width="12.42578125" style="1" bestFit="1" customWidth="1"/>
    <col min="15" max="15" width="12.140625" style="1" bestFit="1" customWidth="1"/>
    <col min="16" max="17" width="11.42578125" style="1"/>
    <col min="18" max="18" width="2.85546875" style="5" customWidth="1"/>
    <col min="19" max="19" width="12.140625" style="1" customWidth="1"/>
    <col min="20" max="256" width="11.42578125" style="1"/>
    <col min="257" max="257" width="15.7109375" style="1" bestFit="1" customWidth="1"/>
    <col min="258" max="258" width="9.7109375" style="1" bestFit="1" customWidth="1"/>
    <col min="259" max="259" width="13.5703125" style="1" customWidth="1"/>
    <col min="260" max="260" width="11.7109375" style="1" customWidth="1"/>
    <col min="261" max="261" width="10.140625" style="1" bestFit="1" customWidth="1"/>
    <col min="262" max="262" width="9.7109375" style="1" bestFit="1" customWidth="1"/>
    <col min="263" max="263" width="12.140625" style="1" bestFit="1" customWidth="1"/>
    <col min="264" max="264" width="13.28515625" style="1" bestFit="1" customWidth="1"/>
    <col min="265" max="266" width="12.140625" style="1" customWidth="1"/>
    <col min="267" max="267" width="14.140625" style="1" customWidth="1"/>
    <col min="268" max="268" width="15.140625" style="1" customWidth="1"/>
    <col min="269" max="269" width="14.140625" style="1" customWidth="1"/>
    <col min="270" max="270" width="12.42578125" style="1" bestFit="1" customWidth="1"/>
    <col min="271" max="271" width="12.140625" style="1" bestFit="1" customWidth="1"/>
    <col min="272" max="273" width="11.42578125" style="1"/>
    <col min="274" max="274" width="2.85546875" style="1" customWidth="1"/>
    <col min="275" max="275" width="12.140625" style="1" customWidth="1"/>
    <col min="276" max="512" width="11.42578125" style="1"/>
    <col min="513" max="513" width="15.7109375" style="1" bestFit="1" customWidth="1"/>
    <col min="514" max="514" width="9.7109375" style="1" bestFit="1" customWidth="1"/>
    <col min="515" max="515" width="13.5703125" style="1" customWidth="1"/>
    <col min="516" max="516" width="11.7109375" style="1" customWidth="1"/>
    <col min="517" max="517" width="10.140625" style="1" bestFit="1" customWidth="1"/>
    <col min="518" max="518" width="9.7109375" style="1" bestFit="1" customWidth="1"/>
    <col min="519" max="519" width="12.140625" style="1" bestFit="1" customWidth="1"/>
    <col min="520" max="520" width="13.28515625" style="1" bestFit="1" customWidth="1"/>
    <col min="521" max="522" width="12.140625" style="1" customWidth="1"/>
    <col min="523" max="523" width="14.140625" style="1" customWidth="1"/>
    <col min="524" max="524" width="15.140625" style="1" customWidth="1"/>
    <col min="525" max="525" width="14.140625" style="1" customWidth="1"/>
    <col min="526" max="526" width="12.42578125" style="1" bestFit="1" customWidth="1"/>
    <col min="527" max="527" width="12.140625" style="1" bestFit="1" customWidth="1"/>
    <col min="528" max="529" width="11.42578125" style="1"/>
    <col min="530" max="530" width="2.85546875" style="1" customWidth="1"/>
    <col min="531" max="531" width="12.140625" style="1" customWidth="1"/>
    <col min="532" max="768" width="11.42578125" style="1"/>
    <col min="769" max="769" width="15.7109375" style="1" bestFit="1" customWidth="1"/>
    <col min="770" max="770" width="9.7109375" style="1" bestFit="1" customWidth="1"/>
    <col min="771" max="771" width="13.5703125" style="1" customWidth="1"/>
    <col min="772" max="772" width="11.7109375" style="1" customWidth="1"/>
    <col min="773" max="773" width="10.140625" style="1" bestFit="1" customWidth="1"/>
    <col min="774" max="774" width="9.7109375" style="1" bestFit="1" customWidth="1"/>
    <col min="775" max="775" width="12.140625" style="1" bestFit="1" customWidth="1"/>
    <col min="776" max="776" width="13.28515625" style="1" bestFit="1" customWidth="1"/>
    <col min="777" max="778" width="12.140625" style="1" customWidth="1"/>
    <col min="779" max="779" width="14.140625" style="1" customWidth="1"/>
    <col min="780" max="780" width="15.140625" style="1" customWidth="1"/>
    <col min="781" max="781" width="14.140625" style="1" customWidth="1"/>
    <col min="782" max="782" width="12.42578125" style="1" bestFit="1" customWidth="1"/>
    <col min="783" max="783" width="12.140625" style="1" bestFit="1" customWidth="1"/>
    <col min="784" max="785" width="11.42578125" style="1"/>
    <col min="786" max="786" width="2.85546875" style="1" customWidth="1"/>
    <col min="787" max="787" width="12.140625" style="1" customWidth="1"/>
    <col min="788" max="1024" width="11.42578125" style="1"/>
    <col min="1025" max="1025" width="15.7109375" style="1" bestFit="1" customWidth="1"/>
    <col min="1026" max="1026" width="9.7109375" style="1" bestFit="1" customWidth="1"/>
    <col min="1027" max="1027" width="13.5703125" style="1" customWidth="1"/>
    <col min="1028" max="1028" width="11.7109375" style="1" customWidth="1"/>
    <col min="1029" max="1029" width="10.140625" style="1" bestFit="1" customWidth="1"/>
    <col min="1030" max="1030" width="9.7109375" style="1" bestFit="1" customWidth="1"/>
    <col min="1031" max="1031" width="12.140625" style="1" bestFit="1" customWidth="1"/>
    <col min="1032" max="1032" width="13.28515625" style="1" bestFit="1" customWidth="1"/>
    <col min="1033" max="1034" width="12.140625" style="1" customWidth="1"/>
    <col min="1035" max="1035" width="14.140625" style="1" customWidth="1"/>
    <col min="1036" max="1036" width="15.140625" style="1" customWidth="1"/>
    <col min="1037" max="1037" width="14.140625" style="1" customWidth="1"/>
    <col min="1038" max="1038" width="12.42578125" style="1" bestFit="1" customWidth="1"/>
    <col min="1039" max="1039" width="12.140625" style="1" bestFit="1" customWidth="1"/>
    <col min="1040" max="1041" width="11.42578125" style="1"/>
    <col min="1042" max="1042" width="2.85546875" style="1" customWidth="1"/>
    <col min="1043" max="1043" width="12.140625" style="1" customWidth="1"/>
    <col min="1044" max="1280" width="11.42578125" style="1"/>
    <col min="1281" max="1281" width="15.7109375" style="1" bestFit="1" customWidth="1"/>
    <col min="1282" max="1282" width="9.7109375" style="1" bestFit="1" customWidth="1"/>
    <col min="1283" max="1283" width="13.5703125" style="1" customWidth="1"/>
    <col min="1284" max="1284" width="11.7109375" style="1" customWidth="1"/>
    <col min="1285" max="1285" width="10.140625" style="1" bestFit="1" customWidth="1"/>
    <col min="1286" max="1286" width="9.7109375" style="1" bestFit="1" customWidth="1"/>
    <col min="1287" max="1287" width="12.140625" style="1" bestFit="1" customWidth="1"/>
    <col min="1288" max="1288" width="13.28515625" style="1" bestFit="1" customWidth="1"/>
    <col min="1289" max="1290" width="12.140625" style="1" customWidth="1"/>
    <col min="1291" max="1291" width="14.140625" style="1" customWidth="1"/>
    <col min="1292" max="1292" width="15.140625" style="1" customWidth="1"/>
    <col min="1293" max="1293" width="14.140625" style="1" customWidth="1"/>
    <col min="1294" max="1294" width="12.42578125" style="1" bestFit="1" customWidth="1"/>
    <col min="1295" max="1295" width="12.140625" style="1" bestFit="1" customWidth="1"/>
    <col min="1296" max="1297" width="11.42578125" style="1"/>
    <col min="1298" max="1298" width="2.85546875" style="1" customWidth="1"/>
    <col min="1299" max="1299" width="12.140625" style="1" customWidth="1"/>
    <col min="1300" max="1536" width="11.42578125" style="1"/>
    <col min="1537" max="1537" width="15.7109375" style="1" bestFit="1" customWidth="1"/>
    <col min="1538" max="1538" width="9.7109375" style="1" bestFit="1" customWidth="1"/>
    <col min="1539" max="1539" width="13.5703125" style="1" customWidth="1"/>
    <col min="1540" max="1540" width="11.7109375" style="1" customWidth="1"/>
    <col min="1541" max="1541" width="10.140625" style="1" bestFit="1" customWidth="1"/>
    <col min="1542" max="1542" width="9.7109375" style="1" bestFit="1" customWidth="1"/>
    <col min="1543" max="1543" width="12.140625" style="1" bestFit="1" customWidth="1"/>
    <col min="1544" max="1544" width="13.28515625" style="1" bestFit="1" customWidth="1"/>
    <col min="1545" max="1546" width="12.140625" style="1" customWidth="1"/>
    <col min="1547" max="1547" width="14.140625" style="1" customWidth="1"/>
    <col min="1548" max="1548" width="15.140625" style="1" customWidth="1"/>
    <col min="1549" max="1549" width="14.140625" style="1" customWidth="1"/>
    <col min="1550" max="1550" width="12.42578125" style="1" bestFit="1" customWidth="1"/>
    <col min="1551" max="1551" width="12.140625" style="1" bestFit="1" customWidth="1"/>
    <col min="1552" max="1553" width="11.42578125" style="1"/>
    <col min="1554" max="1554" width="2.85546875" style="1" customWidth="1"/>
    <col min="1555" max="1555" width="12.140625" style="1" customWidth="1"/>
    <col min="1556" max="1792" width="11.42578125" style="1"/>
    <col min="1793" max="1793" width="15.7109375" style="1" bestFit="1" customWidth="1"/>
    <col min="1794" max="1794" width="9.7109375" style="1" bestFit="1" customWidth="1"/>
    <col min="1795" max="1795" width="13.5703125" style="1" customWidth="1"/>
    <col min="1796" max="1796" width="11.7109375" style="1" customWidth="1"/>
    <col min="1797" max="1797" width="10.140625" style="1" bestFit="1" customWidth="1"/>
    <col min="1798" max="1798" width="9.7109375" style="1" bestFit="1" customWidth="1"/>
    <col min="1799" max="1799" width="12.140625" style="1" bestFit="1" customWidth="1"/>
    <col min="1800" max="1800" width="13.28515625" style="1" bestFit="1" customWidth="1"/>
    <col min="1801" max="1802" width="12.140625" style="1" customWidth="1"/>
    <col min="1803" max="1803" width="14.140625" style="1" customWidth="1"/>
    <col min="1804" max="1804" width="15.140625" style="1" customWidth="1"/>
    <col min="1805" max="1805" width="14.140625" style="1" customWidth="1"/>
    <col min="1806" max="1806" width="12.42578125" style="1" bestFit="1" customWidth="1"/>
    <col min="1807" max="1807" width="12.140625" style="1" bestFit="1" customWidth="1"/>
    <col min="1808" max="1809" width="11.42578125" style="1"/>
    <col min="1810" max="1810" width="2.85546875" style="1" customWidth="1"/>
    <col min="1811" max="1811" width="12.140625" style="1" customWidth="1"/>
    <col min="1812" max="2048" width="11.42578125" style="1"/>
    <col min="2049" max="2049" width="15.7109375" style="1" bestFit="1" customWidth="1"/>
    <col min="2050" max="2050" width="9.7109375" style="1" bestFit="1" customWidth="1"/>
    <col min="2051" max="2051" width="13.5703125" style="1" customWidth="1"/>
    <col min="2052" max="2052" width="11.7109375" style="1" customWidth="1"/>
    <col min="2053" max="2053" width="10.140625" style="1" bestFit="1" customWidth="1"/>
    <col min="2054" max="2054" width="9.7109375" style="1" bestFit="1" customWidth="1"/>
    <col min="2055" max="2055" width="12.140625" style="1" bestFit="1" customWidth="1"/>
    <col min="2056" max="2056" width="13.28515625" style="1" bestFit="1" customWidth="1"/>
    <col min="2057" max="2058" width="12.140625" style="1" customWidth="1"/>
    <col min="2059" max="2059" width="14.140625" style="1" customWidth="1"/>
    <col min="2060" max="2060" width="15.140625" style="1" customWidth="1"/>
    <col min="2061" max="2061" width="14.140625" style="1" customWidth="1"/>
    <col min="2062" max="2062" width="12.42578125" style="1" bestFit="1" customWidth="1"/>
    <col min="2063" max="2063" width="12.140625" style="1" bestFit="1" customWidth="1"/>
    <col min="2064" max="2065" width="11.42578125" style="1"/>
    <col min="2066" max="2066" width="2.85546875" style="1" customWidth="1"/>
    <col min="2067" max="2067" width="12.140625" style="1" customWidth="1"/>
    <col min="2068" max="2304" width="11.42578125" style="1"/>
    <col min="2305" max="2305" width="15.7109375" style="1" bestFit="1" customWidth="1"/>
    <col min="2306" max="2306" width="9.7109375" style="1" bestFit="1" customWidth="1"/>
    <col min="2307" max="2307" width="13.5703125" style="1" customWidth="1"/>
    <col min="2308" max="2308" width="11.7109375" style="1" customWidth="1"/>
    <col min="2309" max="2309" width="10.140625" style="1" bestFit="1" customWidth="1"/>
    <col min="2310" max="2310" width="9.7109375" style="1" bestFit="1" customWidth="1"/>
    <col min="2311" max="2311" width="12.140625" style="1" bestFit="1" customWidth="1"/>
    <col min="2312" max="2312" width="13.28515625" style="1" bestFit="1" customWidth="1"/>
    <col min="2313" max="2314" width="12.140625" style="1" customWidth="1"/>
    <col min="2315" max="2315" width="14.140625" style="1" customWidth="1"/>
    <col min="2316" max="2316" width="15.140625" style="1" customWidth="1"/>
    <col min="2317" max="2317" width="14.140625" style="1" customWidth="1"/>
    <col min="2318" max="2318" width="12.42578125" style="1" bestFit="1" customWidth="1"/>
    <col min="2319" max="2319" width="12.140625" style="1" bestFit="1" customWidth="1"/>
    <col min="2320" max="2321" width="11.42578125" style="1"/>
    <col min="2322" max="2322" width="2.85546875" style="1" customWidth="1"/>
    <col min="2323" max="2323" width="12.140625" style="1" customWidth="1"/>
    <col min="2324" max="2560" width="11.42578125" style="1"/>
    <col min="2561" max="2561" width="15.7109375" style="1" bestFit="1" customWidth="1"/>
    <col min="2562" max="2562" width="9.7109375" style="1" bestFit="1" customWidth="1"/>
    <col min="2563" max="2563" width="13.5703125" style="1" customWidth="1"/>
    <col min="2564" max="2564" width="11.7109375" style="1" customWidth="1"/>
    <col min="2565" max="2565" width="10.140625" style="1" bestFit="1" customWidth="1"/>
    <col min="2566" max="2566" width="9.7109375" style="1" bestFit="1" customWidth="1"/>
    <col min="2567" max="2567" width="12.140625" style="1" bestFit="1" customWidth="1"/>
    <col min="2568" max="2568" width="13.28515625" style="1" bestFit="1" customWidth="1"/>
    <col min="2569" max="2570" width="12.140625" style="1" customWidth="1"/>
    <col min="2571" max="2571" width="14.140625" style="1" customWidth="1"/>
    <col min="2572" max="2572" width="15.140625" style="1" customWidth="1"/>
    <col min="2573" max="2573" width="14.140625" style="1" customWidth="1"/>
    <col min="2574" max="2574" width="12.42578125" style="1" bestFit="1" customWidth="1"/>
    <col min="2575" max="2575" width="12.140625" style="1" bestFit="1" customWidth="1"/>
    <col min="2576" max="2577" width="11.42578125" style="1"/>
    <col min="2578" max="2578" width="2.85546875" style="1" customWidth="1"/>
    <col min="2579" max="2579" width="12.140625" style="1" customWidth="1"/>
    <col min="2580" max="2816" width="11.42578125" style="1"/>
    <col min="2817" max="2817" width="15.7109375" style="1" bestFit="1" customWidth="1"/>
    <col min="2818" max="2818" width="9.7109375" style="1" bestFit="1" customWidth="1"/>
    <col min="2819" max="2819" width="13.5703125" style="1" customWidth="1"/>
    <col min="2820" max="2820" width="11.7109375" style="1" customWidth="1"/>
    <col min="2821" max="2821" width="10.140625" style="1" bestFit="1" customWidth="1"/>
    <col min="2822" max="2822" width="9.7109375" style="1" bestFit="1" customWidth="1"/>
    <col min="2823" max="2823" width="12.140625" style="1" bestFit="1" customWidth="1"/>
    <col min="2824" max="2824" width="13.28515625" style="1" bestFit="1" customWidth="1"/>
    <col min="2825" max="2826" width="12.140625" style="1" customWidth="1"/>
    <col min="2827" max="2827" width="14.140625" style="1" customWidth="1"/>
    <col min="2828" max="2828" width="15.140625" style="1" customWidth="1"/>
    <col min="2829" max="2829" width="14.140625" style="1" customWidth="1"/>
    <col min="2830" max="2830" width="12.42578125" style="1" bestFit="1" customWidth="1"/>
    <col min="2831" max="2831" width="12.140625" style="1" bestFit="1" customWidth="1"/>
    <col min="2832" max="2833" width="11.42578125" style="1"/>
    <col min="2834" max="2834" width="2.85546875" style="1" customWidth="1"/>
    <col min="2835" max="2835" width="12.140625" style="1" customWidth="1"/>
    <col min="2836" max="3072" width="11.42578125" style="1"/>
    <col min="3073" max="3073" width="15.7109375" style="1" bestFit="1" customWidth="1"/>
    <col min="3074" max="3074" width="9.7109375" style="1" bestFit="1" customWidth="1"/>
    <col min="3075" max="3075" width="13.5703125" style="1" customWidth="1"/>
    <col min="3076" max="3076" width="11.7109375" style="1" customWidth="1"/>
    <col min="3077" max="3077" width="10.140625" style="1" bestFit="1" customWidth="1"/>
    <col min="3078" max="3078" width="9.7109375" style="1" bestFit="1" customWidth="1"/>
    <col min="3079" max="3079" width="12.140625" style="1" bestFit="1" customWidth="1"/>
    <col min="3080" max="3080" width="13.28515625" style="1" bestFit="1" customWidth="1"/>
    <col min="3081" max="3082" width="12.140625" style="1" customWidth="1"/>
    <col min="3083" max="3083" width="14.140625" style="1" customWidth="1"/>
    <col min="3084" max="3084" width="15.140625" style="1" customWidth="1"/>
    <col min="3085" max="3085" width="14.140625" style="1" customWidth="1"/>
    <col min="3086" max="3086" width="12.42578125" style="1" bestFit="1" customWidth="1"/>
    <col min="3087" max="3087" width="12.140625" style="1" bestFit="1" customWidth="1"/>
    <col min="3088" max="3089" width="11.42578125" style="1"/>
    <col min="3090" max="3090" width="2.85546875" style="1" customWidth="1"/>
    <col min="3091" max="3091" width="12.140625" style="1" customWidth="1"/>
    <col min="3092" max="3328" width="11.42578125" style="1"/>
    <col min="3329" max="3329" width="15.7109375" style="1" bestFit="1" customWidth="1"/>
    <col min="3330" max="3330" width="9.7109375" style="1" bestFit="1" customWidth="1"/>
    <col min="3331" max="3331" width="13.5703125" style="1" customWidth="1"/>
    <col min="3332" max="3332" width="11.7109375" style="1" customWidth="1"/>
    <col min="3333" max="3333" width="10.140625" style="1" bestFit="1" customWidth="1"/>
    <col min="3334" max="3334" width="9.7109375" style="1" bestFit="1" customWidth="1"/>
    <col min="3335" max="3335" width="12.140625" style="1" bestFit="1" customWidth="1"/>
    <col min="3336" max="3336" width="13.28515625" style="1" bestFit="1" customWidth="1"/>
    <col min="3337" max="3338" width="12.140625" style="1" customWidth="1"/>
    <col min="3339" max="3339" width="14.140625" style="1" customWidth="1"/>
    <col min="3340" max="3340" width="15.140625" style="1" customWidth="1"/>
    <col min="3341" max="3341" width="14.140625" style="1" customWidth="1"/>
    <col min="3342" max="3342" width="12.42578125" style="1" bestFit="1" customWidth="1"/>
    <col min="3343" max="3343" width="12.140625" style="1" bestFit="1" customWidth="1"/>
    <col min="3344" max="3345" width="11.42578125" style="1"/>
    <col min="3346" max="3346" width="2.85546875" style="1" customWidth="1"/>
    <col min="3347" max="3347" width="12.140625" style="1" customWidth="1"/>
    <col min="3348" max="3584" width="11.42578125" style="1"/>
    <col min="3585" max="3585" width="15.7109375" style="1" bestFit="1" customWidth="1"/>
    <col min="3586" max="3586" width="9.7109375" style="1" bestFit="1" customWidth="1"/>
    <col min="3587" max="3587" width="13.5703125" style="1" customWidth="1"/>
    <col min="3588" max="3588" width="11.7109375" style="1" customWidth="1"/>
    <col min="3589" max="3589" width="10.140625" style="1" bestFit="1" customWidth="1"/>
    <col min="3590" max="3590" width="9.7109375" style="1" bestFit="1" customWidth="1"/>
    <col min="3591" max="3591" width="12.140625" style="1" bestFit="1" customWidth="1"/>
    <col min="3592" max="3592" width="13.28515625" style="1" bestFit="1" customWidth="1"/>
    <col min="3593" max="3594" width="12.140625" style="1" customWidth="1"/>
    <col min="3595" max="3595" width="14.140625" style="1" customWidth="1"/>
    <col min="3596" max="3596" width="15.140625" style="1" customWidth="1"/>
    <col min="3597" max="3597" width="14.140625" style="1" customWidth="1"/>
    <col min="3598" max="3598" width="12.42578125" style="1" bestFit="1" customWidth="1"/>
    <col min="3599" max="3599" width="12.140625" style="1" bestFit="1" customWidth="1"/>
    <col min="3600" max="3601" width="11.42578125" style="1"/>
    <col min="3602" max="3602" width="2.85546875" style="1" customWidth="1"/>
    <col min="3603" max="3603" width="12.140625" style="1" customWidth="1"/>
    <col min="3604" max="3840" width="11.42578125" style="1"/>
    <col min="3841" max="3841" width="15.7109375" style="1" bestFit="1" customWidth="1"/>
    <col min="3842" max="3842" width="9.7109375" style="1" bestFit="1" customWidth="1"/>
    <col min="3843" max="3843" width="13.5703125" style="1" customWidth="1"/>
    <col min="3844" max="3844" width="11.7109375" style="1" customWidth="1"/>
    <col min="3845" max="3845" width="10.140625" style="1" bestFit="1" customWidth="1"/>
    <col min="3846" max="3846" width="9.7109375" style="1" bestFit="1" customWidth="1"/>
    <col min="3847" max="3847" width="12.140625" style="1" bestFit="1" customWidth="1"/>
    <col min="3848" max="3848" width="13.28515625" style="1" bestFit="1" customWidth="1"/>
    <col min="3849" max="3850" width="12.140625" style="1" customWidth="1"/>
    <col min="3851" max="3851" width="14.140625" style="1" customWidth="1"/>
    <col min="3852" max="3852" width="15.140625" style="1" customWidth="1"/>
    <col min="3853" max="3853" width="14.140625" style="1" customWidth="1"/>
    <col min="3854" max="3854" width="12.42578125" style="1" bestFit="1" customWidth="1"/>
    <col min="3855" max="3855" width="12.140625" style="1" bestFit="1" customWidth="1"/>
    <col min="3856" max="3857" width="11.42578125" style="1"/>
    <col min="3858" max="3858" width="2.85546875" style="1" customWidth="1"/>
    <col min="3859" max="3859" width="12.140625" style="1" customWidth="1"/>
    <col min="3860" max="4096" width="11.42578125" style="1"/>
    <col min="4097" max="4097" width="15.7109375" style="1" bestFit="1" customWidth="1"/>
    <col min="4098" max="4098" width="9.7109375" style="1" bestFit="1" customWidth="1"/>
    <col min="4099" max="4099" width="13.5703125" style="1" customWidth="1"/>
    <col min="4100" max="4100" width="11.7109375" style="1" customWidth="1"/>
    <col min="4101" max="4101" width="10.140625" style="1" bestFit="1" customWidth="1"/>
    <col min="4102" max="4102" width="9.7109375" style="1" bestFit="1" customWidth="1"/>
    <col min="4103" max="4103" width="12.140625" style="1" bestFit="1" customWidth="1"/>
    <col min="4104" max="4104" width="13.28515625" style="1" bestFit="1" customWidth="1"/>
    <col min="4105" max="4106" width="12.140625" style="1" customWidth="1"/>
    <col min="4107" max="4107" width="14.140625" style="1" customWidth="1"/>
    <col min="4108" max="4108" width="15.140625" style="1" customWidth="1"/>
    <col min="4109" max="4109" width="14.140625" style="1" customWidth="1"/>
    <col min="4110" max="4110" width="12.42578125" style="1" bestFit="1" customWidth="1"/>
    <col min="4111" max="4111" width="12.140625" style="1" bestFit="1" customWidth="1"/>
    <col min="4112" max="4113" width="11.42578125" style="1"/>
    <col min="4114" max="4114" width="2.85546875" style="1" customWidth="1"/>
    <col min="4115" max="4115" width="12.140625" style="1" customWidth="1"/>
    <col min="4116" max="4352" width="11.42578125" style="1"/>
    <col min="4353" max="4353" width="15.7109375" style="1" bestFit="1" customWidth="1"/>
    <col min="4354" max="4354" width="9.7109375" style="1" bestFit="1" customWidth="1"/>
    <col min="4355" max="4355" width="13.5703125" style="1" customWidth="1"/>
    <col min="4356" max="4356" width="11.7109375" style="1" customWidth="1"/>
    <col min="4357" max="4357" width="10.140625" style="1" bestFit="1" customWidth="1"/>
    <col min="4358" max="4358" width="9.7109375" style="1" bestFit="1" customWidth="1"/>
    <col min="4359" max="4359" width="12.140625" style="1" bestFit="1" customWidth="1"/>
    <col min="4360" max="4360" width="13.28515625" style="1" bestFit="1" customWidth="1"/>
    <col min="4361" max="4362" width="12.140625" style="1" customWidth="1"/>
    <col min="4363" max="4363" width="14.140625" style="1" customWidth="1"/>
    <col min="4364" max="4364" width="15.140625" style="1" customWidth="1"/>
    <col min="4365" max="4365" width="14.140625" style="1" customWidth="1"/>
    <col min="4366" max="4366" width="12.42578125" style="1" bestFit="1" customWidth="1"/>
    <col min="4367" max="4367" width="12.140625" style="1" bestFit="1" customWidth="1"/>
    <col min="4368" max="4369" width="11.42578125" style="1"/>
    <col min="4370" max="4370" width="2.85546875" style="1" customWidth="1"/>
    <col min="4371" max="4371" width="12.140625" style="1" customWidth="1"/>
    <col min="4372" max="4608" width="11.42578125" style="1"/>
    <col min="4609" max="4609" width="15.7109375" style="1" bestFit="1" customWidth="1"/>
    <col min="4610" max="4610" width="9.7109375" style="1" bestFit="1" customWidth="1"/>
    <col min="4611" max="4611" width="13.5703125" style="1" customWidth="1"/>
    <col min="4612" max="4612" width="11.7109375" style="1" customWidth="1"/>
    <col min="4613" max="4613" width="10.140625" style="1" bestFit="1" customWidth="1"/>
    <col min="4614" max="4614" width="9.7109375" style="1" bestFit="1" customWidth="1"/>
    <col min="4615" max="4615" width="12.140625" style="1" bestFit="1" customWidth="1"/>
    <col min="4616" max="4616" width="13.28515625" style="1" bestFit="1" customWidth="1"/>
    <col min="4617" max="4618" width="12.140625" style="1" customWidth="1"/>
    <col min="4619" max="4619" width="14.140625" style="1" customWidth="1"/>
    <col min="4620" max="4620" width="15.140625" style="1" customWidth="1"/>
    <col min="4621" max="4621" width="14.140625" style="1" customWidth="1"/>
    <col min="4622" max="4622" width="12.42578125" style="1" bestFit="1" customWidth="1"/>
    <col min="4623" max="4623" width="12.140625" style="1" bestFit="1" customWidth="1"/>
    <col min="4624" max="4625" width="11.42578125" style="1"/>
    <col min="4626" max="4626" width="2.85546875" style="1" customWidth="1"/>
    <col min="4627" max="4627" width="12.140625" style="1" customWidth="1"/>
    <col min="4628" max="4864" width="11.42578125" style="1"/>
    <col min="4865" max="4865" width="15.7109375" style="1" bestFit="1" customWidth="1"/>
    <col min="4866" max="4866" width="9.7109375" style="1" bestFit="1" customWidth="1"/>
    <col min="4867" max="4867" width="13.5703125" style="1" customWidth="1"/>
    <col min="4868" max="4868" width="11.7109375" style="1" customWidth="1"/>
    <col min="4869" max="4869" width="10.140625" style="1" bestFit="1" customWidth="1"/>
    <col min="4870" max="4870" width="9.7109375" style="1" bestFit="1" customWidth="1"/>
    <col min="4871" max="4871" width="12.140625" style="1" bestFit="1" customWidth="1"/>
    <col min="4872" max="4872" width="13.28515625" style="1" bestFit="1" customWidth="1"/>
    <col min="4873" max="4874" width="12.140625" style="1" customWidth="1"/>
    <col min="4875" max="4875" width="14.140625" style="1" customWidth="1"/>
    <col min="4876" max="4876" width="15.140625" style="1" customWidth="1"/>
    <col min="4877" max="4877" width="14.140625" style="1" customWidth="1"/>
    <col min="4878" max="4878" width="12.42578125" style="1" bestFit="1" customWidth="1"/>
    <col min="4879" max="4879" width="12.140625" style="1" bestFit="1" customWidth="1"/>
    <col min="4880" max="4881" width="11.42578125" style="1"/>
    <col min="4882" max="4882" width="2.85546875" style="1" customWidth="1"/>
    <col min="4883" max="4883" width="12.140625" style="1" customWidth="1"/>
    <col min="4884" max="5120" width="11.42578125" style="1"/>
    <col min="5121" max="5121" width="15.7109375" style="1" bestFit="1" customWidth="1"/>
    <col min="5122" max="5122" width="9.7109375" style="1" bestFit="1" customWidth="1"/>
    <col min="5123" max="5123" width="13.5703125" style="1" customWidth="1"/>
    <col min="5124" max="5124" width="11.7109375" style="1" customWidth="1"/>
    <col min="5125" max="5125" width="10.140625" style="1" bestFit="1" customWidth="1"/>
    <col min="5126" max="5126" width="9.7109375" style="1" bestFit="1" customWidth="1"/>
    <col min="5127" max="5127" width="12.140625" style="1" bestFit="1" customWidth="1"/>
    <col min="5128" max="5128" width="13.28515625" style="1" bestFit="1" customWidth="1"/>
    <col min="5129" max="5130" width="12.140625" style="1" customWidth="1"/>
    <col min="5131" max="5131" width="14.140625" style="1" customWidth="1"/>
    <col min="5132" max="5132" width="15.140625" style="1" customWidth="1"/>
    <col min="5133" max="5133" width="14.140625" style="1" customWidth="1"/>
    <col min="5134" max="5134" width="12.42578125" style="1" bestFit="1" customWidth="1"/>
    <col min="5135" max="5135" width="12.140625" style="1" bestFit="1" customWidth="1"/>
    <col min="5136" max="5137" width="11.42578125" style="1"/>
    <col min="5138" max="5138" width="2.85546875" style="1" customWidth="1"/>
    <col min="5139" max="5139" width="12.140625" style="1" customWidth="1"/>
    <col min="5140" max="5376" width="11.42578125" style="1"/>
    <col min="5377" max="5377" width="15.7109375" style="1" bestFit="1" customWidth="1"/>
    <col min="5378" max="5378" width="9.7109375" style="1" bestFit="1" customWidth="1"/>
    <col min="5379" max="5379" width="13.5703125" style="1" customWidth="1"/>
    <col min="5380" max="5380" width="11.7109375" style="1" customWidth="1"/>
    <col min="5381" max="5381" width="10.140625" style="1" bestFit="1" customWidth="1"/>
    <col min="5382" max="5382" width="9.7109375" style="1" bestFit="1" customWidth="1"/>
    <col min="5383" max="5383" width="12.140625" style="1" bestFit="1" customWidth="1"/>
    <col min="5384" max="5384" width="13.28515625" style="1" bestFit="1" customWidth="1"/>
    <col min="5385" max="5386" width="12.140625" style="1" customWidth="1"/>
    <col min="5387" max="5387" width="14.140625" style="1" customWidth="1"/>
    <col min="5388" max="5388" width="15.140625" style="1" customWidth="1"/>
    <col min="5389" max="5389" width="14.140625" style="1" customWidth="1"/>
    <col min="5390" max="5390" width="12.42578125" style="1" bestFit="1" customWidth="1"/>
    <col min="5391" max="5391" width="12.140625" style="1" bestFit="1" customWidth="1"/>
    <col min="5392" max="5393" width="11.42578125" style="1"/>
    <col min="5394" max="5394" width="2.85546875" style="1" customWidth="1"/>
    <col min="5395" max="5395" width="12.140625" style="1" customWidth="1"/>
    <col min="5396" max="5632" width="11.42578125" style="1"/>
    <col min="5633" max="5633" width="15.7109375" style="1" bestFit="1" customWidth="1"/>
    <col min="5634" max="5634" width="9.7109375" style="1" bestFit="1" customWidth="1"/>
    <col min="5635" max="5635" width="13.5703125" style="1" customWidth="1"/>
    <col min="5636" max="5636" width="11.7109375" style="1" customWidth="1"/>
    <col min="5637" max="5637" width="10.140625" style="1" bestFit="1" customWidth="1"/>
    <col min="5638" max="5638" width="9.7109375" style="1" bestFit="1" customWidth="1"/>
    <col min="5639" max="5639" width="12.140625" style="1" bestFit="1" customWidth="1"/>
    <col min="5640" max="5640" width="13.28515625" style="1" bestFit="1" customWidth="1"/>
    <col min="5641" max="5642" width="12.140625" style="1" customWidth="1"/>
    <col min="5643" max="5643" width="14.140625" style="1" customWidth="1"/>
    <col min="5644" max="5644" width="15.140625" style="1" customWidth="1"/>
    <col min="5645" max="5645" width="14.140625" style="1" customWidth="1"/>
    <col min="5646" max="5646" width="12.42578125" style="1" bestFit="1" customWidth="1"/>
    <col min="5647" max="5647" width="12.140625" style="1" bestFit="1" customWidth="1"/>
    <col min="5648" max="5649" width="11.42578125" style="1"/>
    <col min="5650" max="5650" width="2.85546875" style="1" customWidth="1"/>
    <col min="5651" max="5651" width="12.140625" style="1" customWidth="1"/>
    <col min="5652" max="5888" width="11.42578125" style="1"/>
    <col min="5889" max="5889" width="15.7109375" style="1" bestFit="1" customWidth="1"/>
    <col min="5890" max="5890" width="9.7109375" style="1" bestFit="1" customWidth="1"/>
    <col min="5891" max="5891" width="13.5703125" style="1" customWidth="1"/>
    <col min="5892" max="5892" width="11.7109375" style="1" customWidth="1"/>
    <col min="5893" max="5893" width="10.140625" style="1" bestFit="1" customWidth="1"/>
    <col min="5894" max="5894" width="9.7109375" style="1" bestFit="1" customWidth="1"/>
    <col min="5895" max="5895" width="12.140625" style="1" bestFit="1" customWidth="1"/>
    <col min="5896" max="5896" width="13.28515625" style="1" bestFit="1" customWidth="1"/>
    <col min="5897" max="5898" width="12.140625" style="1" customWidth="1"/>
    <col min="5899" max="5899" width="14.140625" style="1" customWidth="1"/>
    <col min="5900" max="5900" width="15.140625" style="1" customWidth="1"/>
    <col min="5901" max="5901" width="14.140625" style="1" customWidth="1"/>
    <col min="5902" max="5902" width="12.42578125" style="1" bestFit="1" customWidth="1"/>
    <col min="5903" max="5903" width="12.140625" style="1" bestFit="1" customWidth="1"/>
    <col min="5904" max="5905" width="11.42578125" style="1"/>
    <col min="5906" max="5906" width="2.85546875" style="1" customWidth="1"/>
    <col min="5907" max="5907" width="12.140625" style="1" customWidth="1"/>
    <col min="5908" max="6144" width="11.42578125" style="1"/>
    <col min="6145" max="6145" width="15.7109375" style="1" bestFit="1" customWidth="1"/>
    <col min="6146" max="6146" width="9.7109375" style="1" bestFit="1" customWidth="1"/>
    <col min="6147" max="6147" width="13.5703125" style="1" customWidth="1"/>
    <col min="6148" max="6148" width="11.7109375" style="1" customWidth="1"/>
    <col min="6149" max="6149" width="10.140625" style="1" bestFit="1" customWidth="1"/>
    <col min="6150" max="6150" width="9.7109375" style="1" bestFit="1" customWidth="1"/>
    <col min="6151" max="6151" width="12.140625" style="1" bestFit="1" customWidth="1"/>
    <col min="6152" max="6152" width="13.28515625" style="1" bestFit="1" customWidth="1"/>
    <col min="6153" max="6154" width="12.140625" style="1" customWidth="1"/>
    <col min="6155" max="6155" width="14.140625" style="1" customWidth="1"/>
    <col min="6156" max="6156" width="15.140625" style="1" customWidth="1"/>
    <col min="6157" max="6157" width="14.140625" style="1" customWidth="1"/>
    <col min="6158" max="6158" width="12.42578125" style="1" bestFit="1" customWidth="1"/>
    <col min="6159" max="6159" width="12.140625" style="1" bestFit="1" customWidth="1"/>
    <col min="6160" max="6161" width="11.42578125" style="1"/>
    <col min="6162" max="6162" width="2.85546875" style="1" customWidth="1"/>
    <col min="6163" max="6163" width="12.140625" style="1" customWidth="1"/>
    <col min="6164" max="6400" width="11.42578125" style="1"/>
    <col min="6401" max="6401" width="15.7109375" style="1" bestFit="1" customWidth="1"/>
    <col min="6402" max="6402" width="9.7109375" style="1" bestFit="1" customWidth="1"/>
    <col min="6403" max="6403" width="13.5703125" style="1" customWidth="1"/>
    <col min="6404" max="6404" width="11.7109375" style="1" customWidth="1"/>
    <col min="6405" max="6405" width="10.140625" style="1" bestFit="1" customWidth="1"/>
    <col min="6406" max="6406" width="9.7109375" style="1" bestFit="1" customWidth="1"/>
    <col min="6407" max="6407" width="12.140625" style="1" bestFit="1" customWidth="1"/>
    <col min="6408" max="6408" width="13.28515625" style="1" bestFit="1" customWidth="1"/>
    <col min="6409" max="6410" width="12.140625" style="1" customWidth="1"/>
    <col min="6411" max="6411" width="14.140625" style="1" customWidth="1"/>
    <col min="6412" max="6412" width="15.140625" style="1" customWidth="1"/>
    <col min="6413" max="6413" width="14.140625" style="1" customWidth="1"/>
    <col min="6414" max="6414" width="12.42578125" style="1" bestFit="1" customWidth="1"/>
    <col min="6415" max="6415" width="12.140625" style="1" bestFit="1" customWidth="1"/>
    <col min="6416" max="6417" width="11.42578125" style="1"/>
    <col min="6418" max="6418" width="2.85546875" style="1" customWidth="1"/>
    <col min="6419" max="6419" width="12.140625" style="1" customWidth="1"/>
    <col min="6420" max="6656" width="11.42578125" style="1"/>
    <col min="6657" max="6657" width="15.7109375" style="1" bestFit="1" customWidth="1"/>
    <col min="6658" max="6658" width="9.7109375" style="1" bestFit="1" customWidth="1"/>
    <col min="6659" max="6659" width="13.5703125" style="1" customWidth="1"/>
    <col min="6660" max="6660" width="11.7109375" style="1" customWidth="1"/>
    <col min="6661" max="6661" width="10.140625" style="1" bestFit="1" customWidth="1"/>
    <col min="6662" max="6662" width="9.7109375" style="1" bestFit="1" customWidth="1"/>
    <col min="6663" max="6663" width="12.140625" style="1" bestFit="1" customWidth="1"/>
    <col min="6664" max="6664" width="13.28515625" style="1" bestFit="1" customWidth="1"/>
    <col min="6665" max="6666" width="12.140625" style="1" customWidth="1"/>
    <col min="6667" max="6667" width="14.140625" style="1" customWidth="1"/>
    <col min="6668" max="6668" width="15.140625" style="1" customWidth="1"/>
    <col min="6669" max="6669" width="14.140625" style="1" customWidth="1"/>
    <col min="6670" max="6670" width="12.42578125" style="1" bestFit="1" customWidth="1"/>
    <col min="6671" max="6671" width="12.140625" style="1" bestFit="1" customWidth="1"/>
    <col min="6672" max="6673" width="11.42578125" style="1"/>
    <col min="6674" max="6674" width="2.85546875" style="1" customWidth="1"/>
    <col min="6675" max="6675" width="12.140625" style="1" customWidth="1"/>
    <col min="6676" max="6912" width="11.42578125" style="1"/>
    <col min="6913" max="6913" width="15.7109375" style="1" bestFit="1" customWidth="1"/>
    <col min="6914" max="6914" width="9.7109375" style="1" bestFit="1" customWidth="1"/>
    <col min="6915" max="6915" width="13.5703125" style="1" customWidth="1"/>
    <col min="6916" max="6916" width="11.7109375" style="1" customWidth="1"/>
    <col min="6917" max="6917" width="10.140625" style="1" bestFit="1" customWidth="1"/>
    <col min="6918" max="6918" width="9.7109375" style="1" bestFit="1" customWidth="1"/>
    <col min="6919" max="6919" width="12.140625" style="1" bestFit="1" customWidth="1"/>
    <col min="6920" max="6920" width="13.28515625" style="1" bestFit="1" customWidth="1"/>
    <col min="6921" max="6922" width="12.140625" style="1" customWidth="1"/>
    <col min="6923" max="6923" width="14.140625" style="1" customWidth="1"/>
    <col min="6924" max="6924" width="15.140625" style="1" customWidth="1"/>
    <col min="6925" max="6925" width="14.140625" style="1" customWidth="1"/>
    <col min="6926" max="6926" width="12.42578125" style="1" bestFit="1" customWidth="1"/>
    <col min="6927" max="6927" width="12.140625" style="1" bestFit="1" customWidth="1"/>
    <col min="6928" max="6929" width="11.42578125" style="1"/>
    <col min="6930" max="6930" width="2.85546875" style="1" customWidth="1"/>
    <col min="6931" max="6931" width="12.140625" style="1" customWidth="1"/>
    <col min="6932" max="7168" width="11.42578125" style="1"/>
    <col min="7169" max="7169" width="15.7109375" style="1" bestFit="1" customWidth="1"/>
    <col min="7170" max="7170" width="9.7109375" style="1" bestFit="1" customWidth="1"/>
    <col min="7171" max="7171" width="13.5703125" style="1" customWidth="1"/>
    <col min="7172" max="7172" width="11.7109375" style="1" customWidth="1"/>
    <col min="7173" max="7173" width="10.140625" style="1" bestFit="1" customWidth="1"/>
    <col min="7174" max="7174" width="9.7109375" style="1" bestFit="1" customWidth="1"/>
    <col min="7175" max="7175" width="12.140625" style="1" bestFit="1" customWidth="1"/>
    <col min="7176" max="7176" width="13.28515625" style="1" bestFit="1" customWidth="1"/>
    <col min="7177" max="7178" width="12.140625" style="1" customWidth="1"/>
    <col min="7179" max="7179" width="14.140625" style="1" customWidth="1"/>
    <col min="7180" max="7180" width="15.140625" style="1" customWidth="1"/>
    <col min="7181" max="7181" width="14.140625" style="1" customWidth="1"/>
    <col min="7182" max="7182" width="12.42578125" style="1" bestFit="1" customWidth="1"/>
    <col min="7183" max="7183" width="12.140625" style="1" bestFit="1" customWidth="1"/>
    <col min="7184" max="7185" width="11.42578125" style="1"/>
    <col min="7186" max="7186" width="2.85546875" style="1" customWidth="1"/>
    <col min="7187" max="7187" width="12.140625" style="1" customWidth="1"/>
    <col min="7188" max="7424" width="11.42578125" style="1"/>
    <col min="7425" max="7425" width="15.7109375" style="1" bestFit="1" customWidth="1"/>
    <col min="7426" max="7426" width="9.7109375" style="1" bestFit="1" customWidth="1"/>
    <col min="7427" max="7427" width="13.5703125" style="1" customWidth="1"/>
    <col min="7428" max="7428" width="11.7109375" style="1" customWidth="1"/>
    <col min="7429" max="7429" width="10.140625" style="1" bestFit="1" customWidth="1"/>
    <col min="7430" max="7430" width="9.7109375" style="1" bestFit="1" customWidth="1"/>
    <col min="7431" max="7431" width="12.140625" style="1" bestFit="1" customWidth="1"/>
    <col min="7432" max="7432" width="13.28515625" style="1" bestFit="1" customWidth="1"/>
    <col min="7433" max="7434" width="12.140625" style="1" customWidth="1"/>
    <col min="7435" max="7435" width="14.140625" style="1" customWidth="1"/>
    <col min="7436" max="7436" width="15.140625" style="1" customWidth="1"/>
    <col min="7437" max="7437" width="14.140625" style="1" customWidth="1"/>
    <col min="7438" max="7438" width="12.42578125" style="1" bestFit="1" customWidth="1"/>
    <col min="7439" max="7439" width="12.140625" style="1" bestFit="1" customWidth="1"/>
    <col min="7440" max="7441" width="11.42578125" style="1"/>
    <col min="7442" max="7442" width="2.85546875" style="1" customWidth="1"/>
    <col min="7443" max="7443" width="12.140625" style="1" customWidth="1"/>
    <col min="7444" max="7680" width="11.42578125" style="1"/>
    <col min="7681" max="7681" width="15.7109375" style="1" bestFit="1" customWidth="1"/>
    <col min="7682" max="7682" width="9.7109375" style="1" bestFit="1" customWidth="1"/>
    <col min="7683" max="7683" width="13.5703125" style="1" customWidth="1"/>
    <col min="7684" max="7684" width="11.7109375" style="1" customWidth="1"/>
    <col min="7685" max="7685" width="10.140625" style="1" bestFit="1" customWidth="1"/>
    <col min="7686" max="7686" width="9.7109375" style="1" bestFit="1" customWidth="1"/>
    <col min="7687" max="7687" width="12.140625" style="1" bestFit="1" customWidth="1"/>
    <col min="7688" max="7688" width="13.28515625" style="1" bestFit="1" customWidth="1"/>
    <col min="7689" max="7690" width="12.140625" style="1" customWidth="1"/>
    <col min="7691" max="7691" width="14.140625" style="1" customWidth="1"/>
    <col min="7692" max="7692" width="15.140625" style="1" customWidth="1"/>
    <col min="7693" max="7693" width="14.140625" style="1" customWidth="1"/>
    <col min="7694" max="7694" width="12.42578125" style="1" bestFit="1" customWidth="1"/>
    <col min="7695" max="7695" width="12.140625" style="1" bestFit="1" customWidth="1"/>
    <col min="7696" max="7697" width="11.42578125" style="1"/>
    <col min="7698" max="7698" width="2.85546875" style="1" customWidth="1"/>
    <col min="7699" max="7699" width="12.140625" style="1" customWidth="1"/>
    <col min="7700" max="7936" width="11.42578125" style="1"/>
    <col min="7937" max="7937" width="15.7109375" style="1" bestFit="1" customWidth="1"/>
    <col min="7938" max="7938" width="9.7109375" style="1" bestFit="1" customWidth="1"/>
    <col min="7939" max="7939" width="13.5703125" style="1" customWidth="1"/>
    <col min="7940" max="7940" width="11.7109375" style="1" customWidth="1"/>
    <col min="7941" max="7941" width="10.140625" style="1" bestFit="1" customWidth="1"/>
    <col min="7942" max="7942" width="9.7109375" style="1" bestFit="1" customWidth="1"/>
    <col min="7943" max="7943" width="12.140625" style="1" bestFit="1" customWidth="1"/>
    <col min="7944" max="7944" width="13.28515625" style="1" bestFit="1" customWidth="1"/>
    <col min="7945" max="7946" width="12.140625" style="1" customWidth="1"/>
    <col min="7947" max="7947" width="14.140625" style="1" customWidth="1"/>
    <col min="7948" max="7948" width="15.140625" style="1" customWidth="1"/>
    <col min="7949" max="7949" width="14.140625" style="1" customWidth="1"/>
    <col min="7950" max="7950" width="12.42578125" style="1" bestFit="1" customWidth="1"/>
    <col min="7951" max="7951" width="12.140625" style="1" bestFit="1" customWidth="1"/>
    <col min="7952" max="7953" width="11.42578125" style="1"/>
    <col min="7954" max="7954" width="2.85546875" style="1" customWidth="1"/>
    <col min="7955" max="7955" width="12.140625" style="1" customWidth="1"/>
    <col min="7956" max="8192" width="11.42578125" style="1"/>
    <col min="8193" max="8193" width="15.7109375" style="1" bestFit="1" customWidth="1"/>
    <col min="8194" max="8194" width="9.7109375" style="1" bestFit="1" customWidth="1"/>
    <col min="8195" max="8195" width="13.5703125" style="1" customWidth="1"/>
    <col min="8196" max="8196" width="11.7109375" style="1" customWidth="1"/>
    <col min="8197" max="8197" width="10.140625" style="1" bestFit="1" customWidth="1"/>
    <col min="8198" max="8198" width="9.7109375" style="1" bestFit="1" customWidth="1"/>
    <col min="8199" max="8199" width="12.140625" style="1" bestFit="1" customWidth="1"/>
    <col min="8200" max="8200" width="13.28515625" style="1" bestFit="1" customWidth="1"/>
    <col min="8201" max="8202" width="12.140625" style="1" customWidth="1"/>
    <col min="8203" max="8203" width="14.140625" style="1" customWidth="1"/>
    <col min="8204" max="8204" width="15.140625" style="1" customWidth="1"/>
    <col min="8205" max="8205" width="14.140625" style="1" customWidth="1"/>
    <col min="8206" max="8206" width="12.42578125" style="1" bestFit="1" customWidth="1"/>
    <col min="8207" max="8207" width="12.140625" style="1" bestFit="1" customWidth="1"/>
    <col min="8208" max="8209" width="11.42578125" style="1"/>
    <col min="8210" max="8210" width="2.85546875" style="1" customWidth="1"/>
    <col min="8211" max="8211" width="12.140625" style="1" customWidth="1"/>
    <col min="8212" max="8448" width="11.42578125" style="1"/>
    <col min="8449" max="8449" width="15.7109375" style="1" bestFit="1" customWidth="1"/>
    <col min="8450" max="8450" width="9.7109375" style="1" bestFit="1" customWidth="1"/>
    <col min="8451" max="8451" width="13.5703125" style="1" customWidth="1"/>
    <col min="8452" max="8452" width="11.7109375" style="1" customWidth="1"/>
    <col min="8453" max="8453" width="10.140625" style="1" bestFit="1" customWidth="1"/>
    <col min="8454" max="8454" width="9.7109375" style="1" bestFit="1" customWidth="1"/>
    <col min="8455" max="8455" width="12.140625" style="1" bestFit="1" customWidth="1"/>
    <col min="8456" max="8456" width="13.28515625" style="1" bestFit="1" customWidth="1"/>
    <col min="8457" max="8458" width="12.140625" style="1" customWidth="1"/>
    <col min="8459" max="8459" width="14.140625" style="1" customWidth="1"/>
    <col min="8460" max="8460" width="15.140625" style="1" customWidth="1"/>
    <col min="8461" max="8461" width="14.140625" style="1" customWidth="1"/>
    <col min="8462" max="8462" width="12.42578125" style="1" bestFit="1" customWidth="1"/>
    <col min="8463" max="8463" width="12.140625" style="1" bestFit="1" customWidth="1"/>
    <col min="8464" max="8465" width="11.42578125" style="1"/>
    <col min="8466" max="8466" width="2.85546875" style="1" customWidth="1"/>
    <col min="8467" max="8467" width="12.140625" style="1" customWidth="1"/>
    <col min="8468" max="8704" width="11.42578125" style="1"/>
    <col min="8705" max="8705" width="15.7109375" style="1" bestFit="1" customWidth="1"/>
    <col min="8706" max="8706" width="9.7109375" style="1" bestFit="1" customWidth="1"/>
    <col min="8707" max="8707" width="13.5703125" style="1" customWidth="1"/>
    <col min="8708" max="8708" width="11.7109375" style="1" customWidth="1"/>
    <col min="8709" max="8709" width="10.140625" style="1" bestFit="1" customWidth="1"/>
    <col min="8710" max="8710" width="9.7109375" style="1" bestFit="1" customWidth="1"/>
    <col min="8711" max="8711" width="12.140625" style="1" bestFit="1" customWidth="1"/>
    <col min="8712" max="8712" width="13.28515625" style="1" bestFit="1" customWidth="1"/>
    <col min="8713" max="8714" width="12.140625" style="1" customWidth="1"/>
    <col min="8715" max="8715" width="14.140625" style="1" customWidth="1"/>
    <col min="8716" max="8716" width="15.140625" style="1" customWidth="1"/>
    <col min="8717" max="8717" width="14.140625" style="1" customWidth="1"/>
    <col min="8718" max="8718" width="12.42578125" style="1" bestFit="1" customWidth="1"/>
    <col min="8719" max="8719" width="12.140625" style="1" bestFit="1" customWidth="1"/>
    <col min="8720" max="8721" width="11.42578125" style="1"/>
    <col min="8722" max="8722" width="2.85546875" style="1" customWidth="1"/>
    <col min="8723" max="8723" width="12.140625" style="1" customWidth="1"/>
    <col min="8724" max="8960" width="11.42578125" style="1"/>
    <col min="8961" max="8961" width="15.7109375" style="1" bestFit="1" customWidth="1"/>
    <col min="8962" max="8962" width="9.7109375" style="1" bestFit="1" customWidth="1"/>
    <col min="8963" max="8963" width="13.5703125" style="1" customWidth="1"/>
    <col min="8964" max="8964" width="11.7109375" style="1" customWidth="1"/>
    <col min="8965" max="8965" width="10.140625" style="1" bestFit="1" customWidth="1"/>
    <col min="8966" max="8966" width="9.7109375" style="1" bestFit="1" customWidth="1"/>
    <col min="8967" max="8967" width="12.140625" style="1" bestFit="1" customWidth="1"/>
    <col min="8968" max="8968" width="13.28515625" style="1" bestFit="1" customWidth="1"/>
    <col min="8969" max="8970" width="12.140625" style="1" customWidth="1"/>
    <col min="8971" max="8971" width="14.140625" style="1" customWidth="1"/>
    <col min="8972" max="8972" width="15.140625" style="1" customWidth="1"/>
    <col min="8973" max="8973" width="14.140625" style="1" customWidth="1"/>
    <col min="8974" max="8974" width="12.42578125" style="1" bestFit="1" customWidth="1"/>
    <col min="8975" max="8975" width="12.140625" style="1" bestFit="1" customWidth="1"/>
    <col min="8976" max="8977" width="11.42578125" style="1"/>
    <col min="8978" max="8978" width="2.85546875" style="1" customWidth="1"/>
    <col min="8979" max="8979" width="12.140625" style="1" customWidth="1"/>
    <col min="8980" max="9216" width="11.42578125" style="1"/>
    <col min="9217" max="9217" width="15.7109375" style="1" bestFit="1" customWidth="1"/>
    <col min="9218" max="9218" width="9.7109375" style="1" bestFit="1" customWidth="1"/>
    <col min="9219" max="9219" width="13.5703125" style="1" customWidth="1"/>
    <col min="9220" max="9220" width="11.7109375" style="1" customWidth="1"/>
    <col min="9221" max="9221" width="10.140625" style="1" bestFit="1" customWidth="1"/>
    <col min="9222" max="9222" width="9.7109375" style="1" bestFit="1" customWidth="1"/>
    <col min="9223" max="9223" width="12.140625" style="1" bestFit="1" customWidth="1"/>
    <col min="9224" max="9224" width="13.28515625" style="1" bestFit="1" customWidth="1"/>
    <col min="9225" max="9226" width="12.140625" style="1" customWidth="1"/>
    <col min="9227" max="9227" width="14.140625" style="1" customWidth="1"/>
    <col min="9228" max="9228" width="15.140625" style="1" customWidth="1"/>
    <col min="9229" max="9229" width="14.140625" style="1" customWidth="1"/>
    <col min="9230" max="9230" width="12.42578125" style="1" bestFit="1" customWidth="1"/>
    <col min="9231" max="9231" width="12.140625" style="1" bestFit="1" customWidth="1"/>
    <col min="9232" max="9233" width="11.42578125" style="1"/>
    <col min="9234" max="9234" width="2.85546875" style="1" customWidth="1"/>
    <col min="9235" max="9235" width="12.140625" style="1" customWidth="1"/>
    <col min="9236" max="9472" width="11.42578125" style="1"/>
    <col min="9473" max="9473" width="15.7109375" style="1" bestFit="1" customWidth="1"/>
    <col min="9474" max="9474" width="9.7109375" style="1" bestFit="1" customWidth="1"/>
    <col min="9475" max="9475" width="13.5703125" style="1" customWidth="1"/>
    <col min="9476" max="9476" width="11.7109375" style="1" customWidth="1"/>
    <col min="9477" max="9477" width="10.140625" style="1" bestFit="1" customWidth="1"/>
    <col min="9478" max="9478" width="9.7109375" style="1" bestFit="1" customWidth="1"/>
    <col min="9479" max="9479" width="12.140625" style="1" bestFit="1" customWidth="1"/>
    <col min="9480" max="9480" width="13.28515625" style="1" bestFit="1" customWidth="1"/>
    <col min="9481" max="9482" width="12.140625" style="1" customWidth="1"/>
    <col min="9483" max="9483" width="14.140625" style="1" customWidth="1"/>
    <col min="9484" max="9484" width="15.140625" style="1" customWidth="1"/>
    <col min="9485" max="9485" width="14.140625" style="1" customWidth="1"/>
    <col min="9486" max="9486" width="12.42578125" style="1" bestFit="1" customWidth="1"/>
    <col min="9487" max="9487" width="12.140625" style="1" bestFit="1" customWidth="1"/>
    <col min="9488" max="9489" width="11.42578125" style="1"/>
    <col min="9490" max="9490" width="2.85546875" style="1" customWidth="1"/>
    <col min="9491" max="9491" width="12.140625" style="1" customWidth="1"/>
    <col min="9492" max="9728" width="11.42578125" style="1"/>
    <col min="9729" max="9729" width="15.7109375" style="1" bestFit="1" customWidth="1"/>
    <col min="9730" max="9730" width="9.7109375" style="1" bestFit="1" customWidth="1"/>
    <col min="9731" max="9731" width="13.5703125" style="1" customWidth="1"/>
    <col min="9732" max="9732" width="11.7109375" style="1" customWidth="1"/>
    <col min="9733" max="9733" width="10.140625" style="1" bestFit="1" customWidth="1"/>
    <col min="9734" max="9734" width="9.7109375" style="1" bestFit="1" customWidth="1"/>
    <col min="9735" max="9735" width="12.140625" style="1" bestFit="1" customWidth="1"/>
    <col min="9736" max="9736" width="13.28515625" style="1" bestFit="1" customWidth="1"/>
    <col min="9737" max="9738" width="12.140625" style="1" customWidth="1"/>
    <col min="9739" max="9739" width="14.140625" style="1" customWidth="1"/>
    <col min="9740" max="9740" width="15.140625" style="1" customWidth="1"/>
    <col min="9741" max="9741" width="14.140625" style="1" customWidth="1"/>
    <col min="9742" max="9742" width="12.42578125" style="1" bestFit="1" customWidth="1"/>
    <col min="9743" max="9743" width="12.140625" style="1" bestFit="1" customWidth="1"/>
    <col min="9744" max="9745" width="11.42578125" style="1"/>
    <col min="9746" max="9746" width="2.85546875" style="1" customWidth="1"/>
    <col min="9747" max="9747" width="12.140625" style="1" customWidth="1"/>
    <col min="9748" max="9984" width="11.42578125" style="1"/>
    <col min="9985" max="9985" width="15.7109375" style="1" bestFit="1" customWidth="1"/>
    <col min="9986" max="9986" width="9.7109375" style="1" bestFit="1" customWidth="1"/>
    <col min="9987" max="9987" width="13.5703125" style="1" customWidth="1"/>
    <col min="9988" max="9988" width="11.7109375" style="1" customWidth="1"/>
    <col min="9989" max="9989" width="10.140625" style="1" bestFit="1" customWidth="1"/>
    <col min="9990" max="9990" width="9.7109375" style="1" bestFit="1" customWidth="1"/>
    <col min="9991" max="9991" width="12.140625" style="1" bestFit="1" customWidth="1"/>
    <col min="9992" max="9992" width="13.28515625" style="1" bestFit="1" customWidth="1"/>
    <col min="9993" max="9994" width="12.140625" style="1" customWidth="1"/>
    <col min="9995" max="9995" width="14.140625" style="1" customWidth="1"/>
    <col min="9996" max="9996" width="15.140625" style="1" customWidth="1"/>
    <col min="9997" max="9997" width="14.140625" style="1" customWidth="1"/>
    <col min="9998" max="9998" width="12.42578125" style="1" bestFit="1" customWidth="1"/>
    <col min="9999" max="9999" width="12.140625" style="1" bestFit="1" customWidth="1"/>
    <col min="10000" max="10001" width="11.42578125" style="1"/>
    <col min="10002" max="10002" width="2.85546875" style="1" customWidth="1"/>
    <col min="10003" max="10003" width="12.140625" style="1" customWidth="1"/>
    <col min="10004" max="10240" width="11.42578125" style="1"/>
    <col min="10241" max="10241" width="15.7109375" style="1" bestFit="1" customWidth="1"/>
    <col min="10242" max="10242" width="9.7109375" style="1" bestFit="1" customWidth="1"/>
    <col min="10243" max="10243" width="13.5703125" style="1" customWidth="1"/>
    <col min="10244" max="10244" width="11.7109375" style="1" customWidth="1"/>
    <col min="10245" max="10245" width="10.140625" style="1" bestFit="1" customWidth="1"/>
    <col min="10246" max="10246" width="9.7109375" style="1" bestFit="1" customWidth="1"/>
    <col min="10247" max="10247" width="12.140625" style="1" bestFit="1" customWidth="1"/>
    <col min="10248" max="10248" width="13.28515625" style="1" bestFit="1" customWidth="1"/>
    <col min="10249" max="10250" width="12.140625" style="1" customWidth="1"/>
    <col min="10251" max="10251" width="14.140625" style="1" customWidth="1"/>
    <col min="10252" max="10252" width="15.140625" style="1" customWidth="1"/>
    <col min="10253" max="10253" width="14.140625" style="1" customWidth="1"/>
    <col min="10254" max="10254" width="12.42578125" style="1" bestFit="1" customWidth="1"/>
    <col min="10255" max="10255" width="12.140625" style="1" bestFit="1" customWidth="1"/>
    <col min="10256" max="10257" width="11.42578125" style="1"/>
    <col min="10258" max="10258" width="2.85546875" style="1" customWidth="1"/>
    <col min="10259" max="10259" width="12.140625" style="1" customWidth="1"/>
    <col min="10260" max="10496" width="11.42578125" style="1"/>
    <col min="10497" max="10497" width="15.7109375" style="1" bestFit="1" customWidth="1"/>
    <col min="10498" max="10498" width="9.7109375" style="1" bestFit="1" customWidth="1"/>
    <col min="10499" max="10499" width="13.5703125" style="1" customWidth="1"/>
    <col min="10500" max="10500" width="11.7109375" style="1" customWidth="1"/>
    <col min="10501" max="10501" width="10.140625" style="1" bestFit="1" customWidth="1"/>
    <col min="10502" max="10502" width="9.7109375" style="1" bestFit="1" customWidth="1"/>
    <col min="10503" max="10503" width="12.140625" style="1" bestFit="1" customWidth="1"/>
    <col min="10504" max="10504" width="13.28515625" style="1" bestFit="1" customWidth="1"/>
    <col min="10505" max="10506" width="12.140625" style="1" customWidth="1"/>
    <col min="10507" max="10507" width="14.140625" style="1" customWidth="1"/>
    <col min="10508" max="10508" width="15.140625" style="1" customWidth="1"/>
    <col min="10509" max="10509" width="14.140625" style="1" customWidth="1"/>
    <col min="10510" max="10510" width="12.42578125" style="1" bestFit="1" customWidth="1"/>
    <col min="10511" max="10511" width="12.140625" style="1" bestFit="1" customWidth="1"/>
    <col min="10512" max="10513" width="11.42578125" style="1"/>
    <col min="10514" max="10514" width="2.85546875" style="1" customWidth="1"/>
    <col min="10515" max="10515" width="12.140625" style="1" customWidth="1"/>
    <col min="10516" max="10752" width="11.42578125" style="1"/>
    <col min="10753" max="10753" width="15.7109375" style="1" bestFit="1" customWidth="1"/>
    <col min="10754" max="10754" width="9.7109375" style="1" bestFit="1" customWidth="1"/>
    <col min="10755" max="10755" width="13.5703125" style="1" customWidth="1"/>
    <col min="10756" max="10756" width="11.7109375" style="1" customWidth="1"/>
    <col min="10757" max="10757" width="10.140625" style="1" bestFit="1" customWidth="1"/>
    <col min="10758" max="10758" width="9.7109375" style="1" bestFit="1" customWidth="1"/>
    <col min="10759" max="10759" width="12.140625" style="1" bestFit="1" customWidth="1"/>
    <col min="10760" max="10760" width="13.28515625" style="1" bestFit="1" customWidth="1"/>
    <col min="10761" max="10762" width="12.140625" style="1" customWidth="1"/>
    <col min="10763" max="10763" width="14.140625" style="1" customWidth="1"/>
    <col min="10764" max="10764" width="15.140625" style="1" customWidth="1"/>
    <col min="10765" max="10765" width="14.140625" style="1" customWidth="1"/>
    <col min="10766" max="10766" width="12.42578125" style="1" bestFit="1" customWidth="1"/>
    <col min="10767" max="10767" width="12.140625" style="1" bestFit="1" customWidth="1"/>
    <col min="10768" max="10769" width="11.42578125" style="1"/>
    <col min="10770" max="10770" width="2.85546875" style="1" customWidth="1"/>
    <col min="10771" max="10771" width="12.140625" style="1" customWidth="1"/>
    <col min="10772" max="11008" width="11.42578125" style="1"/>
    <col min="11009" max="11009" width="15.7109375" style="1" bestFit="1" customWidth="1"/>
    <col min="11010" max="11010" width="9.7109375" style="1" bestFit="1" customWidth="1"/>
    <col min="11011" max="11011" width="13.5703125" style="1" customWidth="1"/>
    <col min="11012" max="11012" width="11.7109375" style="1" customWidth="1"/>
    <col min="11013" max="11013" width="10.140625" style="1" bestFit="1" customWidth="1"/>
    <col min="11014" max="11014" width="9.7109375" style="1" bestFit="1" customWidth="1"/>
    <col min="11015" max="11015" width="12.140625" style="1" bestFit="1" customWidth="1"/>
    <col min="11016" max="11016" width="13.28515625" style="1" bestFit="1" customWidth="1"/>
    <col min="11017" max="11018" width="12.140625" style="1" customWidth="1"/>
    <col min="11019" max="11019" width="14.140625" style="1" customWidth="1"/>
    <col min="11020" max="11020" width="15.140625" style="1" customWidth="1"/>
    <col min="11021" max="11021" width="14.140625" style="1" customWidth="1"/>
    <col min="11022" max="11022" width="12.42578125" style="1" bestFit="1" customWidth="1"/>
    <col min="11023" max="11023" width="12.140625" style="1" bestFit="1" customWidth="1"/>
    <col min="11024" max="11025" width="11.42578125" style="1"/>
    <col min="11026" max="11026" width="2.85546875" style="1" customWidth="1"/>
    <col min="11027" max="11027" width="12.140625" style="1" customWidth="1"/>
    <col min="11028" max="11264" width="11.42578125" style="1"/>
    <col min="11265" max="11265" width="15.7109375" style="1" bestFit="1" customWidth="1"/>
    <col min="11266" max="11266" width="9.7109375" style="1" bestFit="1" customWidth="1"/>
    <col min="11267" max="11267" width="13.5703125" style="1" customWidth="1"/>
    <col min="11268" max="11268" width="11.7109375" style="1" customWidth="1"/>
    <col min="11269" max="11269" width="10.140625" style="1" bestFit="1" customWidth="1"/>
    <col min="11270" max="11270" width="9.7109375" style="1" bestFit="1" customWidth="1"/>
    <col min="11271" max="11271" width="12.140625" style="1" bestFit="1" customWidth="1"/>
    <col min="11272" max="11272" width="13.28515625" style="1" bestFit="1" customWidth="1"/>
    <col min="11273" max="11274" width="12.140625" style="1" customWidth="1"/>
    <col min="11275" max="11275" width="14.140625" style="1" customWidth="1"/>
    <col min="11276" max="11276" width="15.140625" style="1" customWidth="1"/>
    <col min="11277" max="11277" width="14.140625" style="1" customWidth="1"/>
    <col min="11278" max="11278" width="12.42578125" style="1" bestFit="1" customWidth="1"/>
    <col min="11279" max="11279" width="12.140625" style="1" bestFit="1" customWidth="1"/>
    <col min="11280" max="11281" width="11.42578125" style="1"/>
    <col min="11282" max="11282" width="2.85546875" style="1" customWidth="1"/>
    <col min="11283" max="11283" width="12.140625" style="1" customWidth="1"/>
    <col min="11284" max="11520" width="11.42578125" style="1"/>
    <col min="11521" max="11521" width="15.7109375" style="1" bestFit="1" customWidth="1"/>
    <col min="11522" max="11522" width="9.7109375" style="1" bestFit="1" customWidth="1"/>
    <col min="11523" max="11523" width="13.5703125" style="1" customWidth="1"/>
    <col min="11524" max="11524" width="11.7109375" style="1" customWidth="1"/>
    <col min="11525" max="11525" width="10.140625" style="1" bestFit="1" customWidth="1"/>
    <col min="11526" max="11526" width="9.7109375" style="1" bestFit="1" customWidth="1"/>
    <col min="11527" max="11527" width="12.140625" style="1" bestFit="1" customWidth="1"/>
    <col min="11528" max="11528" width="13.28515625" style="1" bestFit="1" customWidth="1"/>
    <col min="11529" max="11530" width="12.140625" style="1" customWidth="1"/>
    <col min="11531" max="11531" width="14.140625" style="1" customWidth="1"/>
    <col min="11532" max="11532" width="15.140625" style="1" customWidth="1"/>
    <col min="11533" max="11533" width="14.140625" style="1" customWidth="1"/>
    <col min="11534" max="11534" width="12.42578125" style="1" bestFit="1" customWidth="1"/>
    <col min="11535" max="11535" width="12.140625" style="1" bestFit="1" customWidth="1"/>
    <col min="11536" max="11537" width="11.42578125" style="1"/>
    <col min="11538" max="11538" width="2.85546875" style="1" customWidth="1"/>
    <col min="11539" max="11539" width="12.140625" style="1" customWidth="1"/>
    <col min="11540" max="11776" width="11.42578125" style="1"/>
    <col min="11777" max="11777" width="15.7109375" style="1" bestFit="1" customWidth="1"/>
    <col min="11778" max="11778" width="9.7109375" style="1" bestFit="1" customWidth="1"/>
    <col min="11779" max="11779" width="13.5703125" style="1" customWidth="1"/>
    <col min="11780" max="11780" width="11.7109375" style="1" customWidth="1"/>
    <col min="11781" max="11781" width="10.140625" style="1" bestFit="1" customWidth="1"/>
    <col min="11782" max="11782" width="9.7109375" style="1" bestFit="1" customWidth="1"/>
    <col min="11783" max="11783" width="12.140625" style="1" bestFit="1" customWidth="1"/>
    <col min="11784" max="11784" width="13.28515625" style="1" bestFit="1" customWidth="1"/>
    <col min="11785" max="11786" width="12.140625" style="1" customWidth="1"/>
    <col min="11787" max="11787" width="14.140625" style="1" customWidth="1"/>
    <col min="11788" max="11788" width="15.140625" style="1" customWidth="1"/>
    <col min="11789" max="11789" width="14.140625" style="1" customWidth="1"/>
    <col min="11790" max="11790" width="12.42578125" style="1" bestFit="1" customWidth="1"/>
    <col min="11791" max="11791" width="12.140625" style="1" bestFit="1" customWidth="1"/>
    <col min="11792" max="11793" width="11.42578125" style="1"/>
    <col min="11794" max="11794" width="2.85546875" style="1" customWidth="1"/>
    <col min="11795" max="11795" width="12.140625" style="1" customWidth="1"/>
    <col min="11796" max="12032" width="11.42578125" style="1"/>
    <col min="12033" max="12033" width="15.7109375" style="1" bestFit="1" customWidth="1"/>
    <col min="12034" max="12034" width="9.7109375" style="1" bestFit="1" customWidth="1"/>
    <col min="12035" max="12035" width="13.5703125" style="1" customWidth="1"/>
    <col min="12036" max="12036" width="11.7109375" style="1" customWidth="1"/>
    <col min="12037" max="12037" width="10.140625" style="1" bestFit="1" customWidth="1"/>
    <col min="12038" max="12038" width="9.7109375" style="1" bestFit="1" customWidth="1"/>
    <col min="12039" max="12039" width="12.140625" style="1" bestFit="1" customWidth="1"/>
    <col min="12040" max="12040" width="13.28515625" style="1" bestFit="1" customWidth="1"/>
    <col min="12041" max="12042" width="12.140625" style="1" customWidth="1"/>
    <col min="12043" max="12043" width="14.140625" style="1" customWidth="1"/>
    <col min="12044" max="12044" width="15.140625" style="1" customWidth="1"/>
    <col min="12045" max="12045" width="14.140625" style="1" customWidth="1"/>
    <col min="12046" max="12046" width="12.42578125" style="1" bestFit="1" customWidth="1"/>
    <col min="12047" max="12047" width="12.140625" style="1" bestFit="1" customWidth="1"/>
    <col min="12048" max="12049" width="11.42578125" style="1"/>
    <col min="12050" max="12050" width="2.85546875" style="1" customWidth="1"/>
    <col min="12051" max="12051" width="12.140625" style="1" customWidth="1"/>
    <col min="12052" max="12288" width="11.42578125" style="1"/>
    <col min="12289" max="12289" width="15.7109375" style="1" bestFit="1" customWidth="1"/>
    <col min="12290" max="12290" width="9.7109375" style="1" bestFit="1" customWidth="1"/>
    <col min="12291" max="12291" width="13.5703125" style="1" customWidth="1"/>
    <col min="12292" max="12292" width="11.7109375" style="1" customWidth="1"/>
    <col min="12293" max="12293" width="10.140625" style="1" bestFit="1" customWidth="1"/>
    <col min="12294" max="12294" width="9.7109375" style="1" bestFit="1" customWidth="1"/>
    <col min="12295" max="12295" width="12.140625" style="1" bestFit="1" customWidth="1"/>
    <col min="12296" max="12296" width="13.28515625" style="1" bestFit="1" customWidth="1"/>
    <col min="12297" max="12298" width="12.140625" style="1" customWidth="1"/>
    <col min="12299" max="12299" width="14.140625" style="1" customWidth="1"/>
    <col min="12300" max="12300" width="15.140625" style="1" customWidth="1"/>
    <col min="12301" max="12301" width="14.140625" style="1" customWidth="1"/>
    <col min="12302" max="12302" width="12.42578125" style="1" bestFit="1" customWidth="1"/>
    <col min="12303" max="12303" width="12.140625" style="1" bestFit="1" customWidth="1"/>
    <col min="12304" max="12305" width="11.42578125" style="1"/>
    <col min="12306" max="12306" width="2.85546875" style="1" customWidth="1"/>
    <col min="12307" max="12307" width="12.140625" style="1" customWidth="1"/>
    <col min="12308" max="12544" width="11.42578125" style="1"/>
    <col min="12545" max="12545" width="15.7109375" style="1" bestFit="1" customWidth="1"/>
    <col min="12546" max="12546" width="9.7109375" style="1" bestFit="1" customWidth="1"/>
    <col min="12547" max="12547" width="13.5703125" style="1" customWidth="1"/>
    <col min="12548" max="12548" width="11.7109375" style="1" customWidth="1"/>
    <col min="12549" max="12549" width="10.140625" style="1" bestFit="1" customWidth="1"/>
    <col min="12550" max="12550" width="9.7109375" style="1" bestFit="1" customWidth="1"/>
    <col min="12551" max="12551" width="12.140625" style="1" bestFit="1" customWidth="1"/>
    <col min="12552" max="12552" width="13.28515625" style="1" bestFit="1" customWidth="1"/>
    <col min="12553" max="12554" width="12.140625" style="1" customWidth="1"/>
    <col min="12555" max="12555" width="14.140625" style="1" customWidth="1"/>
    <col min="12556" max="12556" width="15.140625" style="1" customWidth="1"/>
    <col min="12557" max="12557" width="14.140625" style="1" customWidth="1"/>
    <col min="12558" max="12558" width="12.42578125" style="1" bestFit="1" customWidth="1"/>
    <col min="12559" max="12559" width="12.140625" style="1" bestFit="1" customWidth="1"/>
    <col min="12560" max="12561" width="11.42578125" style="1"/>
    <col min="12562" max="12562" width="2.85546875" style="1" customWidth="1"/>
    <col min="12563" max="12563" width="12.140625" style="1" customWidth="1"/>
    <col min="12564" max="12800" width="11.42578125" style="1"/>
    <col min="12801" max="12801" width="15.7109375" style="1" bestFit="1" customWidth="1"/>
    <col min="12802" max="12802" width="9.7109375" style="1" bestFit="1" customWidth="1"/>
    <col min="12803" max="12803" width="13.5703125" style="1" customWidth="1"/>
    <col min="12804" max="12804" width="11.7109375" style="1" customWidth="1"/>
    <col min="12805" max="12805" width="10.140625" style="1" bestFit="1" customWidth="1"/>
    <col min="12806" max="12806" width="9.7109375" style="1" bestFit="1" customWidth="1"/>
    <col min="12807" max="12807" width="12.140625" style="1" bestFit="1" customWidth="1"/>
    <col min="12808" max="12808" width="13.28515625" style="1" bestFit="1" customWidth="1"/>
    <col min="12809" max="12810" width="12.140625" style="1" customWidth="1"/>
    <col min="12811" max="12811" width="14.140625" style="1" customWidth="1"/>
    <col min="12812" max="12812" width="15.140625" style="1" customWidth="1"/>
    <col min="12813" max="12813" width="14.140625" style="1" customWidth="1"/>
    <col min="12814" max="12814" width="12.42578125" style="1" bestFit="1" customWidth="1"/>
    <col min="12815" max="12815" width="12.140625" style="1" bestFit="1" customWidth="1"/>
    <col min="12816" max="12817" width="11.42578125" style="1"/>
    <col min="12818" max="12818" width="2.85546875" style="1" customWidth="1"/>
    <col min="12819" max="12819" width="12.140625" style="1" customWidth="1"/>
    <col min="12820" max="13056" width="11.42578125" style="1"/>
    <col min="13057" max="13057" width="15.7109375" style="1" bestFit="1" customWidth="1"/>
    <col min="13058" max="13058" width="9.7109375" style="1" bestFit="1" customWidth="1"/>
    <col min="13059" max="13059" width="13.5703125" style="1" customWidth="1"/>
    <col min="13060" max="13060" width="11.7109375" style="1" customWidth="1"/>
    <col min="13061" max="13061" width="10.140625" style="1" bestFit="1" customWidth="1"/>
    <col min="13062" max="13062" width="9.7109375" style="1" bestFit="1" customWidth="1"/>
    <col min="13063" max="13063" width="12.140625" style="1" bestFit="1" customWidth="1"/>
    <col min="13064" max="13064" width="13.28515625" style="1" bestFit="1" customWidth="1"/>
    <col min="13065" max="13066" width="12.140625" style="1" customWidth="1"/>
    <col min="13067" max="13067" width="14.140625" style="1" customWidth="1"/>
    <col min="13068" max="13068" width="15.140625" style="1" customWidth="1"/>
    <col min="13069" max="13069" width="14.140625" style="1" customWidth="1"/>
    <col min="13070" max="13070" width="12.42578125" style="1" bestFit="1" customWidth="1"/>
    <col min="13071" max="13071" width="12.140625" style="1" bestFit="1" customWidth="1"/>
    <col min="13072" max="13073" width="11.42578125" style="1"/>
    <col min="13074" max="13074" width="2.85546875" style="1" customWidth="1"/>
    <col min="13075" max="13075" width="12.140625" style="1" customWidth="1"/>
    <col min="13076" max="13312" width="11.42578125" style="1"/>
    <col min="13313" max="13313" width="15.7109375" style="1" bestFit="1" customWidth="1"/>
    <col min="13314" max="13314" width="9.7109375" style="1" bestFit="1" customWidth="1"/>
    <col min="13315" max="13315" width="13.5703125" style="1" customWidth="1"/>
    <col min="13316" max="13316" width="11.7109375" style="1" customWidth="1"/>
    <col min="13317" max="13317" width="10.140625" style="1" bestFit="1" customWidth="1"/>
    <col min="13318" max="13318" width="9.7109375" style="1" bestFit="1" customWidth="1"/>
    <col min="13319" max="13319" width="12.140625" style="1" bestFit="1" customWidth="1"/>
    <col min="13320" max="13320" width="13.28515625" style="1" bestFit="1" customWidth="1"/>
    <col min="13321" max="13322" width="12.140625" style="1" customWidth="1"/>
    <col min="13323" max="13323" width="14.140625" style="1" customWidth="1"/>
    <col min="13324" max="13324" width="15.140625" style="1" customWidth="1"/>
    <col min="13325" max="13325" width="14.140625" style="1" customWidth="1"/>
    <col min="13326" max="13326" width="12.42578125" style="1" bestFit="1" customWidth="1"/>
    <col min="13327" max="13327" width="12.140625" style="1" bestFit="1" customWidth="1"/>
    <col min="13328" max="13329" width="11.42578125" style="1"/>
    <col min="13330" max="13330" width="2.85546875" style="1" customWidth="1"/>
    <col min="13331" max="13331" width="12.140625" style="1" customWidth="1"/>
    <col min="13332" max="13568" width="11.42578125" style="1"/>
    <col min="13569" max="13569" width="15.7109375" style="1" bestFit="1" customWidth="1"/>
    <col min="13570" max="13570" width="9.7109375" style="1" bestFit="1" customWidth="1"/>
    <col min="13571" max="13571" width="13.5703125" style="1" customWidth="1"/>
    <col min="13572" max="13572" width="11.7109375" style="1" customWidth="1"/>
    <col min="13573" max="13573" width="10.140625" style="1" bestFit="1" customWidth="1"/>
    <col min="13574" max="13574" width="9.7109375" style="1" bestFit="1" customWidth="1"/>
    <col min="13575" max="13575" width="12.140625" style="1" bestFit="1" customWidth="1"/>
    <col min="13576" max="13576" width="13.28515625" style="1" bestFit="1" customWidth="1"/>
    <col min="13577" max="13578" width="12.140625" style="1" customWidth="1"/>
    <col min="13579" max="13579" width="14.140625" style="1" customWidth="1"/>
    <col min="13580" max="13580" width="15.140625" style="1" customWidth="1"/>
    <col min="13581" max="13581" width="14.140625" style="1" customWidth="1"/>
    <col min="13582" max="13582" width="12.42578125" style="1" bestFit="1" customWidth="1"/>
    <col min="13583" max="13583" width="12.140625" style="1" bestFit="1" customWidth="1"/>
    <col min="13584" max="13585" width="11.42578125" style="1"/>
    <col min="13586" max="13586" width="2.85546875" style="1" customWidth="1"/>
    <col min="13587" max="13587" width="12.140625" style="1" customWidth="1"/>
    <col min="13588" max="13824" width="11.42578125" style="1"/>
    <col min="13825" max="13825" width="15.7109375" style="1" bestFit="1" customWidth="1"/>
    <col min="13826" max="13826" width="9.7109375" style="1" bestFit="1" customWidth="1"/>
    <col min="13827" max="13827" width="13.5703125" style="1" customWidth="1"/>
    <col min="13828" max="13828" width="11.7109375" style="1" customWidth="1"/>
    <col min="13829" max="13829" width="10.140625" style="1" bestFit="1" customWidth="1"/>
    <col min="13830" max="13830" width="9.7109375" style="1" bestFit="1" customWidth="1"/>
    <col min="13831" max="13831" width="12.140625" style="1" bestFit="1" customWidth="1"/>
    <col min="13832" max="13832" width="13.28515625" style="1" bestFit="1" customWidth="1"/>
    <col min="13833" max="13834" width="12.140625" style="1" customWidth="1"/>
    <col min="13835" max="13835" width="14.140625" style="1" customWidth="1"/>
    <col min="13836" max="13836" width="15.140625" style="1" customWidth="1"/>
    <col min="13837" max="13837" width="14.140625" style="1" customWidth="1"/>
    <col min="13838" max="13838" width="12.42578125" style="1" bestFit="1" customWidth="1"/>
    <col min="13839" max="13839" width="12.140625" style="1" bestFit="1" customWidth="1"/>
    <col min="13840" max="13841" width="11.42578125" style="1"/>
    <col min="13842" max="13842" width="2.85546875" style="1" customWidth="1"/>
    <col min="13843" max="13843" width="12.140625" style="1" customWidth="1"/>
    <col min="13844" max="14080" width="11.42578125" style="1"/>
    <col min="14081" max="14081" width="15.7109375" style="1" bestFit="1" customWidth="1"/>
    <col min="14082" max="14082" width="9.7109375" style="1" bestFit="1" customWidth="1"/>
    <col min="14083" max="14083" width="13.5703125" style="1" customWidth="1"/>
    <col min="14084" max="14084" width="11.7109375" style="1" customWidth="1"/>
    <col min="14085" max="14085" width="10.140625" style="1" bestFit="1" customWidth="1"/>
    <col min="14086" max="14086" width="9.7109375" style="1" bestFit="1" customWidth="1"/>
    <col min="14087" max="14087" width="12.140625" style="1" bestFit="1" customWidth="1"/>
    <col min="14088" max="14088" width="13.28515625" style="1" bestFit="1" customWidth="1"/>
    <col min="14089" max="14090" width="12.140625" style="1" customWidth="1"/>
    <col min="14091" max="14091" width="14.140625" style="1" customWidth="1"/>
    <col min="14092" max="14092" width="15.140625" style="1" customWidth="1"/>
    <col min="14093" max="14093" width="14.140625" style="1" customWidth="1"/>
    <col min="14094" max="14094" width="12.42578125" style="1" bestFit="1" customWidth="1"/>
    <col min="14095" max="14095" width="12.140625" style="1" bestFit="1" customWidth="1"/>
    <col min="14096" max="14097" width="11.42578125" style="1"/>
    <col min="14098" max="14098" width="2.85546875" style="1" customWidth="1"/>
    <col min="14099" max="14099" width="12.140625" style="1" customWidth="1"/>
    <col min="14100" max="14336" width="11.42578125" style="1"/>
    <col min="14337" max="14337" width="15.7109375" style="1" bestFit="1" customWidth="1"/>
    <col min="14338" max="14338" width="9.7109375" style="1" bestFit="1" customWidth="1"/>
    <col min="14339" max="14339" width="13.5703125" style="1" customWidth="1"/>
    <col min="14340" max="14340" width="11.7109375" style="1" customWidth="1"/>
    <col min="14341" max="14341" width="10.140625" style="1" bestFit="1" customWidth="1"/>
    <col min="14342" max="14342" width="9.7109375" style="1" bestFit="1" customWidth="1"/>
    <col min="14343" max="14343" width="12.140625" style="1" bestFit="1" customWidth="1"/>
    <col min="14344" max="14344" width="13.28515625" style="1" bestFit="1" customWidth="1"/>
    <col min="14345" max="14346" width="12.140625" style="1" customWidth="1"/>
    <col min="14347" max="14347" width="14.140625" style="1" customWidth="1"/>
    <col min="14348" max="14348" width="15.140625" style="1" customWidth="1"/>
    <col min="14349" max="14349" width="14.140625" style="1" customWidth="1"/>
    <col min="14350" max="14350" width="12.42578125" style="1" bestFit="1" customWidth="1"/>
    <col min="14351" max="14351" width="12.140625" style="1" bestFit="1" customWidth="1"/>
    <col min="14352" max="14353" width="11.42578125" style="1"/>
    <col min="14354" max="14354" width="2.85546875" style="1" customWidth="1"/>
    <col min="14355" max="14355" width="12.140625" style="1" customWidth="1"/>
    <col min="14356" max="14592" width="11.42578125" style="1"/>
    <col min="14593" max="14593" width="15.7109375" style="1" bestFit="1" customWidth="1"/>
    <col min="14594" max="14594" width="9.7109375" style="1" bestFit="1" customWidth="1"/>
    <col min="14595" max="14595" width="13.5703125" style="1" customWidth="1"/>
    <col min="14596" max="14596" width="11.7109375" style="1" customWidth="1"/>
    <col min="14597" max="14597" width="10.140625" style="1" bestFit="1" customWidth="1"/>
    <col min="14598" max="14598" width="9.7109375" style="1" bestFit="1" customWidth="1"/>
    <col min="14599" max="14599" width="12.140625" style="1" bestFit="1" customWidth="1"/>
    <col min="14600" max="14600" width="13.28515625" style="1" bestFit="1" customWidth="1"/>
    <col min="14601" max="14602" width="12.140625" style="1" customWidth="1"/>
    <col min="14603" max="14603" width="14.140625" style="1" customWidth="1"/>
    <col min="14604" max="14604" width="15.140625" style="1" customWidth="1"/>
    <col min="14605" max="14605" width="14.140625" style="1" customWidth="1"/>
    <col min="14606" max="14606" width="12.42578125" style="1" bestFit="1" customWidth="1"/>
    <col min="14607" max="14607" width="12.140625" style="1" bestFit="1" customWidth="1"/>
    <col min="14608" max="14609" width="11.42578125" style="1"/>
    <col min="14610" max="14610" width="2.85546875" style="1" customWidth="1"/>
    <col min="14611" max="14611" width="12.140625" style="1" customWidth="1"/>
    <col min="14612" max="14848" width="11.42578125" style="1"/>
    <col min="14849" max="14849" width="15.7109375" style="1" bestFit="1" customWidth="1"/>
    <col min="14850" max="14850" width="9.7109375" style="1" bestFit="1" customWidth="1"/>
    <col min="14851" max="14851" width="13.5703125" style="1" customWidth="1"/>
    <col min="14852" max="14852" width="11.7109375" style="1" customWidth="1"/>
    <col min="14853" max="14853" width="10.140625" style="1" bestFit="1" customWidth="1"/>
    <col min="14854" max="14854" width="9.7109375" style="1" bestFit="1" customWidth="1"/>
    <col min="14855" max="14855" width="12.140625" style="1" bestFit="1" customWidth="1"/>
    <col min="14856" max="14856" width="13.28515625" style="1" bestFit="1" customWidth="1"/>
    <col min="14857" max="14858" width="12.140625" style="1" customWidth="1"/>
    <col min="14859" max="14859" width="14.140625" style="1" customWidth="1"/>
    <col min="14860" max="14860" width="15.140625" style="1" customWidth="1"/>
    <col min="14861" max="14861" width="14.140625" style="1" customWidth="1"/>
    <col min="14862" max="14862" width="12.42578125" style="1" bestFit="1" customWidth="1"/>
    <col min="14863" max="14863" width="12.140625" style="1" bestFit="1" customWidth="1"/>
    <col min="14864" max="14865" width="11.42578125" style="1"/>
    <col min="14866" max="14866" width="2.85546875" style="1" customWidth="1"/>
    <col min="14867" max="14867" width="12.140625" style="1" customWidth="1"/>
    <col min="14868" max="15104" width="11.42578125" style="1"/>
    <col min="15105" max="15105" width="15.7109375" style="1" bestFit="1" customWidth="1"/>
    <col min="15106" max="15106" width="9.7109375" style="1" bestFit="1" customWidth="1"/>
    <col min="15107" max="15107" width="13.5703125" style="1" customWidth="1"/>
    <col min="15108" max="15108" width="11.7109375" style="1" customWidth="1"/>
    <col min="15109" max="15109" width="10.140625" style="1" bestFit="1" customWidth="1"/>
    <col min="15110" max="15110" width="9.7109375" style="1" bestFit="1" customWidth="1"/>
    <col min="15111" max="15111" width="12.140625" style="1" bestFit="1" customWidth="1"/>
    <col min="15112" max="15112" width="13.28515625" style="1" bestFit="1" customWidth="1"/>
    <col min="15113" max="15114" width="12.140625" style="1" customWidth="1"/>
    <col min="15115" max="15115" width="14.140625" style="1" customWidth="1"/>
    <col min="15116" max="15116" width="15.140625" style="1" customWidth="1"/>
    <col min="15117" max="15117" width="14.140625" style="1" customWidth="1"/>
    <col min="15118" max="15118" width="12.42578125" style="1" bestFit="1" customWidth="1"/>
    <col min="15119" max="15119" width="12.140625" style="1" bestFit="1" customWidth="1"/>
    <col min="15120" max="15121" width="11.42578125" style="1"/>
    <col min="15122" max="15122" width="2.85546875" style="1" customWidth="1"/>
    <col min="15123" max="15123" width="12.140625" style="1" customWidth="1"/>
    <col min="15124" max="15360" width="11.42578125" style="1"/>
    <col min="15361" max="15361" width="15.7109375" style="1" bestFit="1" customWidth="1"/>
    <col min="15362" max="15362" width="9.7109375" style="1" bestFit="1" customWidth="1"/>
    <col min="15363" max="15363" width="13.5703125" style="1" customWidth="1"/>
    <col min="15364" max="15364" width="11.7109375" style="1" customWidth="1"/>
    <col min="15365" max="15365" width="10.140625" style="1" bestFit="1" customWidth="1"/>
    <col min="15366" max="15366" width="9.7109375" style="1" bestFit="1" customWidth="1"/>
    <col min="15367" max="15367" width="12.140625" style="1" bestFit="1" customWidth="1"/>
    <col min="15368" max="15368" width="13.28515625" style="1" bestFit="1" customWidth="1"/>
    <col min="15369" max="15370" width="12.140625" style="1" customWidth="1"/>
    <col min="15371" max="15371" width="14.140625" style="1" customWidth="1"/>
    <col min="15372" max="15372" width="15.140625" style="1" customWidth="1"/>
    <col min="15373" max="15373" width="14.140625" style="1" customWidth="1"/>
    <col min="15374" max="15374" width="12.42578125" style="1" bestFit="1" customWidth="1"/>
    <col min="15375" max="15375" width="12.140625" style="1" bestFit="1" customWidth="1"/>
    <col min="15376" max="15377" width="11.42578125" style="1"/>
    <col min="15378" max="15378" width="2.85546875" style="1" customWidth="1"/>
    <col min="15379" max="15379" width="12.140625" style="1" customWidth="1"/>
    <col min="15380" max="15616" width="11.42578125" style="1"/>
    <col min="15617" max="15617" width="15.7109375" style="1" bestFit="1" customWidth="1"/>
    <col min="15618" max="15618" width="9.7109375" style="1" bestFit="1" customWidth="1"/>
    <col min="15619" max="15619" width="13.5703125" style="1" customWidth="1"/>
    <col min="15620" max="15620" width="11.7109375" style="1" customWidth="1"/>
    <col min="15621" max="15621" width="10.140625" style="1" bestFit="1" customWidth="1"/>
    <col min="15622" max="15622" width="9.7109375" style="1" bestFit="1" customWidth="1"/>
    <col min="15623" max="15623" width="12.140625" style="1" bestFit="1" customWidth="1"/>
    <col min="15624" max="15624" width="13.28515625" style="1" bestFit="1" customWidth="1"/>
    <col min="15625" max="15626" width="12.140625" style="1" customWidth="1"/>
    <col min="15627" max="15627" width="14.140625" style="1" customWidth="1"/>
    <col min="15628" max="15628" width="15.140625" style="1" customWidth="1"/>
    <col min="15629" max="15629" width="14.140625" style="1" customWidth="1"/>
    <col min="15630" max="15630" width="12.42578125" style="1" bestFit="1" customWidth="1"/>
    <col min="15631" max="15631" width="12.140625" style="1" bestFit="1" customWidth="1"/>
    <col min="15632" max="15633" width="11.42578125" style="1"/>
    <col min="15634" max="15634" width="2.85546875" style="1" customWidth="1"/>
    <col min="15635" max="15635" width="12.140625" style="1" customWidth="1"/>
    <col min="15636" max="15872" width="11.42578125" style="1"/>
    <col min="15873" max="15873" width="15.7109375" style="1" bestFit="1" customWidth="1"/>
    <col min="15874" max="15874" width="9.7109375" style="1" bestFit="1" customWidth="1"/>
    <col min="15875" max="15875" width="13.5703125" style="1" customWidth="1"/>
    <col min="15876" max="15876" width="11.7109375" style="1" customWidth="1"/>
    <col min="15877" max="15877" width="10.140625" style="1" bestFit="1" customWidth="1"/>
    <col min="15878" max="15878" width="9.7109375" style="1" bestFit="1" customWidth="1"/>
    <col min="15879" max="15879" width="12.140625" style="1" bestFit="1" customWidth="1"/>
    <col min="15880" max="15880" width="13.28515625" style="1" bestFit="1" customWidth="1"/>
    <col min="15881" max="15882" width="12.140625" style="1" customWidth="1"/>
    <col min="15883" max="15883" width="14.140625" style="1" customWidth="1"/>
    <col min="15884" max="15884" width="15.140625" style="1" customWidth="1"/>
    <col min="15885" max="15885" width="14.140625" style="1" customWidth="1"/>
    <col min="15886" max="15886" width="12.42578125" style="1" bestFit="1" customWidth="1"/>
    <col min="15887" max="15887" width="12.140625" style="1" bestFit="1" customWidth="1"/>
    <col min="15888" max="15889" width="11.42578125" style="1"/>
    <col min="15890" max="15890" width="2.85546875" style="1" customWidth="1"/>
    <col min="15891" max="15891" width="12.140625" style="1" customWidth="1"/>
    <col min="15892" max="16128" width="11.42578125" style="1"/>
    <col min="16129" max="16129" width="15.7109375" style="1" bestFit="1" customWidth="1"/>
    <col min="16130" max="16130" width="9.7109375" style="1" bestFit="1" customWidth="1"/>
    <col min="16131" max="16131" width="13.5703125" style="1" customWidth="1"/>
    <col min="16132" max="16132" width="11.7109375" style="1" customWidth="1"/>
    <col min="16133" max="16133" width="10.140625" style="1" bestFit="1" customWidth="1"/>
    <col min="16134" max="16134" width="9.7109375" style="1" bestFit="1" customWidth="1"/>
    <col min="16135" max="16135" width="12.140625" style="1" bestFit="1" customWidth="1"/>
    <col min="16136" max="16136" width="13.28515625" style="1" bestFit="1" customWidth="1"/>
    <col min="16137" max="16138" width="12.140625" style="1" customWidth="1"/>
    <col min="16139" max="16139" width="14.140625" style="1" customWidth="1"/>
    <col min="16140" max="16140" width="15.140625" style="1" customWidth="1"/>
    <col min="16141" max="16141" width="14.140625" style="1" customWidth="1"/>
    <col min="16142" max="16142" width="12.42578125" style="1" bestFit="1" customWidth="1"/>
    <col min="16143" max="16143" width="12.140625" style="1" bestFit="1" customWidth="1"/>
    <col min="16144" max="16145" width="11.42578125" style="1"/>
    <col min="16146" max="16146" width="2.85546875" style="1" customWidth="1"/>
    <col min="16147" max="16147" width="12.140625" style="1" customWidth="1"/>
    <col min="16148" max="16384" width="11.42578125" style="1"/>
  </cols>
  <sheetData>
    <row r="1" spans="1:21" s="599" customFormat="1" ht="51">
      <c r="A1" s="591" t="s">
        <v>417</v>
      </c>
      <c r="B1" s="592" t="s">
        <v>47</v>
      </c>
      <c r="C1" s="593" t="s">
        <v>2</v>
      </c>
      <c r="D1" s="593" t="s">
        <v>119</v>
      </c>
      <c r="E1" s="593" t="s">
        <v>3</v>
      </c>
      <c r="F1" s="594" t="s">
        <v>99</v>
      </c>
      <c r="G1" s="593" t="s">
        <v>418</v>
      </c>
      <c r="H1" s="593" t="s">
        <v>17</v>
      </c>
      <c r="I1" s="593" t="s">
        <v>103</v>
      </c>
      <c r="J1" s="593" t="s">
        <v>104</v>
      </c>
      <c r="K1" s="593" t="s">
        <v>105</v>
      </c>
      <c r="L1" s="593" t="s">
        <v>19</v>
      </c>
      <c r="M1" s="593" t="s">
        <v>20</v>
      </c>
      <c r="N1" s="593" t="s">
        <v>419</v>
      </c>
      <c r="O1" s="593" t="s">
        <v>26</v>
      </c>
      <c r="P1" s="595" t="s">
        <v>11</v>
      </c>
      <c r="Q1" s="596" t="s">
        <v>10</v>
      </c>
      <c r="R1" s="357"/>
      <c r="S1" s="597" t="s">
        <v>91</v>
      </c>
      <c r="T1" s="598" t="s">
        <v>10</v>
      </c>
    </row>
    <row r="2" spans="1:21">
      <c r="A2" s="600"/>
      <c r="B2" s="601"/>
      <c r="C2" s="602"/>
      <c r="D2" s="602"/>
      <c r="E2" s="602"/>
      <c r="F2" s="603"/>
      <c r="G2" s="602"/>
      <c r="H2" s="602"/>
      <c r="I2" s="602"/>
      <c r="J2" s="602"/>
      <c r="K2" s="602"/>
      <c r="L2" s="602"/>
      <c r="M2" s="602"/>
      <c r="N2" s="602"/>
      <c r="O2" s="602"/>
      <c r="P2" s="604"/>
      <c r="Q2" s="602"/>
      <c r="S2" s="601"/>
      <c r="T2" s="601"/>
    </row>
    <row r="3" spans="1:21" s="612" customFormat="1">
      <c r="A3" s="605" t="s">
        <v>420</v>
      </c>
      <c r="B3" s="606">
        <f>'[49]Plan de financement'!D5</f>
        <v>580828.00475000008</v>
      </c>
      <c r="C3" s="607">
        <f>'[49]Plan de financement'!D6</f>
        <v>4646624.0380000006</v>
      </c>
      <c r="D3" s="607">
        <f>'[49]Plan de financement'!D7</f>
        <v>1161656.0095000002</v>
      </c>
      <c r="E3" s="607">
        <f>'[49]Plan de financement'!D8</f>
        <v>580828.00475000008</v>
      </c>
      <c r="F3" s="608">
        <f>SUM(B3:E3)</f>
        <v>6969936.0570000019</v>
      </c>
      <c r="G3" s="607">
        <f>'[49]Plan de financement'!D10</f>
        <v>580828.00475000008</v>
      </c>
      <c r="H3" s="607">
        <f>'[49]Plan de financement'!D11</f>
        <v>464662.40380000003</v>
      </c>
      <c r="I3" s="607">
        <f>'[49]Plan de financement'!D12</f>
        <v>232331.20190000001</v>
      </c>
      <c r="J3" s="607">
        <f>'[49]Plan de financement'!D13</f>
        <v>464662.40380000003</v>
      </c>
      <c r="K3" s="607">
        <f>'[49]Plan de financement'!D14</f>
        <v>232331.20190000001</v>
      </c>
      <c r="L3" s="607">
        <f>'[49]Plan de financement'!D15</f>
        <v>116165.60095000001</v>
      </c>
      <c r="M3" s="607">
        <f>'[49]Plan de financement'!D16</f>
        <v>1742484.01425</v>
      </c>
      <c r="N3" s="607">
        <f>'[49]Plan de financement'!D17</f>
        <v>580828.00475000008</v>
      </c>
      <c r="O3" s="607">
        <f>'[49]Plan de financement'!D18</f>
        <v>232331.20190000001</v>
      </c>
      <c r="P3" s="609">
        <f>SUM(G3:O3)</f>
        <v>4646624.0379999997</v>
      </c>
      <c r="Q3" s="607">
        <f>SUM(P3,F3)</f>
        <v>11616560.095000003</v>
      </c>
      <c r="R3" s="610"/>
      <c r="S3" s="606">
        <f>[49]GER!Z49</f>
        <v>4614750.3097999999</v>
      </c>
      <c r="T3" s="611"/>
    </row>
    <row r="4" spans="1:21" s="612" customFormat="1">
      <c r="A4" s="605" t="s">
        <v>96</v>
      </c>
      <c r="B4" s="611">
        <v>40</v>
      </c>
      <c r="C4" s="613">
        <v>40</v>
      </c>
      <c r="D4" s="613">
        <v>40</v>
      </c>
      <c r="E4" s="613">
        <v>30</v>
      </c>
      <c r="F4" s="614"/>
      <c r="G4" s="613">
        <v>35</v>
      </c>
      <c r="H4" s="613">
        <v>20</v>
      </c>
      <c r="I4" s="613">
        <v>15</v>
      </c>
      <c r="J4" s="613">
        <v>10</v>
      </c>
      <c r="K4" s="613">
        <v>15</v>
      </c>
      <c r="L4" s="613">
        <v>20</v>
      </c>
      <c r="M4" s="613">
        <v>20</v>
      </c>
      <c r="N4" s="613">
        <v>15</v>
      </c>
      <c r="O4" s="613">
        <v>15</v>
      </c>
      <c r="P4" s="615"/>
      <c r="Q4" s="613"/>
      <c r="R4" s="616"/>
      <c r="S4" s="611"/>
      <c r="T4" s="611"/>
    </row>
    <row r="5" spans="1:21" s="623" customFormat="1">
      <c r="A5" s="617" t="s">
        <v>77</v>
      </c>
      <c r="B5" s="618" t="s">
        <v>15</v>
      </c>
      <c r="C5" s="619" t="s">
        <v>15</v>
      </c>
      <c r="D5" s="619" t="s">
        <v>15</v>
      </c>
      <c r="E5" s="619" t="s">
        <v>15</v>
      </c>
      <c r="F5" s="620"/>
      <c r="G5" s="619" t="s">
        <v>1</v>
      </c>
      <c r="H5" s="619" t="s">
        <v>4</v>
      </c>
      <c r="I5" s="619" t="s">
        <v>13</v>
      </c>
      <c r="J5" s="619" t="s">
        <v>5</v>
      </c>
      <c r="K5" s="619" t="s">
        <v>6</v>
      </c>
      <c r="L5" s="619" t="s">
        <v>12</v>
      </c>
      <c r="M5" s="619" t="s">
        <v>14</v>
      </c>
      <c r="N5" s="619" t="s">
        <v>34</v>
      </c>
      <c r="O5" s="619" t="s">
        <v>107</v>
      </c>
      <c r="P5" s="621"/>
      <c r="Q5" s="619"/>
      <c r="R5" s="622"/>
      <c r="S5" s="618"/>
      <c r="T5" s="618"/>
    </row>
    <row r="6" spans="1:21">
      <c r="A6" s="624"/>
      <c r="B6" s="625"/>
      <c r="C6" s="626"/>
      <c r="D6" s="626"/>
      <c r="E6" s="626"/>
      <c r="F6" s="627"/>
      <c r="G6" s="626"/>
      <c r="H6" s="626"/>
      <c r="I6" s="626"/>
      <c r="J6" s="626"/>
      <c r="K6" s="626"/>
      <c r="L6" s="626"/>
      <c r="M6" s="626"/>
      <c r="N6" s="626"/>
      <c r="O6" s="626"/>
      <c r="P6" s="628"/>
      <c r="Q6" s="626"/>
      <c r="R6" s="629"/>
      <c r="S6" s="584"/>
      <c r="T6" s="584"/>
    </row>
    <row r="7" spans="1:21">
      <c r="A7" s="624">
        <v>2019</v>
      </c>
      <c r="B7" s="625">
        <f>$B$3/$B$4/12*6</f>
        <v>7260.3500593750014</v>
      </c>
      <c r="C7" s="626">
        <f>$C$3/$C$4/12*6</f>
        <v>58082.800475000011</v>
      </c>
      <c r="D7" s="626">
        <f>$D$3/$D$4/12*6</f>
        <v>14520.700118750003</v>
      </c>
      <c r="E7" s="626">
        <f>$E$3/$E$4/12*6</f>
        <v>9680.4667458333352</v>
      </c>
      <c r="F7" s="627">
        <f>SUM(B7:E7)</f>
        <v>89544.317398958345</v>
      </c>
      <c r="G7" s="626">
        <f>$G$3/$G$4/12*6</f>
        <v>8297.5429250000016</v>
      </c>
      <c r="H7" s="626">
        <f>$H$3/$H$4/12*6</f>
        <v>11616.560095000001</v>
      </c>
      <c r="I7" s="626">
        <f>$I$3/$I$4/12*6</f>
        <v>7744.3733966666678</v>
      </c>
      <c r="J7" s="626">
        <f>$J$3/$J$4/12*6</f>
        <v>23233.120190000001</v>
      </c>
      <c r="K7" s="626">
        <f>$K$3/$K$4/12*6</f>
        <v>7744.3733966666678</v>
      </c>
      <c r="L7" s="626">
        <f>$L$3/$L$4/12*6</f>
        <v>2904.1400237500002</v>
      </c>
      <c r="M7" s="626">
        <f>$M$3/$M$4/12*6</f>
        <v>43562.100356249997</v>
      </c>
      <c r="N7" s="626">
        <f>$N$3/$N$4/12*6</f>
        <v>19360.93349166667</v>
      </c>
      <c r="O7" s="626">
        <f>$O$3/$O$4/12*6</f>
        <v>7744.3733966666678</v>
      </c>
      <c r="P7" s="628">
        <f>SUM(G7:O7)</f>
        <v>132207.51727166667</v>
      </c>
      <c r="Q7" s="626">
        <f>SUM(P7,F7)</f>
        <v>221751.83467062502</v>
      </c>
      <c r="R7" s="629"/>
      <c r="S7" s="625">
        <f>[49]GER!AK6</f>
        <v>0</v>
      </c>
      <c r="T7" s="625">
        <f>Q7+S7</f>
        <v>221751.83467062502</v>
      </c>
      <c r="U7" s="258"/>
    </row>
    <row r="8" spans="1:21">
      <c r="A8" s="624">
        <f>A7+1</f>
        <v>2020</v>
      </c>
      <c r="B8" s="625">
        <f>$B$3/$B$4</f>
        <v>14520.700118750003</v>
      </c>
      <c r="C8" s="626">
        <f>$C$3/$C$4</f>
        <v>116165.60095000002</v>
      </c>
      <c r="D8" s="626">
        <f>$D$3/$D$4</f>
        <v>29041.400237500005</v>
      </c>
      <c r="E8" s="626">
        <f>$E$3/$E$4</f>
        <v>19360.93349166667</v>
      </c>
      <c r="F8" s="627">
        <f t="shared" ref="F8:F48" si="0">SUM(B8:E8)</f>
        <v>179088.63479791669</v>
      </c>
      <c r="G8" s="626">
        <f>$G$3/$G$4</f>
        <v>16595.085850000003</v>
      </c>
      <c r="H8" s="626">
        <f>$H$3/$H$4</f>
        <v>23233.120190000001</v>
      </c>
      <c r="I8" s="626">
        <f>$I$3/$I$4</f>
        <v>15488.746793333334</v>
      </c>
      <c r="J8" s="626">
        <f>$J$3/$J$4</f>
        <v>46466.240380000003</v>
      </c>
      <c r="K8" s="626">
        <f>$K$3/$K$4</f>
        <v>15488.746793333334</v>
      </c>
      <c r="L8" s="626">
        <f>$L$3/$L$4</f>
        <v>5808.2800475000004</v>
      </c>
      <c r="M8" s="626">
        <f>$M$3/$M$4</f>
        <v>87124.200712499995</v>
      </c>
      <c r="N8" s="626">
        <f>$N$3/$N$4</f>
        <v>38721.866983333341</v>
      </c>
      <c r="O8" s="626">
        <f>$O$3/$O$4</f>
        <v>15488.746793333334</v>
      </c>
      <c r="P8" s="628">
        <f t="shared" ref="P8:P48" si="1">SUM(G8:O8)</f>
        <v>264415.03454333334</v>
      </c>
      <c r="Q8" s="626">
        <f t="shared" ref="Q8:Q48" si="2">SUM(P8,F8)</f>
        <v>443503.66934125003</v>
      </c>
      <c r="R8" s="629"/>
      <c r="S8" s="625">
        <f>[49]GER!AK7</f>
        <v>0</v>
      </c>
      <c r="T8" s="625">
        <f>Q8+S8</f>
        <v>443503.66934125003</v>
      </c>
      <c r="U8" s="258"/>
    </row>
    <row r="9" spans="1:21">
      <c r="A9" s="624">
        <f t="shared" ref="A9:A48" si="3">A8+1</f>
        <v>2021</v>
      </c>
      <c r="B9" s="625">
        <f t="shared" ref="B9:B46" si="4">$B$3/$B$4</f>
        <v>14520.700118750003</v>
      </c>
      <c r="C9" s="626">
        <f t="shared" ref="C9:C46" si="5">$C$3/$C$4</f>
        <v>116165.60095000002</v>
      </c>
      <c r="D9" s="626">
        <f t="shared" ref="D9:D46" si="6">$D$3/$D$4</f>
        <v>29041.400237500005</v>
      </c>
      <c r="E9" s="626">
        <f t="shared" ref="E9:E36" si="7">$E$3/$E$4</f>
        <v>19360.93349166667</v>
      </c>
      <c r="F9" s="627">
        <f t="shared" si="0"/>
        <v>179088.63479791669</v>
      </c>
      <c r="G9" s="626">
        <f t="shared" ref="G9:G41" si="8">$G$3/$G$4</f>
        <v>16595.085850000003</v>
      </c>
      <c r="H9" s="626">
        <f t="shared" ref="H9:H26" si="9">$H$3/$H$4</f>
        <v>23233.120190000001</v>
      </c>
      <c r="I9" s="626">
        <f t="shared" ref="I9:I21" si="10">$I$3/$I$4</f>
        <v>15488.746793333334</v>
      </c>
      <c r="J9" s="626">
        <f t="shared" ref="J9:J16" si="11">$J$3/$J$4</f>
        <v>46466.240380000003</v>
      </c>
      <c r="K9" s="626">
        <f t="shared" ref="K9:K21" si="12">$K$3/$K$4</f>
        <v>15488.746793333334</v>
      </c>
      <c r="L9" s="626">
        <f t="shared" ref="L9:L26" si="13">$L$3/$L$4</f>
        <v>5808.2800475000004</v>
      </c>
      <c r="M9" s="626">
        <f t="shared" ref="M9:M26" si="14">$M$3/$M$4</f>
        <v>87124.200712499995</v>
      </c>
      <c r="N9" s="626">
        <f t="shared" ref="N9:N21" si="15">$N$3/$N$4</f>
        <v>38721.866983333341</v>
      </c>
      <c r="O9" s="626">
        <f t="shared" ref="O9:O21" si="16">$O$3/$O$4</f>
        <v>15488.746793333334</v>
      </c>
      <c r="P9" s="628">
        <f t="shared" si="1"/>
        <v>264415.03454333334</v>
      </c>
      <c r="Q9" s="626">
        <f t="shared" si="2"/>
        <v>443503.66934125003</v>
      </c>
      <c r="R9" s="629"/>
      <c r="S9" s="625">
        <f>[49]GER!AK8</f>
        <v>0</v>
      </c>
      <c r="T9" s="625">
        <f t="shared" ref="T9:T49" si="17">Q9+S9</f>
        <v>443503.66934125003</v>
      </c>
      <c r="U9" s="258"/>
    </row>
    <row r="10" spans="1:21">
      <c r="A10" s="624">
        <f t="shared" si="3"/>
        <v>2022</v>
      </c>
      <c r="B10" s="625">
        <f t="shared" si="4"/>
        <v>14520.700118750003</v>
      </c>
      <c r="C10" s="626">
        <f t="shared" si="5"/>
        <v>116165.60095000002</v>
      </c>
      <c r="D10" s="626">
        <f t="shared" si="6"/>
        <v>29041.400237500005</v>
      </c>
      <c r="E10" s="626">
        <f t="shared" si="7"/>
        <v>19360.93349166667</v>
      </c>
      <c r="F10" s="627">
        <f t="shared" si="0"/>
        <v>179088.63479791669</v>
      </c>
      <c r="G10" s="626">
        <f t="shared" si="8"/>
        <v>16595.085850000003</v>
      </c>
      <c r="H10" s="626">
        <f t="shared" si="9"/>
        <v>23233.120190000001</v>
      </c>
      <c r="I10" s="626">
        <f t="shared" si="10"/>
        <v>15488.746793333334</v>
      </c>
      <c r="J10" s="626">
        <f t="shared" si="11"/>
        <v>46466.240380000003</v>
      </c>
      <c r="K10" s="626">
        <f t="shared" si="12"/>
        <v>15488.746793333334</v>
      </c>
      <c r="L10" s="626">
        <f t="shared" si="13"/>
        <v>5808.2800475000004</v>
      </c>
      <c r="M10" s="626">
        <f t="shared" si="14"/>
        <v>87124.200712499995</v>
      </c>
      <c r="N10" s="626">
        <f t="shared" si="15"/>
        <v>38721.866983333341</v>
      </c>
      <c r="O10" s="626">
        <f t="shared" si="16"/>
        <v>15488.746793333334</v>
      </c>
      <c r="P10" s="628">
        <f t="shared" si="1"/>
        <v>264415.03454333334</v>
      </c>
      <c r="Q10" s="626">
        <f t="shared" si="2"/>
        <v>443503.66934125003</v>
      </c>
      <c r="R10" s="629"/>
      <c r="S10" s="625">
        <f>[49]GER!AK9</f>
        <v>0</v>
      </c>
      <c r="T10" s="625">
        <f t="shared" si="17"/>
        <v>443503.66934125003</v>
      </c>
      <c r="U10" s="258"/>
    </row>
    <row r="11" spans="1:21">
      <c r="A11" s="624">
        <f t="shared" si="3"/>
        <v>2023</v>
      </c>
      <c r="B11" s="625">
        <f t="shared" si="4"/>
        <v>14520.700118750003</v>
      </c>
      <c r="C11" s="626">
        <f t="shared" si="5"/>
        <v>116165.60095000002</v>
      </c>
      <c r="D11" s="626">
        <f t="shared" si="6"/>
        <v>29041.400237500005</v>
      </c>
      <c r="E11" s="626">
        <f t="shared" si="7"/>
        <v>19360.93349166667</v>
      </c>
      <c r="F11" s="627">
        <f t="shared" si="0"/>
        <v>179088.63479791669</v>
      </c>
      <c r="G11" s="626">
        <f t="shared" si="8"/>
        <v>16595.085850000003</v>
      </c>
      <c r="H11" s="626">
        <f t="shared" si="9"/>
        <v>23233.120190000001</v>
      </c>
      <c r="I11" s="626">
        <f t="shared" si="10"/>
        <v>15488.746793333334</v>
      </c>
      <c r="J11" s="626">
        <f t="shared" si="11"/>
        <v>46466.240380000003</v>
      </c>
      <c r="K11" s="626">
        <f t="shared" si="12"/>
        <v>15488.746793333334</v>
      </c>
      <c r="L11" s="626">
        <f t="shared" si="13"/>
        <v>5808.2800475000004</v>
      </c>
      <c r="M11" s="626">
        <f t="shared" si="14"/>
        <v>87124.200712499995</v>
      </c>
      <c r="N11" s="626">
        <f t="shared" si="15"/>
        <v>38721.866983333341</v>
      </c>
      <c r="O11" s="626">
        <f t="shared" si="16"/>
        <v>15488.746793333334</v>
      </c>
      <c r="P11" s="628">
        <f t="shared" si="1"/>
        <v>264415.03454333334</v>
      </c>
      <c r="Q11" s="626">
        <f t="shared" si="2"/>
        <v>443503.66934125003</v>
      </c>
      <c r="R11" s="629"/>
      <c r="S11" s="625">
        <f>[49]GER!AK10</f>
        <v>0</v>
      </c>
      <c r="T11" s="625">
        <f t="shared" si="17"/>
        <v>443503.66934125003</v>
      </c>
      <c r="U11" s="258"/>
    </row>
    <row r="12" spans="1:21">
      <c r="A12" s="624">
        <f t="shared" si="3"/>
        <v>2024</v>
      </c>
      <c r="B12" s="625">
        <f t="shared" si="4"/>
        <v>14520.700118750003</v>
      </c>
      <c r="C12" s="626">
        <f t="shared" si="5"/>
        <v>116165.60095000002</v>
      </c>
      <c r="D12" s="626">
        <f t="shared" si="6"/>
        <v>29041.400237500005</v>
      </c>
      <c r="E12" s="626">
        <f t="shared" si="7"/>
        <v>19360.93349166667</v>
      </c>
      <c r="F12" s="627">
        <f t="shared" si="0"/>
        <v>179088.63479791669</v>
      </c>
      <c r="G12" s="626">
        <f t="shared" si="8"/>
        <v>16595.085850000003</v>
      </c>
      <c r="H12" s="626">
        <f t="shared" si="9"/>
        <v>23233.120190000001</v>
      </c>
      <c r="I12" s="626">
        <f t="shared" si="10"/>
        <v>15488.746793333334</v>
      </c>
      <c r="J12" s="626">
        <f t="shared" si="11"/>
        <v>46466.240380000003</v>
      </c>
      <c r="K12" s="626">
        <f t="shared" si="12"/>
        <v>15488.746793333334</v>
      </c>
      <c r="L12" s="626">
        <f t="shared" si="13"/>
        <v>5808.2800475000004</v>
      </c>
      <c r="M12" s="626">
        <f t="shared" si="14"/>
        <v>87124.200712499995</v>
      </c>
      <c r="N12" s="626">
        <f t="shared" si="15"/>
        <v>38721.866983333341</v>
      </c>
      <c r="O12" s="626">
        <f t="shared" si="16"/>
        <v>15488.746793333334</v>
      </c>
      <c r="P12" s="628">
        <f t="shared" si="1"/>
        <v>264415.03454333334</v>
      </c>
      <c r="Q12" s="626">
        <f t="shared" si="2"/>
        <v>443503.66934125003</v>
      </c>
      <c r="R12" s="629"/>
      <c r="S12" s="625">
        <f>[49]GER!AK11</f>
        <v>0</v>
      </c>
      <c r="T12" s="625">
        <f t="shared" si="17"/>
        <v>443503.66934125003</v>
      </c>
      <c r="U12" s="258"/>
    </row>
    <row r="13" spans="1:21">
      <c r="A13" s="624">
        <f t="shared" si="3"/>
        <v>2025</v>
      </c>
      <c r="B13" s="625">
        <f t="shared" si="4"/>
        <v>14520.700118750003</v>
      </c>
      <c r="C13" s="626">
        <f t="shared" si="5"/>
        <v>116165.60095000002</v>
      </c>
      <c r="D13" s="626">
        <f t="shared" si="6"/>
        <v>29041.400237500005</v>
      </c>
      <c r="E13" s="626">
        <f t="shared" si="7"/>
        <v>19360.93349166667</v>
      </c>
      <c r="F13" s="627">
        <f t="shared" si="0"/>
        <v>179088.63479791669</v>
      </c>
      <c r="G13" s="626">
        <f t="shared" si="8"/>
        <v>16595.085850000003</v>
      </c>
      <c r="H13" s="626">
        <f t="shared" si="9"/>
        <v>23233.120190000001</v>
      </c>
      <c r="I13" s="626">
        <f t="shared" si="10"/>
        <v>15488.746793333334</v>
      </c>
      <c r="J13" s="626">
        <f t="shared" si="11"/>
        <v>46466.240380000003</v>
      </c>
      <c r="K13" s="626">
        <f t="shared" si="12"/>
        <v>15488.746793333334</v>
      </c>
      <c r="L13" s="626">
        <f t="shared" si="13"/>
        <v>5808.2800475000004</v>
      </c>
      <c r="M13" s="626">
        <f t="shared" si="14"/>
        <v>87124.200712499995</v>
      </c>
      <c r="N13" s="626">
        <f t="shared" si="15"/>
        <v>38721.866983333341</v>
      </c>
      <c r="O13" s="626">
        <f t="shared" si="16"/>
        <v>15488.746793333334</v>
      </c>
      <c r="P13" s="628">
        <f t="shared" si="1"/>
        <v>264415.03454333334</v>
      </c>
      <c r="Q13" s="626">
        <f t="shared" si="2"/>
        <v>443503.66934125003</v>
      </c>
      <c r="R13" s="629"/>
      <c r="S13" s="625">
        <f>[49]GER!AK12</f>
        <v>0</v>
      </c>
      <c r="T13" s="625">
        <f t="shared" si="17"/>
        <v>443503.66934125003</v>
      </c>
      <c r="U13" s="258"/>
    </row>
    <row r="14" spans="1:21">
      <c r="A14" s="624">
        <f t="shared" si="3"/>
        <v>2026</v>
      </c>
      <c r="B14" s="625">
        <f t="shared" si="4"/>
        <v>14520.700118750003</v>
      </c>
      <c r="C14" s="626">
        <f t="shared" si="5"/>
        <v>116165.60095000002</v>
      </c>
      <c r="D14" s="626">
        <f t="shared" si="6"/>
        <v>29041.400237500005</v>
      </c>
      <c r="E14" s="626">
        <f t="shared" si="7"/>
        <v>19360.93349166667</v>
      </c>
      <c r="F14" s="627">
        <f t="shared" si="0"/>
        <v>179088.63479791669</v>
      </c>
      <c r="G14" s="626">
        <f t="shared" si="8"/>
        <v>16595.085850000003</v>
      </c>
      <c r="H14" s="626">
        <f t="shared" si="9"/>
        <v>23233.120190000001</v>
      </c>
      <c r="I14" s="626">
        <f t="shared" si="10"/>
        <v>15488.746793333334</v>
      </c>
      <c r="J14" s="626">
        <f t="shared" si="11"/>
        <v>46466.240380000003</v>
      </c>
      <c r="K14" s="626">
        <f t="shared" si="12"/>
        <v>15488.746793333334</v>
      </c>
      <c r="L14" s="626">
        <f t="shared" si="13"/>
        <v>5808.2800475000004</v>
      </c>
      <c r="M14" s="626">
        <f t="shared" si="14"/>
        <v>87124.200712499995</v>
      </c>
      <c r="N14" s="626">
        <f t="shared" si="15"/>
        <v>38721.866983333341</v>
      </c>
      <c r="O14" s="626">
        <f t="shared" si="16"/>
        <v>15488.746793333334</v>
      </c>
      <c r="P14" s="628">
        <f t="shared" si="1"/>
        <v>264415.03454333334</v>
      </c>
      <c r="Q14" s="626">
        <f t="shared" si="2"/>
        <v>443503.66934125003</v>
      </c>
      <c r="R14" s="629"/>
      <c r="S14" s="625">
        <f>[49]GER!AK13</f>
        <v>0</v>
      </c>
      <c r="T14" s="625">
        <f t="shared" si="17"/>
        <v>443503.66934125003</v>
      </c>
      <c r="U14" s="258"/>
    </row>
    <row r="15" spans="1:21">
      <c r="A15" s="624">
        <f t="shared" si="3"/>
        <v>2027</v>
      </c>
      <c r="B15" s="625">
        <f t="shared" si="4"/>
        <v>14520.700118750003</v>
      </c>
      <c r="C15" s="626">
        <f t="shared" si="5"/>
        <v>116165.60095000002</v>
      </c>
      <c r="D15" s="626">
        <f t="shared" si="6"/>
        <v>29041.400237500005</v>
      </c>
      <c r="E15" s="626">
        <f t="shared" si="7"/>
        <v>19360.93349166667</v>
      </c>
      <c r="F15" s="627">
        <f t="shared" si="0"/>
        <v>179088.63479791669</v>
      </c>
      <c r="G15" s="626">
        <f t="shared" si="8"/>
        <v>16595.085850000003</v>
      </c>
      <c r="H15" s="626">
        <f t="shared" si="9"/>
        <v>23233.120190000001</v>
      </c>
      <c r="I15" s="626">
        <f t="shared" si="10"/>
        <v>15488.746793333334</v>
      </c>
      <c r="J15" s="626">
        <f t="shared" si="11"/>
        <v>46466.240380000003</v>
      </c>
      <c r="K15" s="626">
        <f t="shared" si="12"/>
        <v>15488.746793333334</v>
      </c>
      <c r="L15" s="626">
        <f t="shared" si="13"/>
        <v>5808.2800475000004</v>
      </c>
      <c r="M15" s="626">
        <f t="shared" si="14"/>
        <v>87124.200712499995</v>
      </c>
      <c r="N15" s="626">
        <f t="shared" si="15"/>
        <v>38721.866983333341</v>
      </c>
      <c r="O15" s="626">
        <f t="shared" si="16"/>
        <v>15488.746793333334</v>
      </c>
      <c r="P15" s="628">
        <f t="shared" si="1"/>
        <v>264415.03454333334</v>
      </c>
      <c r="Q15" s="626">
        <f t="shared" si="2"/>
        <v>443503.66934125003</v>
      </c>
      <c r="R15" s="629"/>
      <c r="S15" s="625">
        <f>[49]GER!AK14</f>
        <v>0</v>
      </c>
      <c r="T15" s="625">
        <f t="shared" si="17"/>
        <v>443503.66934125003</v>
      </c>
      <c r="U15" s="258"/>
    </row>
    <row r="16" spans="1:21">
      <c r="A16" s="624">
        <f t="shared" si="3"/>
        <v>2028</v>
      </c>
      <c r="B16" s="625">
        <f t="shared" si="4"/>
        <v>14520.700118750003</v>
      </c>
      <c r="C16" s="626">
        <f t="shared" si="5"/>
        <v>116165.60095000002</v>
      </c>
      <c r="D16" s="626">
        <f t="shared" si="6"/>
        <v>29041.400237500005</v>
      </c>
      <c r="E16" s="626">
        <f t="shared" si="7"/>
        <v>19360.93349166667</v>
      </c>
      <c r="F16" s="627">
        <f t="shared" si="0"/>
        <v>179088.63479791669</v>
      </c>
      <c r="G16" s="626">
        <f t="shared" si="8"/>
        <v>16595.085850000003</v>
      </c>
      <c r="H16" s="626">
        <f t="shared" si="9"/>
        <v>23233.120190000001</v>
      </c>
      <c r="I16" s="626">
        <f t="shared" si="10"/>
        <v>15488.746793333334</v>
      </c>
      <c r="J16" s="626">
        <f t="shared" si="11"/>
        <v>46466.240380000003</v>
      </c>
      <c r="K16" s="626">
        <f t="shared" si="12"/>
        <v>15488.746793333334</v>
      </c>
      <c r="L16" s="626">
        <f t="shared" si="13"/>
        <v>5808.2800475000004</v>
      </c>
      <c r="M16" s="626">
        <f t="shared" si="14"/>
        <v>87124.200712499995</v>
      </c>
      <c r="N16" s="626">
        <f t="shared" si="15"/>
        <v>38721.866983333341</v>
      </c>
      <c r="O16" s="626">
        <f t="shared" si="16"/>
        <v>15488.746793333334</v>
      </c>
      <c r="P16" s="628">
        <f t="shared" si="1"/>
        <v>264415.03454333334</v>
      </c>
      <c r="Q16" s="626">
        <f t="shared" si="2"/>
        <v>443503.66934125003</v>
      </c>
      <c r="R16" s="629"/>
      <c r="S16" s="625">
        <f>[49]GER!AK16</f>
        <v>0</v>
      </c>
      <c r="T16" s="625">
        <f t="shared" si="17"/>
        <v>443503.66934125003</v>
      </c>
      <c r="U16" s="258"/>
    </row>
    <row r="17" spans="1:21">
      <c r="A17" s="624">
        <f t="shared" si="3"/>
        <v>2029</v>
      </c>
      <c r="B17" s="625">
        <f t="shared" si="4"/>
        <v>14520.700118750003</v>
      </c>
      <c r="C17" s="626">
        <f t="shared" si="5"/>
        <v>116165.60095000002</v>
      </c>
      <c r="D17" s="626">
        <f t="shared" si="6"/>
        <v>29041.400237500005</v>
      </c>
      <c r="E17" s="626">
        <f t="shared" si="7"/>
        <v>19360.93349166667</v>
      </c>
      <c r="F17" s="627">
        <f t="shared" si="0"/>
        <v>179088.63479791669</v>
      </c>
      <c r="G17" s="626">
        <f t="shared" si="8"/>
        <v>16595.085850000003</v>
      </c>
      <c r="H17" s="626">
        <f t="shared" si="9"/>
        <v>23233.120190000001</v>
      </c>
      <c r="I17" s="626">
        <f t="shared" si="10"/>
        <v>15488.746793333334</v>
      </c>
      <c r="J17" s="626">
        <f>$J$3/$J$4/12*6</f>
        <v>23233.120190000001</v>
      </c>
      <c r="K17" s="626">
        <f t="shared" si="12"/>
        <v>15488.746793333334</v>
      </c>
      <c r="L17" s="626">
        <f t="shared" si="13"/>
        <v>5808.2800475000004</v>
      </c>
      <c r="M17" s="626">
        <f t="shared" si="14"/>
        <v>87124.200712499995</v>
      </c>
      <c r="N17" s="626">
        <f t="shared" si="15"/>
        <v>38721.866983333341</v>
      </c>
      <c r="O17" s="626">
        <f t="shared" si="16"/>
        <v>15488.746793333334</v>
      </c>
      <c r="P17" s="628">
        <f t="shared" si="1"/>
        <v>241181.91435333333</v>
      </c>
      <c r="Q17" s="626">
        <f t="shared" si="2"/>
        <v>420270.54915125004</v>
      </c>
      <c r="R17" s="629"/>
      <c r="S17" s="625">
        <f>[49]GER!AK17</f>
        <v>16650.876400000001</v>
      </c>
      <c r="T17" s="625">
        <f t="shared" si="17"/>
        <v>436921.42555125005</v>
      </c>
      <c r="U17" s="258"/>
    </row>
    <row r="18" spans="1:21">
      <c r="A18" s="624">
        <f t="shared" si="3"/>
        <v>2030</v>
      </c>
      <c r="B18" s="625">
        <f t="shared" si="4"/>
        <v>14520.700118750003</v>
      </c>
      <c r="C18" s="626">
        <f t="shared" si="5"/>
        <v>116165.60095000002</v>
      </c>
      <c r="D18" s="626">
        <f t="shared" si="6"/>
        <v>29041.400237500005</v>
      </c>
      <c r="E18" s="626">
        <f t="shared" si="7"/>
        <v>19360.93349166667</v>
      </c>
      <c r="F18" s="627">
        <f t="shared" si="0"/>
        <v>179088.63479791669</v>
      </c>
      <c r="G18" s="626">
        <f t="shared" si="8"/>
        <v>16595.085850000003</v>
      </c>
      <c r="H18" s="626">
        <f t="shared" si="9"/>
        <v>23233.120190000001</v>
      </c>
      <c r="I18" s="626">
        <f t="shared" si="10"/>
        <v>15488.746793333334</v>
      </c>
      <c r="J18" s="626"/>
      <c r="K18" s="626">
        <f t="shared" si="12"/>
        <v>15488.746793333334</v>
      </c>
      <c r="L18" s="626">
        <f t="shared" si="13"/>
        <v>5808.2800475000004</v>
      </c>
      <c r="M18" s="626">
        <f t="shared" si="14"/>
        <v>87124.200712499995</v>
      </c>
      <c r="N18" s="626">
        <f t="shared" si="15"/>
        <v>38721.866983333341</v>
      </c>
      <c r="O18" s="626">
        <f t="shared" si="16"/>
        <v>15488.746793333334</v>
      </c>
      <c r="P18" s="628">
        <f t="shared" si="1"/>
        <v>217948.79416333334</v>
      </c>
      <c r="Q18" s="626">
        <f t="shared" si="2"/>
        <v>397037.42896125</v>
      </c>
      <c r="R18" s="629"/>
      <c r="S18" s="625">
        <f>[49]GER!AK18</f>
        <v>16650.876400000001</v>
      </c>
      <c r="T18" s="625">
        <f t="shared" si="17"/>
        <v>413688.30536125001</v>
      </c>
      <c r="U18" s="258"/>
    </row>
    <row r="19" spans="1:21">
      <c r="A19" s="624">
        <f t="shared" si="3"/>
        <v>2031</v>
      </c>
      <c r="B19" s="625">
        <f t="shared" si="4"/>
        <v>14520.700118750003</v>
      </c>
      <c r="C19" s="626">
        <f t="shared" si="5"/>
        <v>116165.60095000002</v>
      </c>
      <c r="D19" s="626">
        <f t="shared" si="6"/>
        <v>29041.400237500005</v>
      </c>
      <c r="E19" s="626">
        <f t="shared" si="7"/>
        <v>19360.93349166667</v>
      </c>
      <c r="F19" s="627">
        <f t="shared" si="0"/>
        <v>179088.63479791669</v>
      </c>
      <c r="G19" s="626">
        <f t="shared" si="8"/>
        <v>16595.085850000003</v>
      </c>
      <c r="H19" s="626">
        <f t="shared" si="9"/>
        <v>23233.120190000001</v>
      </c>
      <c r="I19" s="626">
        <f t="shared" si="10"/>
        <v>15488.746793333334</v>
      </c>
      <c r="J19" s="626"/>
      <c r="K19" s="626">
        <f t="shared" si="12"/>
        <v>15488.746793333334</v>
      </c>
      <c r="L19" s="626">
        <f t="shared" si="13"/>
        <v>5808.2800475000004</v>
      </c>
      <c r="M19" s="626">
        <f t="shared" si="14"/>
        <v>87124.200712499995</v>
      </c>
      <c r="N19" s="626">
        <f t="shared" si="15"/>
        <v>38721.866983333341</v>
      </c>
      <c r="O19" s="626">
        <f t="shared" si="16"/>
        <v>15488.746793333334</v>
      </c>
      <c r="P19" s="628">
        <f t="shared" si="1"/>
        <v>217948.79416333334</v>
      </c>
      <c r="Q19" s="626">
        <f t="shared" si="2"/>
        <v>397037.42896125</v>
      </c>
      <c r="R19" s="629"/>
      <c r="S19" s="625">
        <f>[49]GER!AK19</f>
        <v>16650.876400000001</v>
      </c>
      <c r="T19" s="625">
        <f t="shared" si="17"/>
        <v>413688.30536125001</v>
      </c>
      <c r="U19" s="258"/>
    </row>
    <row r="20" spans="1:21">
      <c r="A20" s="624">
        <f t="shared" si="3"/>
        <v>2032</v>
      </c>
      <c r="B20" s="625">
        <f t="shared" si="4"/>
        <v>14520.700118750003</v>
      </c>
      <c r="C20" s="626">
        <f t="shared" si="5"/>
        <v>116165.60095000002</v>
      </c>
      <c r="D20" s="626">
        <f t="shared" si="6"/>
        <v>29041.400237500005</v>
      </c>
      <c r="E20" s="626">
        <f t="shared" si="7"/>
        <v>19360.93349166667</v>
      </c>
      <c r="F20" s="627">
        <f t="shared" si="0"/>
        <v>179088.63479791669</v>
      </c>
      <c r="G20" s="626">
        <f t="shared" si="8"/>
        <v>16595.085850000003</v>
      </c>
      <c r="H20" s="626">
        <f t="shared" si="9"/>
        <v>23233.120190000001</v>
      </c>
      <c r="I20" s="626">
        <f t="shared" si="10"/>
        <v>15488.746793333334</v>
      </c>
      <c r="J20" s="626"/>
      <c r="K20" s="626">
        <f t="shared" si="12"/>
        <v>15488.746793333334</v>
      </c>
      <c r="L20" s="626">
        <f t="shared" si="13"/>
        <v>5808.2800475000004</v>
      </c>
      <c r="M20" s="626">
        <f t="shared" si="14"/>
        <v>87124.200712499995</v>
      </c>
      <c r="N20" s="626">
        <f t="shared" si="15"/>
        <v>38721.866983333341</v>
      </c>
      <c r="O20" s="626">
        <f t="shared" si="16"/>
        <v>15488.746793333334</v>
      </c>
      <c r="P20" s="628">
        <f t="shared" si="1"/>
        <v>217948.79416333334</v>
      </c>
      <c r="Q20" s="626">
        <f t="shared" si="2"/>
        <v>397037.42896125</v>
      </c>
      <c r="R20" s="629"/>
      <c r="S20" s="625">
        <f>[49]GER!AK20</f>
        <v>16650.876400000001</v>
      </c>
      <c r="T20" s="625">
        <f t="shared" si="17"/>
        <v>413688.30536125001</v>
      </c>
      <c r="U20" s="258"/>
    </row>
    <row r="21" spans="1:21">
      <c r="A21" s="624">
        <f t="shared" si="3"/>
        <v>2033</v>
      </c>
      <c r="B21" s="625">
        <f t="shared" si="4"/>
        <v>14520.700118750003</v>
      </c>
      <c r="C21" s="626">
        <f t="shared" si="5"/>
        <v>116165.60095000002</v>
      </c>
      <c r="D21" s="626">
        <f t="shared" si="6"/>
        <v>29041.400237500005</v>
      </c>
      <c r="E21" s="626">
        <f t="shared" si="7"/>
        <v>19360.93349166667</v>
      </c>
      <c r="F21" s="627">
        <f t="shared" si="0"/>
        <v>179088.63479791669</v>
      </c>
      <c r="G21" s="626">
        <f t="shared" si="8"/>
        <v>16595.085850000003</v>
      </c>
      <c r="H21" s="626">
        <f t="shared" si="9"/>
        <v>23233.120190000001</v>
      </c>
      <c r="I21" s="626">
        <f t="shared" si="10"/>
        <v>15488.746793333334</v>
      </c>
      <c r="J21" s="626"/>
      <c r="K21" s="626">
        <f t="shared" si="12"/>
        <v>15488.746793333334</v>
      </c>
      <c r="L21" s="626">
        <f t="shared" si="13"/>
        <v>5808.2800475000004</v>
      </c>
      <c r="M21" s="626">
        <f t="shared" si="14"/>
        <v>87124.200712499995</v>
      </c>
      <c r="N21" s="626">
        <f t="shared" si="15"/>
        <v>38721.866983333341</v>
      </c>
      <c r="O21" s="626">
        <f t="shared" si="16"/>
        <v>15488.746793333334</v>
      </c>
      <c r="P21" s="628">
        <f t="shared" si="1"/>
        <v>217948.79416333334</v>
      </c>
      <c r="Q21" s="626">
        <f t="shared" si="2"/>
        <v>397037.42896125</v>
      </c>
      <c r="R21" s="629"/>
      <c r="S21" s="625">
        <f>[49]GER!AK21</f>
        <v>16650.876400000001</v>
      </c>
      <c r="T21" s="625">
        <f t="shared" si="17"/>
        <v>413688.30536125001</v>
      </c>
      <c r="U21" s="258"/>
    </row>
    <row r="22" spans="1:21">
      <c r="A22" s="624">
        <f t="shared" si="3"/>
        <v>2034</v>
      </c>
      <c r="B22" s="625">
        <f t="shared" si="4"/>
        <v>14520.700118750003</v>
      </c>
      <c r="C22" s="626">
        <f t="shared" si="5"/>
        <v>116165.60095000002</v>
      </c>
      <c r="D22" s="626">
        <f t="shared" si="6"/>
        <v>29041.400237500005</v>
      </c>
      <c r="E22" s="626">
        <f t="shared" si="7"/>
        <v>19360.93349166667</v>
      </c>
      <c r="F22" s="627">
        <f t="shared" si="0"/>
        <v>179088.63479791669</v>
      </c>
      <c r="G22" s="626">
        <f t="shared" si="8"/>
        <v>16595.085850000003</v>
      </c>
      <c r="H22" s="626">
        <f t="shared" si="9"/>
        <v>23233.120190000001</v>
      </c>
      <c r="I22" s="626">
        <f>$I$3/$I$4/12*6</f>
        <v>7744.3733966666678</v>
      </c>
      <c r="J22" s="626"/>
      <c r="K22" s="626">
        <f>$K$3/$K$4/12*6</f>
        <v>7744.3733966666678</v>
      </c>
      <c r="L22" s="626">
        <f t="shared" si="13"/>
        <v>5808.2800475000004</v>
      </c>
      <c r="M22" s="626">
        <f t="shared" si="14"/>
        <v>87124.200712499995</v>
      </c>
      <c r="N22" s="626">
        <f>$N$3/$N$4/12*6</f>
        <v>19360.93349166667</v>
      </c>
      <c r="O22" s="626">
        <f>$O$3/$O$4/12*6</f>
        <v>7744.3733966666678</v>
      </c>
      <c r="P22" s="628">
        <f t="shared" si="1"/>
        <v>175354.7404816667</v>
      </c>
      <c r="Q22" s="626">
        <f t="shared" si="2"/>
        <v>354443.37527958339</v>
      </c>
      <c r="R22" s="629"/>
      <c r="S22" s="625">
        <f>[49]GER!AK22</f>
        <v>62856.36753333333</v>
      </c>
      <c r="T22" s="625">
        <f t="shared" si="17"/>
        <v>417299.74281291669</v>
      </c>
      <c r="U22" s="258"/>
    </row>
    <row r="23" spans="1:21">
      <c r="A23" s="624">
        <f t="shared" si="3"/>
        <v>2035</v>
      </c>
      <c r="B23" s="625">
        <f t="shared" si="4"/>
        <v>14520.700118750003</v>
      </c>
      <c r="C23" s="626">
        <f t="shared" si="5"/>
        <v>116165.60095000002</v>
      </c>
      <c r="D23" s="626">
        <f t="shared" si="6"/>
        <v>29041.400237500005</v>
      </c>
      <c r="E23" s="626">
        <f t="shared" si="7"/>
        <v>19360.93349166667</v>
      </c>
      <c r="F23" s="627">
        <f t="shared" si="0"/>
        <v>179088.63479791669</v>
      </c>
      <c r="G23" s="626">
        <f t="shared" si="8"/>
        <v>16595.085850000003</v>
      </c>
      <c r="H23" s="626">
        <f t="shared" si="9"/>
        <v>23233.120190000001</v>
      </c>
      <c r="I23" s="626"/>
      <c r="J23" s="626"/>
      <c r="K23" s="626"/>
      <c r="L23" s="626">
        <f t="shared" si="13"/>
        <v>5808.2800475000004</v>
      </c>
      <c r="M23" s="626">
        <f t="shared" si="14"/>
        <v>87124.200712499995</v>
      </c>
      <c r="N23" s="626"/>
      <c r="O23" s="626"/>
      <c r="P23" s="628">
        <f t="shared" si="1"/>
        <v>132760.6868</v>
      </c>
      <c r="Q23" s="626">
        <f t="shared" si="2"/>
        <v>311849.32159791666</v>
      </c>
      <c r="R23" s="629"/>
      <c r="S23" s="625">
        <f>[49]GER!AK23</f>
        <v>62856.36753333333</v>
      </c>
      <c r="T23" s="625">
        <f t="shared" si="17"/>
        <v>374705.68913124996</v>
      </c>
      <c r="U23" s="258"/>
    </row>
    <row r="24" spans="1:21">
      <c r="A24" s="624">
        <f t="shared" si="3"/>
        <v>2036</v>
      </c>
      <c r="B24" s="625">
        <f t="shared" si="4"/>
        <v>14520.700118750003</v>
      </c>
      <c r="C24" s="626">
        <f t="shared" si="5"/>
        <v>116165.60095000002</v>
      </c>
      <c r="D24" s="626">
        <f t="shared" si="6"/>
        <v>29041.400237500005</v>
      </c>
      <c r="E24" s="626">
        <f t="shared" si="7"/>
        <v>19360.93349166667</v>
      </c>
      <c r="F24" s="627">
        <f t="shared" si="0"/>
        <v>179088.63479791669</v>
      </c>
      <c r="G24" s="626">
        <f t="shared" si="8"/>
        <v>16595.085850000003</v>
      </c>
      <c r="H24" s="626">
        <f t="shared" si="9"/>
        <v>23233.120190000001</v>
      </c>
      <c r="I24" s="626"/>
      <c r="J24" s="626"/>
      <c r="K24" s="626"/>
      <c r="L24" s="626">
        <f t="shared" si="13"/>
        <v>5808.2800475000004</v>
      </c>
      <c r="M24" s="626">
        <f t="shared" si="14"/>
        <v>87124.200712499995</v>
      </c>
      <c r="N24" s="626"/>
      <c r="O24" s="626"/>
      <c r="P24" s="628">
        <f t="shared" si="1"/>
        <v>132760.6868</v>
      </c>
      <c r="Q24" s="626">
        <f t="shared" si="2"/>
        <v>311849.32159791666</v>
      </c>
      <c r="R24" s="629"/>
      <c r="S24" s="625">
        <f>[49]GER!AK24</f>
        <v>62856.36753333333</v>
      </c>
      <c r="T24" s="625">
        <f t="shared" si="17"/>
        <v>374705.68913124996</v>
      </c>
      <c r="U24" s="258"/>
    </row>
    <row r="25" spans="1:21">
      <c r="A25" s="624">
        <f t="shared" si="3"/>
        <v>2037</v>
      </c>
      <c r="B25" s="625">
        <f t="shared" si="4"/>
        <v>14520.700118750003</v>
      </c>
      <c r="C25" s="626">
        <f t="shared" si="5"/>
        <v>116165.60095000002</v>
      </c>
      <c r="D25" s="626">
        <f t="shared" si="6"/>
        <v>29041.400237500005</v>
      </c>
      <c r="E25" s="626">
        <f t="shared" si="7"/>
        <v>19360.93349166667</v>
      </c>
      <c r="F25" s="627">
        <f t="shared" si="0"/>
        <v>179088.63479791669</v>
      </c>
      <c r="G25" s="626">
        <f t="shared" si="8"/>
        <v>16595.085850000003</v>
      </c>
      <c r="H25" s="626">
        <f t="shared" si="9"/>
        <v>23233.120190000001</v>
      </c>
      <c r="I25" s="626"/>
      <c r="J25" s="626"/>
      <c r="K25" s="626"/>
      <c r="L25" s="626">
        <f t="shared" si="13"/>
        <v>5808.2800475000004</v>
      </c>
      <c r="M25" s="626">
        <f t="shared" si="14"/>
        <v>87124.200712499995</v>
      </c>
      <c r="N25" s="626"/>
      <c r="O25" s="626"/>
      <c r="P25" s="628">
        <f t="shared" si="1"/>
        <v>132760.6868</v>
      </c>
      <c r="Q25" s="626">
        <f t="shared" si="2"/>
        <v>311849.32159791666</v>
      </c>
      <c r="R25" s="629"/>
      <c r="S25" s="625">
        <f>[49]GER!AK25</f>
        <v>62856.36753333333</v>
      </c>
      <c r="T25" s="625">
        <f t="shared" si="17"/>
        <v>374705.68913124996</v>
      </c>
      <c r="U25" s="258"/>
    </row>
    <row r="26" spans="1:21">
      <c r="A26" s="624">
        <f t="shared" si="3"/>
        <v>2038</v>
      </c>
      <c r="B26" s="625">
        <f t="shared" si="4"/>
        <v>14520.700118750003</v>
      </c>
      <c r="C26" s="626">
        <f t="shared" si="5"/>
        <v>116165.60095000002</v>
      </c>
      <c r="D26" s="626">
        <f t="shared" si="6"/>
        <v>29041.400237500005</v>
      </c>
      <c r="E26" s="626">
        <f t="shared" si="7"/>
        <v>19360.93349166667</v>
      </c>
      <c r="F26" s="627">
        <f t="shared" si="0"/>
        <v>179088.63479791669</v>
      </c>
      <c r="G26" s="626">
        <f t="shared" si="8"/>
        <v>16595.085850000003</v>
      </c>
      <c r="H26" s="626">
        <f t="shared" si="9"/>
        <v>23233.120190000001</v>
      </c>
      <c r="I26" s="626"/>
      <c r="J26" s="626"/>
      <c r="K26" s="626"/>
      <c r="L26" s="626">
        <f t="shared" si="13"/>
        <v>5808.2800475000004</v>
      </c>
      <c r="M26" s="626">
        <f t="shared" si="14"/>
        <v>87124.200712499995</v>
      </c>
      <c r="N26" s="626"/>
      <c r="O26" s="626"/>
      <c r="P26" s="628">
        <f t="shared" si="1"/>
        <v>132760.6868</v>
      </c>
      <c r="Q26" s="626">
        <f t="shared" si="2"/>
        <v>311849.32159791666</v>
      </c>
      <c r="R26" s="629"/>
      <c r="S26" s="625">
        <f>[49]GER!AK26</f>
        <v>62856.36753333333</v>
      </c>
      <c r="T26" s="625">
        <f t="shared" si="17"/>
        <v>374705.68913124996</v>
      </c>
      <c r="U26" s="258"/>
    </row>
    <row r="27" spans="1:21">
      <c r="A27" s="624">
        <f t="shared" si="3"/>
        <v>2039</v>
      </c>
      <c r="B27" s="625">
        <f t="shared" si="4"/>
        <v>14520.700118750003</v>
      </c>
      <c r="C27" s="626">
        <f t="shared" si="5"/>
        <v>116165.60095000002</v>
      </c>
      <c r="D27" s="626">
        <f t="shared" si="6"/>
        <v>29041.400237500005</v>
      </c>
      <c r="E27" s="626">
        <f t="shared" si="7"/>
        <v>19360.93349166667</v>
      </c>
      <c r="F27" s="627">
        <f t="shared" si="0"/>
        <v>179088.63479791669</v>
      </c>
      <c r="G27" s="626">
        <f t="shared" si="8"/>
        <v>16595.085850000003</v>
      </c>
      <c r="H27" s="626">
        <f>$H$3/$H$4/12*6</f>
        <v>11616.560095000001</v>
      </c>
      <c r="I27" s="626"/>
      <c r="J27" s="626"/>
      <c r="K27" s="626"/>
      <c r="L27" s="626">
        <f>$L$3/$L$4/12*6</f>
        <v>2904.1400237500002</v>
      </c>
      <c r="M27" s="626">
        <f>$M$3/$M$4/12*6</f>
        <v>43562.100356249997</v>
      </c>
      <c r="N27" s="626"/>
      <c r="O27" s="626"/>
      <c r="P27" s="628">
        <f t="shared" si="1"/>
        <v>74677.886324999999</v>
      </c>
      <c r="Q27" s="626">
        <f t="shared" si="2"/>
        <v>253766.52112291669</v>
      </c>
      <c r="R27" s="629"/>
      <c r="S27" s="625">
        <f>[49]GER!AK27</f>
        <v>72952.015533333324</v>
      </c>
      <c r="T27" s="625">
        <f t="shared" si="17"/>
        <v>326718.53665625001</v>
      </c>
      <c r="U27" s="258"/>
    </row>
    <row r="28" spans="1:21">
      <c r="A28" s="624">
        <f t="shared" si="3"/>
        <v>2040</v>
      </c>
      <c r="B28" s="625">
        <f t="shared" si="4"/>
        <v>14520.700118750003</v>
      </c>
      <c r="C28" s="626">
        <f t="shared" si="5"/>
        <v>116165.60095000002</v>
      </c>
      <c r="D28" s="626">
        <f t="shared" si="6"/>
        <v>29041.400237500005</v>
      </c>
      <c r="E28" s="626">
        <f t="shared" si="7"/>
        <v>19360.93349166667</v>
      </c>
      <c r="F28" s="627">
        <f t="shared" si="0"/>
        <v>179088.63479791669</v>
      </c>
      <c r="G28" s="626">
        <f t="shared" si="8"/>
        <v>16595.085850000003</v>
      </c>
      <c r="H28" s="626"/>
      <c r="I28" s="626"/>
      <c r="J28" s="626"/>
      <c r="K28" s="626"/>
      <c r="L28" s="626"/>
      <c r="M28" s="626"/>
      <c r="N28" s="626"/>
      <c r="O28" s="626"/>
      <c r="P28" s="628">
        <f t="shared" si="1"/>
        <v>16595.085850000003</v>
      </c>
      <c r="Q28" s="626">
        <f t="shared" si="2"/>
        <v>195683.72064791669</v>
      </c>
      <c r="R28" s="629"/>
      <c r="S28" s="625">
        <f>[49]GER!AK28</f>
        <v>72952.015533333324</v>
      </c>
      <c r="T28" s="625">
        <f t="shared" si="17"/>
        <v>268635.73618125002</v>
      </c>
      <c r="U28" s="258"/>
    </row>
    <row r="29" spans="1:21">
      <c r="A29" s="624">
        <f t="shared" si="3"/>
        <v>2041</v>
      </c>
      <c r="B29" s="625">
        <f t="shared" si="4"/>
        <v>14520.700118750003</v>
      </c>
      <c r="C29" s="626">
        <f t="shared" si="5"/>
        <v>116165.60095000002</v>
      </c>
      <c r="D29" s="626">
        <f t="shared" si="6"/>
        <v>29041.400237500005</v>
      </c>
      <c r="E29" s="626">
        <f t="shared" si="7"/>
        <v>19360.93349166667</v>
      </c>
      <c r="F29" s="627">
        <f t="shared" si="0"/>
        <v>179088.63479791669</v>
      </c>
      <c r="G29" s="626">
        <f t="shared" si="8"/>
        <v>16595.085850000003</v>
      </c>
      <c r="H29" s="626"/>
      <c r="I29" s="626"/>
      <c r="J29" s="626"/>
      <c r="K29" s="626"/>
      <c r="L29" s="626"/>
      <c r="M29" s="626"/>
      <c r="N29" s="626"/>
      <c r="O29" s="626"/>
      <c r="P29" s="628">
        <f t="shared" si="1"/>
        <v>16595.085850000003</v>
      </c>
      <c r="Q29" s="626">
        <f t="shared" si="2"/>
        <v>195683.72064791669</v>
      </c>
      <c r="R29" s="629"/>
      <c r="S29" s="625">
        <f>[49]GER!AK29</f>
        <v>72952.015533333324</v>
      </c>
      <c r="T29" s="625">
        <f t="shared" si="17"/>
        <v>268635.73618125002</v>
      </c>
      <c r="U29" s="258"/>
    </row>
    <row r="30" spans="1:21">
      <c r="A30" s="624">
        <f t="shared" si="3"/>
        <v>2042</v>
      </c>
      <c r="B30" s="625">
        <f t="shared" si="4"/>
        <v>14520.700118750003</v>
      </c>
      <c r="C30" s="626">
        <f t="shared" si="5"/>
        <v>116165.60095000002</v>
      </c>
      <c r="D30" s="626">
        <f t="shared" si="6"/>
        <v>29041.400237500005</v>
      </c>
      <c r="E30" s="626">
        <f t="shared" si="7"/>
        <v>19360.93349166667</v>
      </c>
      <c r="F30" s="627">
        <f t="shared" si="0"/>
        <v>179088.63479791669</v>
      </c>
      <c r="G30" s="626">
        <f t="shared" si="8"/>
        <v>16595.085850000003</v>
      </c>
      <c r="H30" s="626"/>
      <c r="I30" s="626"/>
      <c r="J30" s="626"/>
      <c r="K30" s="626"/>
      <c r="L30" s="626"/>
      <c r="M30" s="626"/>
      <c r="N30" s="626"/>
      <c r="O30" s="626"/>
      <c r="P30" s="628">
        <f t="shared" si="1"/>
        <v>16595.085850000003</v>
      </c>
      <c r="Q30" s="626">
        <f t="shared" si="2"/>
        <v>195683.72064791669</v>
      </c>
      <c r="R30" s="629"/>
      <c r="S30" s="625">
        <f>[49]GER!AK30</f>
        <v>72952.015533333324</v>
      </c>
      <c r="T30" s="625">
        <f t="shared" si="17"/>
        <v>268635.73618125002</v>
      </c>
      <c r="U30" s="258"/>
    </row>
    <row r="31" spans="1:21">
      <c r="A31" s="624">
        <f t="shared" si="3"/>
        <v>2043</v>
      </c>
      <c r="B31" s="625">
        <f t="shared" si="4"/>
        <v>14520.700118750003</v>
      </c>
      <c r="C31" s="626">
        <f t="shared" si="5"/>
        <v>116165.60095000002</v>
      </c>
      <c r="D31" s="626">
        <f t="shared" si="6"/>
        <v>29041.400237500005</v>
      </c>
      <c r="E31" s="626">
        <f t="shared" si="7"/>
        <v>19360.93349166667</v>
      </c>
      <c r="F31" s="627">
        <f t="shared" si="0"/>
        <v>179088.63479791669</v>
      </c>
      <c r="G31" s="626">
        <f t="shared" si="8"/>
        <v>16595.085850000003</v>
      </c>
      <c r="H31" s="626"/>
      <c r="I31" s="626"/>
      <c r="J31" s="626"/>
      <c r="K31" s="626"/>
      <c r="L31" s="626"/>
      <c r="M31" s="626"/>
      <c r="N31" s="626"/>
      <c r="O31" s="626"/>
      <c r="P31" s="628">
        <f t="shared" si="1"/>
        <v>16595.085850000003</v>
      </c>
      <c r="Q31" s="626">
        <f t="shared" si="2"/>
        <v>195683.72064791669</v>
      </c>
      <c r="R31" s="629"/>
      <c r="S31" s="625">
        <f>[49]GER!AK31</f>
        <v>72952.015533333324</v>
      </c>
      <c r="T31" s="625">
        <f t="shared" si="17"/>
        <v>268635.73618125002</v>
      </c>
      <c r="U31" s="258"/>
    </row>
    <row r="32" spans="1:21">
      <c r="A32" s="624">
        <f t="shared" si="3"/>
        <v>2044</v>
      </c>
      <c r="B32" s="625">
        <f t="shared" si="4"/>
        <v>14520.700118750003</v>
      </c>
      <c r="C32" s="626">
        <f t="shared" si="5"/>
        <v>116165.60095000002</v>
      </c>
      <c r="D32" s="626">
        <f t="shared" si="6"/>
        <v>29041.400237500005</v>
      </c>
      <c r="E32" s="626">
        <f t="shared" si="7"/>
        <v>19360.93349166667</v>
      </c>
      <c r="F32" s="627">
        <f t="shared" si="0"/>
        <v>179088.63479791669</v>
      </c>
      <c r="G32" s="626">
        <f t="shared" si="8"/>
        <v>16595.085850000003</v>
      </c>
      <c r="H32" s="626"/>
      <c r="I32" s="626"/>
      <c r="J32" s="626"/>
      <c r="K32" s="626"/>
      <c r="L32" s="626"/>
      <c r="M32" s="626"/>
      <c r="N32" s="626"/>
      <c r="O32" s="626"/>
      <c r="P32" s="628">
        <f t="shared" si="1"/>
        <v>16595.085850000003</v>
      </c>
      <c r="Q32" s="626">
        <f t="shared" si="2"/>
        <v>195683.72064791669</v>
      </c>
      <c r="R32" s="629"/>
      <c r="S32" s="625">
        <f>[49]GER!AK32</f>
        <v>174812.06777083332</v>
      </c>
      <c r="T32" s="625">
        <f t="shared" si="17"/>
        <v>370495.78841875005</v>
      </c>
      <c r="U32" s="258"/>
    </row>
    <row r="33" spans="1:21">
      <c r="A33" s="624">
        <f t="shared" si="3"/>
        <v>2045</v>
      </c>
      <c r="B33" s="625">
        <f t="shared" si="4"/>
        <v>14520.700118750003</v>
      </c>
      <c r="C33" s="626">
        <f t="shared" si="5"/>
        <v>116165.60095000002</v>
      </c>
      <c r="D33" s="626">
        <f t="shared" si="6"/>
        <v>29041.400237500005</v>
      </c>
      <c r="E33" s="626">
        <f t="shared" si="7"/>
        <v>19360.93349166667</v>
      </c>
      <c r="F33" s="627">
        <f t="shared" si="0"/>
        <v>179088.63479791669</v>
      </c>
      <c r="G33" s="626">
        <f t="shared" si="8"/>
        <v>16595.085850000003</v>
      </c>
      <c r="H33" s="626"/>
      <c r="I33" s="626"/>
      <c r="J33" s="626"/>
      <c r="K33" s="626"/>
      <c r="L33" s="626"/>
      <c r="M33" s="626"/>
      <c r="N33" s="626"/>
      <c r="O33" s="626"/>
      <c r="P33" s="628">
        <f t="shared" si="1"/>
        <v>16595.085850000003</v>
      </c>
      <c r="Q33" s="626">
        <f t="shared" si="2"/>
        <v>195683.72064791669</v>
      </c>
      <c r="R33" s="629"/>
      <c r="S33" s="625">
        <f>[49]GER!AK33</f>
        <v>174812.06777083332</v>
      </c>
      <c r="T33" s="625">
        <f t="shared" si="17"/>
        <v>370495.78841875005</v>
      </c>
      <c r="U33" s="258"/>
    </row>
    <row r="34" spans="1:21">
      <c r="A34" s="624">
        <f t="shared" si="3"/>
        <v>2046</v>
      </c>
      <c r="B34" s="625">
        <f t="shared" si="4"/>
        <v>14520.700118750003</v>
      </c>
      <c r="C34" s="626">
        <f t="shared" si="5"/>
        <v>116165.60095000002</v>
      </c>
      <c r="D34" s="626">
        <f t="shared" si="6"/>
        <v>29041.400237500005</v>
      </c>
      <c r="E34" s="626">
        <f t="shared" si="7"/>
        <v>19360.93349166667</v>
      </c>
      <c r="F34" s="627">
        <f t="shared" si="0"/>
        <v>179088.63479791669</v>
      </c>
      <c r="G34" s="626">
        <f t="shared" si="8"/>
        <v>16595.085850000003</v>
      </c>
      <c r="H34" s="626"/>
      <c r="I34" s="626"/>
      <c r="J34" s="626"/>
      <c r="K34" s="626"/>
      <c r="L34" s="626"/>
      <c r="M34" s="626"/>
      <c r="N34" s="626"/>
      <c r="O34" s="626"/>
      <c r="P34" s="628">
        <f t="shared" si="1"/>
        <v>16595.085850000003</v>
      </c>
      <c r="Q34" s="626">
        <f t="shared" si="2"/>
        <v>195683.72064791669</v>
      </c>
      <c r="R34" s="629"/>
      <c r="S34" s="625">
        <f>[49]GER!AK34</f>
        <v>174812.06777083332</v>
      </c>
      <c r="T34" s="625">
        <f t="shared" si="17"/>
        <v>370495.78841875005</v>
      </c>
      <c r="U34" s="258"/>
    </row>
    <row r="35" spans="1:21">
      <c r="A35" s="624">
        <f t="shared" si="3"/>
        <v>2047</v>
      </c>
      <c r="B35" s="625">
        <f t="shared" si="4"/>
        <v>14520.700118750003</v>
      </c>
      <c r="C35" s="626">
        <f t="shared" si="5"/>
        <v>116165.60095000002</v>
      </c>
      <c r="D35" s="626">
        <f t="shared" si="6"/>
        <v>29041.400237500005</v>
      </c>
      <c r="E35" s="626">
        <f t="shared" si="7"/>
        <v>19360.93349166667</v>
      </c>
      <c r="F35" s="627">
        <f>SUM(B35:E35)</f>
        <v>179088.63479791669</v>
      </c>
      <c r="G35" s="626">
        <f t="shared" si="8"/>
        <v>16595.085850000003</v>
      </c>
      <c r="H35" s="626"/>
      <c r="I35" s="626"/>
      <c r="J35" s="626"/>
      <c r="K35" s="626"/>
      <c r="L35" s="626"/>
      <c r="M35" s="626"/>
      <c r="N35" s="626"/>
      <c r="O35" s="626"/>
      <c r="P35" s="628">
        <f t="shared" si="1"/>
        <v>16595.085850000003</v>
      </c>
      <c r="Q35" s="626">
        <f t="shared" si="2"/>
        <v>195683.72064791669</v>
      </c>
      <c r="R35" s="629"/>
      <c r="S35" s="625">
        <f>[49]GER!AK35</f>
        <v>174812.06777083332</v>
      </c>
      <c r="T35" s="625">
        <f t="shared" si="17"/>
        <v>370495.78841875005</v>
      </c>
      <c r="U35" s="258"/>
    </row>
    <row r="36" spans="1:21">
      <c r="A36" s="624">
        <f t="shared" si="3"/>
        <v>2048</v>
      </c>
      <c r="B36" s="625">
        <f t="shared" si="4"/>
        <v>14520.700118750003</v>
      </c>
      <c r="C36" s="626">
        <f t="shared" si="5"/>
        <v>116165.60095000002</v>
      </c>
      <c r="D36" s="626">
        <f t="shared" si="6"/>
        <v>29041.400237500005</v>
      </c>
      <c r="E36" s="626">
        <f t="shared" si="7"/>
        <v>19360.93349166667</v>
      </c>
      <c r="F36" s="627">
        <f t="shared" si="0"/>
        <v>179088.63479791669</v>
      </c>
      <c r="G36" s="626">
        <f t="shared" si="8"/>
        <v>16595.085850000003</v>
      </c>
      <c r="H36" s="626"/>
      <c r="I36" s="626"/>
      <c r="J36" s="626"/>
      <c r="K36" s="626"/>
      <c r="L36" s="626"/>
      <c r="M36" s="626"/>
      <c r="N36" s="626"/>
      <c r="O36" s="626"/>
      <c r="P36" s="628">
        <f t="shared" si="1"/>
        <v>16595.085850000003</v>
      </c>
      <c r="Q36" s="626">
        <f t="shared" si="2"/>
        <v>195683.72064791669</v>
      </c>
      <c r="R36" s="629"/>
      <c r="S36" s="625">
        <f>[49]GER!AK36</f>
        <v>174812.06777083332</v>
      </c>
      <c r="T36" s="625">
        <f t="shared" si="17"/>
        <v>370495.78841875005</v>
      </c>
      <c r="U36" s="258"/>
    </row>
    <row r="37" spans="1:21">
      <c r="A37" s="624">
        <f t="shared" si="3"/>
        <v>2049</v>
      </c>
      <c r="B37" s="625">
        <f t="shared" si="4"/>
        <v>14520.700118750003</v>
      </c>
      <c r="C37" s="626">
        <f t="shared" si="5"/>
        <v>116165.60095000002</v>
      </c>
      <c r="D37" s="626">
        <f t="shared" si="6"/>
        <v>29041.400237500005</v>
      </c>
      <c r="E37" s="626">
        <f>$E$3/$E$4/12*6</f>
        <v>9680.4667458333352</v>
      </c>
      <c r="F37" s="627">
        <f>SUM(B37:E37)</f>
        <v>169408.16805208338</v>
      </c>
      <c r="G37" s="626">
        <f t="shared" si="8"/>
        <v>16595.085850000003</v>
      </c>
      <c r="H37" s="626"/>
      <c r="I37" s="626"/>
      <c r="J37" s="626"/>
      <c r="K37" s="626"/>
      <c r="L37" s="626"/>
      <c r="M37" s="626"/>
      <c r="N37" s="626"/>
      <c r="O37" s="626"/>
      <c r="P37" s="628">
        <f t="shared" si="1"/>
        <v>16595.085850000003</v>
      </c>
      <c r="Q37" s="626">
        <f t="shared" si="2"/>
        <v>186003.25390208338</v>
      </c>
      <c r="R37" s="629"/>
      <c r="S37" s="625">
        <f>[49]GER!AK37</f>
        <v>239701.67945568182</v>
      </c>
      <c r="T37" s="625">
        <f t="shared" si="17"/>
        <v>425704.9333577652</v>
      </c>
      <c r="U37" s="258"/>
    </row>
    <row r="38" spans="1:21">
      <c r="A38" s="624">
        <f t="shared" si="3"/>
        <v>2050</v>
      </c>
      <c r="B38" s="625">
        <f t="shared" si="4"/>
        <v>14520.700118750003</v>
      </c>
      <c r="C38" s="626">
        <f t="shared" si="5"/>
        <v>116165.60095000002</v>
      </c>
      <c r="D38" s="626">
        <f t="shared" si="6"/>
        <v>29041.400237500005</v>
      </c>
      <c r="E38" s="626"/>
      <c r="F38" s="627">
        <f t="shared" si="0"/>
        <v>159727.70130625003</v>
      </c>
      <c r="G38" s="626">
        <f t="shared" si="8"/>
        <v>16595.085850000003</v>
      </c>
      <c r="H38" s="626"/>
      <c r="I38" s="626"/>
      <c r="J38" s="626"/>
      <c r="K38" s="626"/>
      <c r="L38" s="626"/>
      <c r="M38" s="626"/>
      <c r="N38" s="626"/>
      <c r="O38" s="626"/>
      <c r="P38" s="628">
        <f t="shared" si="1"/>
        <v>16595.085850000003</v>
      </c>
      <c r="Q38" s="626">
        <f t="shared" si="2"/>
        <v>176322.78715625004</v>
      </c>
      <c r="R38" s="629"/>
      <c r="S38" s="625">
        <f>[49]GER!AK38</f>
        <v>239701.67945568182</v>
      </c>
      <c r="T38" s="625">
        <f t="shared" si="17"/>
        <v>416024.46661193186</v>
      </c>
      <c r="U38" s="258"/>
    </row>
    <row r="39" spans="1:21">
      <c r="A39" s="624">
        <f t="shared" si="3"/>
        <v>2051</v>
      </c>
      <c r="B39" s="625">
        <f t="shared" si="4"/>
        <v>14520.700118750003</v>
      </c>
      <c r="C39" s="626">
        <f t="shared" si="5"/>
        <v>116165.60095000002</v>
      </c>
      <c r="D39" s="626">
        <f t="shared" si="6"/>
        <v>29041.400237500005</v>
      </c>
      <c r="E39" s="626"/>
      <c r="F39" s="627">
        <f t="shared" si="0"/>
        <v>159727.70130625003</v>
      </c>
      <c r="G39" s="626">
        <f t="shared" si="8"/>
        <v>16595.085850000003</v>
      </c>
      <c r="H39" s="626"/>
      <c r="I39" s="626"/>
      <c r="J39" s="626"/>
      <c r="K39" s="626"/>
      <c r="L39" s="626"/>
      <c r="M39" s="626"/>
      <c r="N39" s="626"/>
      <c r="O39" s="626"/>
      <c r="P39" s="628">
        <f>SUM(G39:O39)</f>
        <v>16595.085850000003</v>
      </c>
      <c r="Q39" s="626">
        <f t="shared" si="2"/>
        <v>176322.78715625004</v>
      </c>
      <c r="R39" s="629"/>
      <c r="S39" s="625">
        <f>[49]GER!AK39</f>
        <v>239701.67945568182</v>
      </c>
      <c r="T39" s="625">
        <f t="shared" si="17"/>
        <v>416024.46661193186</v>
      </c>
      <c r="U39" s="258"/>
    </row>
    <row r="40" spans="1:21">
      <c r="A40" s="624">
        <f t="shared" si="3"/>
        <v>2052</v>
      </c>
      <c r="B40" s="625">
        <f t="shared" si="4"/>
        <v>14520.700118750003</v>
      </c>
      <c r="C40" s="626">
        <f t="shared" si="5"/>
        <v>116165.60095000002</v>
      </c>
      <c r="D40" s="626">
        <f t="shared" si="6"/>
        <v>29041.400237500005</v>
      </c>
      <c r="E40" s="626"/>
      <c r="F40" s="627">
        <f t="shared" si="0"/>
        <v>159727.70130625003</v>
      </c>
      <c r="G40" s="626">
        <f t="shared" si="8"/>
        <v>16595.085850000003</v>
      </c>
      <c r="H40" s="626"/>
      <c r="I40" s="626"/>
      <c r="J40" s="626"/>
      <c r="K40" s="626"/>
      <c r="L40" s="626"/>
      <c r="M40" s="626"/>
      <c r="N40" s="626"/>
      <c r="O40" s="626"/>
      <c r="P40" s="628">
        <f t="shared" si="1"/>
        <v>16595.085850000003</v>
      </c>
      <c r="Q40" s="626">
        <f t="shared" si="2"/>
        <v>176322.78715625004</v>
      </c>
      <c r="R40" s="629"/>
      <c r="S40" s="625">
        <f>[49]GER!AK40</f>
        <v>239701.67945568182</v>
      </c>
      <c r="T40" s="625">
        <f t="shared" si="17"/>
        <v>416024.46661193186</v>
      </c>
      <c r="U40" s="258"/>
    </row>
    <row r="41" spans="1:21">
      <c r="A41" s="624">
        <f t="shared" si="3"/>
        <v>2053</v>
      </c>
      <c r="B41" s="625">
        <f t="shared" si="4"/>
        <v>14520.700118750003</v>
      </c>
      <c r="C41" s="626">
        <f t="shared" si="5"/>
        <v>116165.60095000002</v>
      </c>
      <c r="D41" s="626">
        <f t="shared" si="6"/>
        <v>29041.400237500005</v>
      </c>
      <c r="E41" s="626"/>
      <c r="F41" s="627">
        <f t="shared" si="0"/>
        <v>159727.70130625003</v>
      </c>
      <c r="G41" s="626">
        <f t="shared" si="8"/>
        <v>16595.085850000003</v>
      </c>
      <c r="H41" s="626"/>
      <c r="I41" s="626"/>
      <c r="J41" s="626"/>
      <c r="K41" s="626"/>
      <c r="L41" s="626"/>
      <c r="M41" s="626"/>
      <c r="N41" s="626"/>
      <c r="O41" s="626"/>
      <c r="P41" s="628">
        <f t="shared" si="1"/>
        <v>16595.085850000003</v>
      </c>
      <c r="Q41" s="626">
        <f t="shared" si="2"/>
        <v>176322.78715625004</v>
      </c>
      <c r="R41" s="629"/>
      <c r="S41" s="625">
        <f>[49]GER!AK41</f>
        <v>239701.67945568182</v>
      </c>
      <c r="T41" s="625">
        <f t="shared" si="17"/>
        <v>416024.46661193186</v>
      </c>
      <c r="U41" s="258"/>
    </row>
    <row r="42" spans="1:21">
      <c r="A42" s="624">
        <f t="shared" si="3"/>
        <v>2054</v>
      </c>
      <c r="B42" s="625">
        <f t="shared" si="4"/>
        <v>14520.700118750003</v>
      </c>
      <c r="C42" s="626">
        <f t="shared" si="5"/>
        <v>116165.60095000002</v>
      </c>
      <c r="D42" s="626">
        <f t="shared" si="6"/>
        <v>29041.400237500005</v>
      </c>
      <c r="E42" s="626"/>
      <c r="F42" s="627">
        <f t="shared" si="0"/>
        <v>159727.70130625003</v>
      </c>
      <c r="G42" s="626">
        <f>$G$3/$G$4/12*6</f>
        <v>8297.5429250000016</v>
      </c>
      <c r="H42" s="626"/>
      <c r="I42" s="626"/>
      <c r="J42" s="626"/>
      <c r="K42" s="626"/>
      <c r="L42" s="626"/>
      <c r="M42" s="626"/>
      <c r="N42" s="626"/>
      <c r="O42" s="626"/>
      <c r="P42" s="628">
        <f>SUM(G42:O42)</f>
        <v>8297.5429250000016</v>
      </c>
      <c r="Q42" s="626">
        <f t="shared" si="2"/>
        <v>168025.24423125002</v>
      </c>
      <c r="R42" s="629"/>
      <c r="S42" s="625">
        <f>[49]GER!AK42</f>
        <v>239701.67945568182</v>
      </c>
      <c r="T42" s="625">
        <f t="shared" si="17"/>
        <v>407726.92368693184</v>
      </c>
      <c r="U42" s="258"/>
    </row>
    <row r="43" spans="1:21">
      <c r="A43" s="624">
        <f t="shared" si="3"/>
        <v>2055</v>
      </c>
      <c r="B43" s="625">
        <f t="shared" si="4"/>
        <v>14520.700118750003</v>
      </c>
      <c r="C43" s="626">
        <f t="shared" si="5"/>
        <v>116165.60095000002</v>
      </c>
      <c r="D43" s="626">
        <f t="shared" si="6"/>
        <v>29041.400237500005</v>
      </c>
      <c r="E43" s="626"/>
      <c r="F43" s="627">
        <f t="shared" si="0"/>
        <v>159727.70130625003</v>
      </c>
      <c r="G43" s="626"/>
      <c r="H43" s="626"/>
      <c r="I43" s="626"/>
      <c r="J43" s="626"/>
      <c r="K43" s="626"/>
      <c r="L43" s="626"/>
      <c r="M43" s="626"/>
      <c r="N43" s="626"/>
      <c r="O43" s="626"/>
      <c r="P43" s="628">
        <f t="shared" si="1"/>
        <v>0</v>
      </c>
      <c r="Q43" s="626">
        <f t="shared" si="2"/>
        <v>159727.70130625003</v>
      </c>
      <c r="R43" s="629"/>
      <c r="S43" s="625">
        <f>[49]GER!AK43</f>
        <v>239701.67945568182</v>
      </c>
      <c r="T43" s="625">
        <f t="shared" si="17"/>
        <v>399429.38076193188</v>
      </c>
      <c r="U43" s="258"/>
    </row>
    <row r="44" spans="1:21">
      <c r="A44" s="624">
        <f t="shared" si="3"/>
        <v>2056</v>
      </c>
      <c r="B44" s="625">
        <f t="shared" si="4"/>
        <v>14520.700118750003</v>
      </c>
      <c r="C44" s="626">
        <f t="shared" si="5"/>
        <v>116165.60095000002</v>
      </c>
      <c r="D44" s="626">
        <f t="shared" si="6"/>
        <v>29041.400237500005</v>
      </c>
      <c r="E44" s="626"/>
      <c r="F44" s="627">
        <f t="shared" si="0"/>
        <v>159727.70130625003</v>
      </c>
      <c r="G44" s="626"/>
      <c r="H44" s="626"/>
      <c r="I44" s="626"/>
      <c r="J44" s="626"/>
      <c r="K44" s="626"/>
      <c r="L44" s="626"/>
      <c r="M44" s="626"/>
      <c r="N44" s="626"/>
      <c r="O44" s="626"/>
      <c r="P44" s="628">
        <f t="shared" si="1"/>
        <v>0</v>
      </c>
      <c r="Q44" s="626">
        <f t="shared" si="2"/>
        <v>159727.70130625003</v>
      </c>
      <c r="R44" s="629"/>
      <c r="S44" s="625">
        <f>[49]GER!AK44</f>
        <v>239701.67945568182</v>
      </c>
      <c r="T44" s="625">
        <f t="shared" si="17"/>
        <v>399429.38076193188</v>
      </c>
      <c r="U44" s="258"/>
    </row>
    <row r="45" spans="1:21">
      <c r="A45" s="624">
        <f t="shared" si="3"/>
        <v>2057</v>
      </c>
      <c r="B45" s="625">
        <f t="shared" si="4"/>
        <v>14520.700118750003</v>
      </c>
      <c r="C45" s="626">
        <f t="shared" si="5"/>
        <v>116165.60095000002</v>
      </c>
      <c r="D45" s="626">
        <f t="shared" si="6"/>
        <v>29041.400237500005</v>
      </c>
      <c r="E45" s="626"/>
      <c r="F45" s="627">
        <f t="shared" si="0"/>
        <v>159727.70130625003</v>
      </c>
      <c r="G45" s="626"/>
      <c r="H45" s="626"/>
      <c r="I45" s="626"/>
      <c r="J45" s="626"/>
      <c r="K45" s="626"/>
      <c r="L45" s="626"/>
      <c r="M45" s="626"/>
      <c r="N45" s="626"/>
      <c r="O45" s="626"/>
      <c r="P45" s="628">
        <f t="shared" si="1"/>
        <v>0</v>
      </c>
      <c r="Q45" s="626">
        <f t="shared" si="2"/>
        <v>159727.70130625003</v>
      </c>
      <c r="R45" s="629"/>
      <c r="S45" s="625">
        <f>[49]GER!AK45</f>
        <v>239701.67945568182</v>
      </c>
      <c r="T45" s="625">
        <f t="shared" si="17"/>
        <v>399429.38076193188</v>
      </c>
      <c r="U45" s="258"/>
    </row>
    <row r="46" spans="1:21">
      <c r="A46" s="624">
        <f t="shared" si="3"/>
        <v>2058</v>
      </c>
      <c r="B46" s="625">
        <f t="shared" si="4"/>
        <v>14520.700118750003</v>
      </c>
      <c r="C46" s="626">
        <f t="shared" si="5"/>
        <v>116165.60095000002</v>
      </c>
      <c r="D46" s="626">
        <f t="shared" si="6"/>
        <v>29041.400237500005</v>
      </c>
      <c r="E46" s="626"/>
      <c r="F46" s="627">
        <f t="shared" si="0"/>
        <v>159727.70130625003</v>
      </c>
      <c r="G46" s="626"/>
      <c r="H46" s="626"/>
      <c r="I46" s="626"/>
      <c r="J46" s="626"/>
      <c r="K46" s="626"/>
      <c r="L46" s="626"/>
      <c r="M46" s="626"/>
      <c r="N46" s="626"/>
      <c r="O46" s="626"/>
      <c r="P46" s="628">
        <f t="shared" si="1"/>
        <v>0</v>
      </c>
      <c r="Q46" s="626">
        <f t="shared" si="2"/>
        <v>159727.70130625003</v>
      </c>
      <c r="R46" s="629"/>
      <c r="S46" s="625">
        <f>[49]GER!AK46</f>
        <v>239701.67945568182</v>
      </c>
      <c r="T46" s="625">
        <f t="shared" si="17"/>
        <v>399429.38076193188</v>
      </c>
      <c r="U46" s="258"/>
    </row>
    <row r="47" spans="1:21">
      <c r="A47" s="624">
        <f t="shared" si="3"/>
        <v>2059</v>
      </c>
      <c r="B47" s="625">
        <f>$B$3/$B$4/12*6</f>
        <v>7260.3500593750014</v>
      </c>
      <c r="C47" s="626">
        <f>$C$3/$C$4/12*6</f>
        <v>58082.800475000011</v>
      </c>
      <c r="D47" s="626">
        <f>$D$3/$D$4/12*6</f>
        <v>14520.700118750003</v>
      </c>
      <c r="E47" s="626"/>
      <c r="F47" s="627">
        <f t="shared" si="0"/>
        <v>79863.850653125017</v>
      </c>
      <c r="G47" s="626"/>
      <c r="H47" s="626"/>
      <c r="I47" s="626"/>
      <c r="J47" s="626"/>
      <c r="K47" s="626"/>
      <c r="L47" s="626"/>
      <c r="M47" s="626"/>
      <c r="N47" s="626"/>
      <c r="O47" s="626"/>
      <c r="P47" s="628">
        <f>SUM(G47:O47)</f>
        <v>0</v>
      </c>
      <c r="Q47" s="626">
        <f t="shared" si="2"/>
        <v>79863.850653125017</v>
      </c>
      <c r="R47" s="629"/>
      <c r="S47" s="625">
        <f>[49]GER!AK47</f>
        <v>581376.87905568187</v>
      </c>
      <c r="T47" s="625">
        <f t="shared" si="17"/>
        <v>661240.72970880684</v>
      </c>
      <c r="U47" s="258"/>
    </row>
    <row r="48" spans="1:21">
      <c r="A48" s="624">
        <f t="shared" si="3"/>
        <v>2060</v>
      </c>
      <c r="B48" s="625"/>
      <c r="C48" s="626"/>
      <c r="D48" s="626"/>
      <c r="E48" s="626"/>
      <c r="F48" s="627">
        <f t="shared" si="0"/>
        <v>0</v>
      </c>
      <c r="G48" s="626"/>
      <c r="H48" s="626"/>
      <c r="I48" s="626"/>
      <c r="J48" s="626"/>
      <c r="K48" s="626"/>
      <c r="L48" s="626"/>
      <c r="M48" s="626"/>
      <c r="N48" s="626"/>
      <c r="O48" s="626"/>
      <c r="P48" s="628">
        <f t="shared" si="1"/>
        <v>0</v>
      </c>
      <c r="Q48" s="626">
        <f t="shared" si="2"/>
        <v>0</v>
      </c>
      <c r="R48" s="629"/>
      <c r="S48" s="584"/>
      <c r="T48" s="625">
        <f t="shared" si="17"/>
        <v>0</v>
      </c>
      <c r="U48" s="258"/>
    </row>
    <row r="49" spans="1:20" s="12" customFormat="1">
      <c r="A49" s="630"/>
      <c r="B49" s="631">
        <f t="shared" ref="B49:Q49" si="18">SUM(B7:B48)</f>
        <v>580828.00474999985</v>
      </c>
      <c r="C49" s="632">
        <f t="shared" si="18"/>
        <v>4646624.0379999988</v>
      </c>
      <c r="D49" s="632">
        <f t="shared" si="18"/>
        <v>1161656.0094999997</v>
      </c>
      <c r="E49" s="632">
        <f t="shared" si="18"/>
        <v>580828.00475000031</v>
      </c>
      <c r="F49" s="633">
        <f t="shared" si="18"/>
        <v>6969936.0570000019</v>
      </c>
      <c r="G49" s="632">
        <f t="shared" si="18"/>
        <v>580828.00475000055</v>
      </c>
      <c r="H49" s="632">
        <f t="shared" si="18"/>
        <v>464662.40379999985</v>
      </c>
      <c r="I49" s="632">
        <f t="shared" si="18"/>
        <v>232331.20189999996</v>
      </c>
      <c r="J49" s="632">
        <f t="shared" si="18"/>
        <v>464662.40379999991</v>
      </c>
      <c r="K49" s="632">
        <f t="shared" si="18"/>
        <v>232331.20189999996</v>
      </c>
      <c r="L49" s="632">
        <f t="shared" si="18"/>
        <v>116165.60094999996</v>
      </c>
      <c r="M49" s="632">
        <f t="shared" si="18"/>
        <v>1742484.0142499995</v>
      </c>
      <c r="N49" s="632">
        <f t="shared" si="18"/>
        <v>580828.00475000031</v>
      </c>
      <c r="O49" s="632">
        <f t="shared" si="18"/>
        <v>232331.20189999996</v>
      </c>
      <c r="P49" s="634">
        <f t="shared" si="18"/>
        <v>4646624.0380000053</v>
      </c>
      <c r="Q49" s="632">
        <f t="shared" si="18"/>
        <v>11616560.094999999</v>
      </c>
      <c r="R49" s="635"/>
      <c r="S49" s="631">
        <f>SUM(S7:S47)</f>
        <v>4614750.309799999</v>
      </c>
      <c r="T49" s="625">
        <f t="shared" si="17"/>
        <v>16231310.404799998</v>
      </c>
    </row>
    <row r="50" spans="1:20">
      <c r="A50" s="636"/>
      <c r="B50" s="637">
        <f>B3-B49</f>
        <v>0</v>
      </c>
      <c r="C50" s="572">
        <f t="shared" ref="C50:Q50" si="19">C3-C49</f>
        <v>0</v>
      </c>
      <c r="D50" s="572">
        <f t="shared" si="19"/>
        <v>0</v>
      </c>
      <c r="E50" s="572">
        <f t="shared" si="19"/>
        <v>0</v>
      </c>
      <c r="F50" s="638">
        <f t="shared" si="19"/>
        <v>0</v>
      </c>
      <c r="G50" s="572">
        <f t="shared" si="19"/>
        <v>0</v>
      </c>
      <c r="H50" s="572">
        <f t="shared" si="19"/>
        <v>0</v>
      </c>
      <c r="I50" s="572">
        <f t="shared" si="19"/>
        <v>0</v>
      </c>
      <c r="J50" s="572">
        <f t="shared" si="19"/>
        <v>0</v>
      </c>
      <c r="K50" s="572">
        <f t="shared" si="19"/>
        <v>0</v>
      </c>
      <c r="L50" s="572">
        <f t="shared" si="19"/>
        <v>0</v>
      </c>
      <c r="M50" s="572">
        <f t="shared" si="19"/>
        <v>0</v>
      </c>
      <c r="N50" s="572">
        <f t="shared" si="19"/>
        <v>0</v>
      </c>
      <c r="O50" s="572">
        <f t="shared" si="19"/>
        <v>0</v>
      </c>
      <c r="P50" s="639">
        <f t="shared" si="19"/>
        <v>0</v>
      </c>
      <c r="Q50" s="572">
        <f t="shared" si="19"/>
        <v>0</v>
      </c>
      <c r="R50" s="629"/>
      <c r="S50" s="637">
        <f>S49-S3</f>
        <v>0</v>
      </c>
      <c r="T50" s="565"/>
    </row>
    <row r="51" spans="1:20">
      <c r="B51" s="258"/>
      <c r="C51" s="258"/>
      <c r="D51" s="258"/>
      <c r="E51" s="258"/>
      <c r="F51" s="258"/>
      <c r="G51" s="258"/>
      <c r="H51" s="258"/>
      <c r="I51" s="258"/>
      <c r="J51" s="258"/>
      <c r="K51" s="258"/>
      <c r="L51" s="258"/>
      <c r="M51" s="258"/>
      <c r="N51" s="258"/>
      <c r="O51" s="258"/>
      <c r="P51" s="258"/>
      <c r="Q51" s="258"/>
      <c r="R51" s="629"/>
    </row>
    <row r="52" spans="1:20">
      <c r="B52" s="258"/>
      <c r="C52" s="258"/>
      <c r="D52" s="258"/>
      <c r="E52" s="640"/>
      <c r="F52" s="641"/>
      <c r="G52" s="258"/>
      <c r="H52" s="258"/>
      <c r="I52" s="258"/>
      <c r="J52" s="258"/>
      <c r="K52" s="258"/>
      <c r="L52" s="258"/>
      <c r="M52" s="258"/>
      <c r="N52" s="258"/>
      <c r="O52" s="258"/>
      <c r="P52" s="258"/>
      <c r="Q52" s="258"/>
      <c r="R52" s="629"/>
    </row>
    <row r="53" spans="1:20">
      <c r="A53" s="130"/>
      <c r="B53" s="258"/>
      <c r="C53" s="258"/>
      <c r="D53" s="258"/>
      <c r="E53" s="258"/>
      <c r="F53" s="258"/>
      <c r="G53" s="258"/>
      <c r="H53" s="258"/>
      <c r="I53" s="258"/>
      <c r="J53" s="258"/>
      <c r="K53" s="258"/>
      <c r="L53" s="258"/>
      <c r="M53" s="258"/>
      <c r="N53" s="258"/>
      <c r="O53" s="258"/>
      <c r="P53" s="258"/>
      <c r="Q53" s="258"/>
      <c r="R53" s="629"/>
    </row>
    <row r="54" spans="1:20">
      <c r="A54" s="130"/>
      <c r="B54" s="258"/>
      <c r="C54" s="258"/>
      <c r="D54" s="258"/>
      <c r="E54" s="258"/>
      <c r="F54" s="258"/>
      <c r="G54" s="258"/>
      <c r="H54" s="258"/>
      <c r="I54" s="258"/>
      <c r="J54" s="258"/>
      <c r="K54" s="258"/>
      <c r="L54" s="258"/>
      <c r="M54" s="258"/>
      <c r="N54" s="258"/>
      <c r="O54" s="258"/>
      <c r="P54" s="258"/>
      <c r="Q54" s="258"/>
      <c r="R54" s="629"/>
    </row>
    <row r="55" spans="1:20">
      <c r="D55" s="640"/>
    </row>
    <row r="57" spans="1:20">
      <c r="A57" s="2"/>
      <c r="C57" s="2"/>
      <c r="D57" s="332"/>
      <c r="E57" s="332"/>
    </row>
    <row r="58" spans="1:20">
      <c r="A58" s="2"/>
      <c r="C58" s="2"/>
      <c r="E58" s="332"/>
      <c r="F58" s="332"/>
    </row>
    <row r="59" spans="1:20">
      <c r="A59" s="2"/>
    </row>
    <row r="60" spans="1:20">
      <c r="A60" s="2"/>
      <c r="C60" s="2"/>
      <c r="E60" s="332"/>
    </row>
    <row r="61" spans="1:20">
      <c r="A61" s="2"/>
      <c r="C61" s="2"/>
      <c r="E61" s="332"/>
      <c r="F61" s="258"/>
    </row>
  </sheetData>
  <pageMargins left="0.78740157480314965" right="0.78740157480314965" top="0.98425196850393704" bottom="0.98425196850393704" header="0.51181102362204722" footer="0.51181102362204722"/>
  <pageSetup paperSize="9" scale="55" orientation="landscape" horizontalDpi="4294967293" r:id="rId1"/>
  <headerFooter alignWithMargins="0">
    <oddHeader>&amp;LSODEGIS&amp;CPLAN D'AMORTISSEMENT
RESIDENCE UNIVERSITAIRE
CAMPUS UNIVERSITAIRE DE SAINT-PIERRE&amp;RPLS
VD</oddHeader>
  </headerFooter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F0"/>
    <pageSetUpPr fitToPage="1"/>
  </sheetPr>
  <dimension ref="A1:R59"/>
  <sheetViews>
    <sheetView showGridLines="0" workbookViewId="0">
      <selection activeCell="G9" sqref="G9"/>
    </sheetView>
  </sheetViews>
  <sheetFormatPr baseColWidth="10" defaultRowHeight="12.75"/>
  <cols>
    <col min="1" max="1" width="15.5703125" style="1" customWidth="1"/>
    <col min="2" max="2" width="9.7109375" style="1" bestFit="1" customWidth="1"/>
    <col min="3" max="3" width="11.85546875" style="1" customWidth="1"/>
    <col min="4" max="4" width="10.5703125" style="1" bestFit="1" customWidth="1"/>
    <col min="5" max="5" width="8.140625" style="1" bestFit="1" customWidth="1"/>
    <col min="6" max="6" width="9.7109375" style="1" bestFit="1" customWidth="1"/>
    <col min="7" max="7" width="12.140625" style="1" bestFit="1" customWidth="1"/>
    <col min="8" max="8" width="13.28515625" style="1" bestFit="1" customWidth="1"/>
    <col min="9" max="10" width="12.140625" style="1" customWidth="1"/>
    <col min="11" max="11" width="14.140625" style="1" customWidth="1"/>
    <col min="12" max="12" width="15.140625" style="1" customWidth="1"/>
    <col min="13" max="13" width="14.140625" style="1" customWidth="1"/>
    <col min="14" max="14" width="12.42578125" style="1" bestFit="1" customWidth="1"/>
    <col min="15" max="15" width="12.140625" style="1" bestFit="1" customWidth="1"/>
    <col min="16" max="17" width="11.42578125" style="1"/>
    <col min="18" max="18" width="2.85546875" style="5" customWidth="1"/>
    <col min="19" max="256" width="11.42578125" style="1"/>
    <col min="257" max="257" width="15.5703125" style="1" customWidth="1"/>
    <col min="258" max="258" width="9.7109375" style="1" bestFit="1" customWidth="1"/>
    <col min="259" max="259" width="11.85546875" style="1" customWidth="1"/>
    <col min="260" max="260" width="10.5703125" style="1" bestFit="1" customWidth="1"/>
    <col min="261" max="261" width="8.140625" style="1" bestFit="1" customWidth="1"/>
    <col min="262" max="262" width="9.7109375" style="1" bestFit="1" customWidth="1"/>
    <col min="263" max="263" width="12.140625" style="1" bestFit="1" customWidth="1"/>
    <col min="264" max="264" width="13.28515625" style="1" bestFit="1" customWidth="1"/>
    <col min="265" max="266" width="12.140625" style="1" customWidth="1"/>
    <col min="267" max="267" width="14.140625" style="1" customWidth="1"/>
    <col min="268" max="268" width="15.140625" style="1" customWidth="1"/>
    <col min="269" max="269" width="14.140625" style="1" customWidth="1"/>
    <col min="270" max="270" width="12.42578125" style="1" bestFit="1" customWidth="1"/>
    <col min="271" max="271" width="12.140625" style="1" bestFit="1" customWidth="1"/>
    <col min="272" max="273" width="11.42578125" style="1"/>
    <col min="274" max="274" width="2.85546875" style="1" customWidth="1"/>
    <col min="275" max="512" width="11.42578125" style="1"/>
    <col min="513" max="513" width="15.5703125" style="1" customWidth="1"/>
    <col min="514" max="514" width="9.7109375" style="1" bestFit="1" customWidth="1"/>
    <col min="515" max="515" width="11.85546875" style="1" customWidth="1"/>
    <col min="516" max="516" width="10.5703125" style="1" bestFit="1" customWidth="1"/>
    <col min="517" max="517" width="8.140625" style="1" bestFit="1" customWidth="1"/>
    <col min="518" max="518" width="9.7109375" style="1" bestFit="1" customWidth="1"/>
    <col min="519" max="519" width="12.140625" style="1" bestFit="1" customWidth="1"/>
    <col min="520" max="520" width="13.28515625" style="1" bestFit="1" customWidth="1"/>
    <col min="521" max="522" width="12.140625" style="1" customWidth="1"/>
    <col min="523" max="523" width="14.140625" style="1" customWidth="1"/>
    <col min="524" max="524" width="15.140625" style="1" customWidth="1"/>
    <col min="525" max="525" width="14.140625" style="1" customWidth="1"/>
    <col min="526" max="526" width="12.42578125" style="1" bestFit="1" customWidth="1"/>
    <col min="527" max="527" width="12.140625" style="1" bestFit="1" customWidth="1"/>
    <col min="528" max="529" width="11.42578125" style="1"/>
    <col min="530" max="530" width="2.85546875" style="1" customWidth="1"/>
    <col min="531" max="768" width="11.42578125" style="1"/>
    <col min="769" max="769" width="15.5703125" style="1" customWidth="1"/>
    <col min="770" max="770" width="9.7109375" style="1" bestFit="1" customWidth="1"/>
    <col min="771" max="771" width="11.85546875" style="1" customWidth="1"/>
    <col min="772" max="772" width="10.5703125" style="1" bestFit="1" customWidth="1"/>
    <col min="773" max="773" width="8.140625" style="1" bestFit="1" customWidth="1"/>
    <col min="774" max="774" width="9.7109375" style="1" bestFit="1" customWidth="1"/>
    <col min="775" max="775" width="12.140625" style="1" bestFit="1" customWidth="1"/>
    <col min="776" max="776" width="13.28515625" style="1" bestFit="1" customWidth="1"/>
    <col min="777" max="778" width="12.140625" style="1" customWidth="1"/>
    <col min="779" max="779" width="14.140625" style="1" customWidth="1"/>
    <col min="780" max="780" width="15.140625" style="1" customWidth="1"/>
    <col min="781" max="781" width="14.140625" style="1" customWidth="1"/>
    <col min="782" max="782" width="12.42578125" style="1" bestFit="1" customWidth="1"/>
    <col min="783" max="783" width="12.140625" style="1" bestFit="1" customWidth="1"/>
    <col min="784" max="785" width="11.42578125" style="1"/>
    <col min="786" max="786" width="2.85546875" style="1" customWidth="1"/>
    <col min="787" max="1024" width="11.42578125" style="1"/>
    <col min="1025" max="1025" width="15.5703125" style="1" customWidth="1"/>
    <col min="1026" max="1026" width="9.7109375" style="1" bestFit="1" customWidth="1"/>
    <col min="1027" max="1027" width="11.85546875" style="1" customWidth="1"/>
    <col min="1028" max="1028" width="10.5703125" style="1" bestFit="1" customWidth="1"/>
    <col min="1029" max="1029" width="8.140625" style="1" bestFit="1" customWidth="1"/>
    <col min="1030" max="1030" width="9.7109375" style="1" bestFit="1" customWidth="1"/>
    <col min="1031" max="1031" width="12.140625" style="1" bestFit="1" customWidth="1"/>
    <col min="1032" max="1032" width="13.28515625" style="1" bestFit="1" customWidth="1"/>
    <col min="1033" max="1034" width="12.140625" style="1" customWidth="1"/>
    <col min="1035" max="1035" width="14.140625" style="1" customWidth="1"/>
    <col min="1036" max="1036" width="15.140625" style="1" customWidth="1"/>
    <col min="1037" max="1037" width="14.140625" style="1" customWidth="1"/>
    <col min="1038" max="1038" width="12.42578125" style="1" bestFit="1" customWidth="1"/>
    <col min="1039" max="1039" width="12.140625" style="1" bestFit="1" customWidth="1"/>
    <col min="1040" max="1041" width="11.42578125" style="1"/>
    <col min="1042" max="1042" width="2.85546875" style="1" customWidth="1"/>
    <col min="1043" max="1280" width="11.42578125" style="1"/>
    <col min="1281" max="1281" width="15.5703125" style="1" customWidth="1"/>
    <col min="1282" max="1282" width="9.7109375" style="1" bestFit="1" customWidth="1"/>
    <col min="1283" max="1283" width="11.85546875" style="1" customWidth="1"/>
    <col min="1284" max="1284" width="10.5703125" style="1" bestFit="1" customWidth="1"/>
    <col min="1285" max="1285" width="8.140625" style="1" bestFit="1" customWidth="1"/>
    <col min="1286" max="1286" width="9.7109375" style="1" bestFit="1" customWidth="1"/>
    <col min="1287" max="1287" width="12.140625" style="1" bestFit="1" customWidth="1"/>
    <col min="1288" max="1288" width="13.28515625" style="1" bestFit="1" customWidth="1"/>
    <col min="1289" max="1290" width="12.140625" style="1" customWidth="1"/>
    <col min="1291" max="1291" width="14.140625" style="1" customWidth="1"/>
    <col min="1292" max="1292" width="15.140625" style="1" customWidth="1"/>
    <col min="1293" max="1293" width="14.140625" style="1" customWidth="1"/>
    <col min="1294" max="1294" width="12.42578125" style="1" bestFit="1" customWidth="1"/>
    <col min="1295" max="1295" width="12.140625" style="1" bestFit="1" customWidth="1"/>
    <col min="1296" max="1297" width="11.42578125" style="1"/>
    <col min="1298" max="1298" width="2.85546875" style="1" customWidth="1"/>
    <col min="1299" max="1536" width="11.42578125" style="1"/>
    <col min="1537" max="1537" width="15.5703125" style="1" customWidth="1"/>
    <col min="1538" max="1538" width="9.7109375" style="1" bestFit="1" customWidth="1"/>
    <col min="1539" max="1539" width="11.85546875" style="1" customWidth="1"/>
    <col min="1540" max="1540" width="10.5703125" style="1" bestFit="1" customWidth="1"/>
    <col min="1541" max="1541" width="8.140625" style="1" bestFit="1" customWidth="1"/>
    <col min="1542" max="1542" width="9.7109375" style="1" bestFit="1" customWidth="1"/>
    <col min="1543" max="1543" width="12.140625" style="1" bestFit="1" customWidth="1"/>
    <col min="1544" max="1544" width="13.28515625" style="1" bestFit="1" customWidth="1"/>
    <col min="1545" max="1546" width="12.140625" style="1" customWidth="1"/>
    <col min="1547" max="1547" width="14.140625" style="1" customWidth="1"/>
    <col min="1548" max="1548" width="15.140625" style="1" customWidth="1"/>
    <col min="1549" max="1549" width="14.140625" style="1" customWidth="1"/>
    <col min="1550" max="1550" width="12.42578125" style="1" bestFit="1" customWidth="1"/>
    <col min="1551" max="1551" width="12.140625" style="1" bestFit="1" customWidth="1"/>
    <col min="1552" max="1553" width="11.42578125" style="1"/>
    <col min="1554" max="1554" width="2.85546875" style="1" customWidth="1"/>
    <col min="1555" max="1792" width="11.42578125" style="1"/>
    <col min="1793" max="1793" width="15.5703125" style="1" customWidth="1"/>
    <col min="1794" max="1794" width="9.7109375" style="1" bestFit="1" customWidth="1"/>
    <col min="1795" max="1795" width="11.85546875" style="1" customWidth="1"/>
    <col min="1796" max="1796" width="10.5703125" style="1" bestFit="1" customWidth="1"/>
    <col min="1797" max="1797" width="8.140625" style="1" bestFit="1" customWidth="1"/>
    <col min="1798" max="1798" width="9.7109375" style="1" bestFit="1" customWidth="1"/>
    <col min="1799" max="1799" width="12.140625" style="1" bestFit="1" customWidth="1"/>
    <col min="1800" max="1800" width="13.28515625" style="1" bestFit="1" customWidth="1"/>
    <col min="1801" max="1802" width="12.140625" style="1" customWidth="1"/>
    <col min="1803" max="1803" width="14.140625" style="1" customWidth="1"/>
    <col min="1804" max="1804" width="15.140625" style="1" customWidth="1"/>
    <col min="1805" max="1805" width="14.140625" style="1" customWidth="1"/>
    <col min="1806" max="1806" width="12.42578125" style="1" bestFit="1" customWidth="1"/>
    <col min="1807" max="1807" width="12.140625" style="1" bestFit="1" customWidth="1"/>
    <col min="1808" max="1809" width="11.42578125" style="1"/>
    <col min="1810" max="1810" width="2.85546875" style="1" customWidth="1"/>
    <col min="1811" max="2048" width="11.42578125" style="1"/>
    <col min="2049" max="2049" width="15.5703125" style="1" customWidth="1"/>
    <col min="2050" max="2050" width="9.7109375" style="1" bestFit="1" customWidth="1"/>
    <col min="2051" max="2051" width="11.85546875" style="1" customWidth="1"/>
    <col min="2052" max="2052" width="10.5703125" style="1" bestFit="1" customWidth="1"/>
    <col min="2053" max="2053" width="8.140625" style="1" bestFit="1" customWidth="1"/>
    <col min="2054" max="2054" width="9.7109375" style="1" bestFit="1" customWidth="1"/>
    <col min="2055" max="2055" width="12.140625" style="1" bestFit="1" customWidth="1"/>
    <col min="2056" max="2056" width="13.28515625" style="1" bestFit="1" customWidth="1"/>
    <col min="2057" max="2058" width="12.140625" style="1" customWidth="1"/>
    <col min="2059" max="2059" width="14.140625" style="1" customWidth="1"/>
    <col min="2060" max="2060" width="15.140625" style="1" customWidth="1"/>
    <col min="2061" max="2061" width="14.140625" style="1" customWidth="1"/>
    <col min="2062" max="2062" width="12.42578125" style="1" bestFit="1" customWidth="1"/>
    <col min="2063" max="2063" width="12.140625" style="1" bestFit="1" customWidth="1"/>
    <col min="2064" max="2065" width="11.42578125" style="1"/>
    <col min="2066" max="2066" width="2.85546875" style="1" customWidth="1"/>
    <col min="2067" max="2304" width="11.42578125" style="1"/>
    <col min="2305" max="2305" width="15.5703125" style="1" customWidth="1"/>
    <col min="2306" max="2306" width="9.7109375" style="1" bestFit="1" customWidth="1"/>
    <col min="2307" max="2307" width="11.85546875" style="1" customWidth="1"/>
    <col min="2308" max="2308" width="10.5703125" style="1" bestFit="1" customWidth="1"/>
    <col min="2309" max="2309" width="8.140625" style="1" bestFit="1" customWidth="1"/>
    <col min="2310" max="2310" width="9.7109375" style="1" bestFit="1" customWidth="1"/>
    <col min="2311" max="2311" width="12.140625" style="1" bestFit="1" customWidth="1"/>
    <col min="2312" max="2312" width="13.28515625" style="1" bestFit="1" customWidth="1"/>
    <col min="2313" max="2314" width="12.140625" style="1" customWidth="1"/>
    <col min="2315" max="2315" width="14.140625" style="1" customWidth="1"/>
    <col min="2316" max="2316" width="15.140625" style="1" customWidth="1"/>
    <col min="2317" max="2317" width="14.140625" style="1" customWidth="1"/>
    <col min="2318" max="2318" width="12.42578125" style="1" bestFit="1" customWidth="1"/>
    <col min="2319" max="2319" width="12.140625" style="1" bestFit="1" customWidth="1"/>
    <col min="2320" max="2321" width="11.42578125" style="1"/>
    <col min="2322" max="2322" width="2.85546875" style="1" customWidth="1"/>
    <col min="2323" max="2560" width="11.42578125" style="1"/>
    <col min="2561" max="2561" width="15.5703125" style="1" customWidth="1"/>
    <col min="2562" max="2562" width="9.7109375" style="1" bestFit="1" customWidth="1"/>
    <col min="2563" max="2563" width="11.85546875" style="1" customWidth="1"/>
    <col min="2564" max="2564" width="10.5703125" style="1" bestFit="1" customWidth="1"/>
    <col min="2565" max="2565" width="8.140625" style="1" bestFit="1" customWidth="1"/>
    <col min="2566" max="2566" width="9.7109375" style="1" bestFit="1" customWidth="1"/>
    <col min="2567" max="2567" width="12.140625" style="1" bestFit="1" customWidth="1"/>
    <col min="2568" max="2568" width="13.28515625" style="1" bestFit="1" customWidth="1"/>
    <col min="2569" max="2570" width="12.140625" style="1" customWidth="1"/>
    <col min="2571" max="2571" width="14.140625" style="1" customWidth="1"/>
    <col min="2572" max="2572" width="15.140625" style="1" customWidth="1"/>
    <col min="2573" max="2573" width="14.140625" style="1" customWidth="1"/>
    <col min="2574" max="2574" width="12.42578125" style="1" bestFit="1" customWidth="1"/>
    <col min="2575" max="2575" width="12.140625" style="1" bestFit="1" customWidth="1"/>
    <col min="2576" max="2577" width="11.42578125" style="1"/>
    <col min="2578" max="2578" width="2.85546875" style="1" customWidth="1"/>
    <col min="2579" max="2816" width="11.42578125" style="1"/>
    <col min="2817" max="2817" width="15.5703125" style="1" customWidth="1"/>
    <col min="2818" max="2818" width="9.7109375" style="1" bestFit="1" customWidth="1"/>
    <col min="2819" max="2819" width="11.85546875" style="1" customWidth="1"/>
    <col min="2820" max="2820" width="10.5703125" style="1" bestFit="1" customWidth="1"/>
    <col min="2821" max="2821" width="8.140625" style="1" bestFit="1" customWidth="1"/>
    <col min="2822" max="2822" width="9.7109375" style="1" bestFit="1" customWidth="1"/>
    <col min="2823" max="2823" width="12.140625" style="1" bestFit="1" customWidth="1"/>
    <col min="2824" max="2824" width="13.28515625" style="1" bestFit="1" customWidth="1"/>
    <col min="2825" max="2826" width="12.140625" style="1" customWidth="1"/>
    <col min="2827" max="2827" width="14.140625" style="1" customWidth="1"/>
    <col min="2828" max="2828" width="15.140625" style="1" customWidth="1"/>
    <col min="2829" max="2829" width="14.140625" style="1" customWidth="1"/>
    <col min="2830" max="2830" width="12.42578125" style="1" bestFit="1" customWidth="1"/>
    <col min="2831" max="2831" width="12.140625" style="1" bestFit="1" customWidth="1"/>
    <col min="2832" max="2833" width="11.42578125" style="1"/>
    <col min="2834" max="2834" width="2.85546875" style="1" customWidth="1"/>
    <col min="2835" max="3072" width="11.42578125" style="1"/>
    <col min="3073" max="3073" width="15.5703125" style="1" customWidth="1"/>
    <col min="3074" max="3074" width="9.7109375" style="1" bestFit="1" customWidth="1"/>
    <col min="3075" max="3075" width="11.85546875" style="1" customWidth="1"/>
    <col min="3076" max="3076" width="10.5703125" style="1" bestFit="1" customWidth="1"/>
    <col min="3077" max="3077" width="8.140625" style="1" bestFit="1" customWidth="1"/>
    <col min="3078" max="3078" width="9.7109375" style="1" bestFit="1" customWidth="1"/>
    <col min="3079" max="3079" width="12.140625" style="1" bestFit="1" customWidth="1"/>
    <col min="3080" max="3080" width="13.28515625" style="1" bestFit="1" customWidth="1"/>
    <col min="3081" max="3082" width="12.140625" style="1" customWidth="1"/>
    <col min="3083" max="3083" width="14.140625" style="1" customWidth="1"/>
    <col min="3084" max="3084" width="15.140625" style="1" customWidth="1"/>
    <col min="3085" max="3085" width="14.140625" style="1" customWidth="1"/>
    <col min="3086" max="3086" width="12.42578125" style="1" bestFit="1" customWidth="1"/>
    <col min="3087" max="3087" width="12.140625" style="1" bestFit="1" customWidth="1"/>
    <col min="3088" max="3089" width="11.42578125" style="1"/>
    <col min="3090" max="3090" width="2.85546875" style="1" customWidth="1"/>
    <col min="3091" max="3328" width="11.42578125" style="1"/>
    <col min="3329" max="3329" width="15.5703125" style="1" customWidth="1"/>
    <col min="3330" max="3330" width="9.7109375" style="1" bestFit="1" customWidth="1"/>
    <col min="3331" max="3331" width="11.85546875" style="1" customWidth="1"/>
    <col min="3332" max="3332" width="10.5703125" style="1" bestFit="1" customWidth="1"/>
    <col min="3333" max="3333" width="8.140625" style="1" bestFit="1" customWidth="1"/>
    <col min="3334" max="3334" width="9.7109375" style="1" bestFit="1" customWidth="1"/>
    <col min="3335" max="3335" width="12.140625" style="1" bestFit="1" customWidth="1"/>
    <col min="3336" max="3336" width="13.28515625" style="1" bestFit="1" customWidth="1"/>
    <col min="3337" max="3338" width="12.140625" style="1" customWidth="1"/>
    <col min="3339" max="3339" width="14.140625" style="1" customWidth="1"/>
    <col min="3340" max="3340" width="15.140625" style="1" customWidth="1"/>
    <col min="3341" max="3341" width="14.140625" style="1" customWidth="1"/>
    <col min="3342" max="3342" width="12.42578125" style="1" bestFit="1" customWidth="1"/>
    <col min="3343" max="3343" width="12.140625" style="1" bestFit="1" customWidth="1"/>
    <col min="3344" max="3345" width="11.42578125" style="1"/>
    <col min="3346" max="3346" width="2.85546875" style="1" customWidth="1"/>
    <col min="3347" max="3584" width="11.42578125" style="1"/>
    <col min="3585" max="3585" width="15.5703125" style="1" customWidth="1"/>
    <col min="3586" max="3586" width="9.7109375" style="1" bestFit="1" customWidth="1"/>
    <col min="3587" max="3587" width="11.85546875" style="1" customWidth="1"/>
    <col min="3588" max="3588" width="10.5703125" style="1" bestFit="1" customWidth="1"/>
    <col min="3589" max="3589" width="8.140625" style="1" bestFit="1" customWidth="1"/>
    <col min="3590" max="3590" width="9.7109375" style="1" bestFit="1" customWidth="1"/>
    <col min="3591" max="3591" width="12.140625" style="1" bestFit="1" customWidth="1"/>
    <col min="3592" max="3592" width="13.28515625" style="1" bestFit="1" customWidth="1"/>
    <col min="3593" max="3594" width="12.140625" style="1" customWidth="1"/>
    <col min="3595" max="3595" width="14.140625" style="1" customWidth="1"/>
    <col min="3596" max="3596" width="15.140625" style="1" customWidth="1"/>
    <col min="3597" max="3597" width="14.140625" style="1" customWidth="1"/>
    <col min="3598" max="3598" width="12.42578125" style="1" bestFit="1" customWidth="1"/>
    <col min="3599" max="3599" width="12.140625" style="1" bestFit="1" customWidth="1"/>
    <col min="3600" max="3601" width="11.42578125" style="1"/>
    <col min="3602" max="3602" width="2.85546875" style="1" customWidth="1"/>
    <col min="3603" max="3840" width="11.42578125" style="1"/>
    <col min="3841" max="3841" width="15.5703125" style="1" customWidth="1"/>
    <col min="3842" max="3842" width="9.7109375" style="1" bestFit="1" customWidth="1"/>
    <col min="3843" max="3843" width="11.85546875" style="1" customWidth="1"/>
    <col min="3844" max="3844" width="10.5703125" style="1" bestFit="1" customWidth="1"/>
    <col min="3845" max="3845" width="8.140625" style="1" bestFit="1" customWidth="1"/>
    <col min="3846" max="3846" width="9.7109375" style="1" bestFit="1" customWidth="1"/>
    <col min="3847" max="3847" width="12.140625" style="1" bestFit="1" customWidth="1"/>
    <col min="3848" max="3848" width="13.28515625" style="1" bestFit="1" customWidth="1"/>
    <col min="3849" max="3850" width="12.140625" style="1" customWidth="1"/>
    <col min="3851" max="3851" width="14.140625" style="1" customWidth="1"/>
    <col min="3852" max="3852" width="15.140625" style="1" customWidth="1"/>
    <col min="3853" max="3853" width="14.140625" style="1" customWidth="1"/>
    <col min="3854" max="3854" width="12.42578125" style="1" bestFit="1" customWidth="1"/>
    <col min="3855" max="3855" width="12.140625" style="1" bestFit="1" customWidth="1"/>
    <col min="3856" max="3857" width="11.42578125" style="1"/>
    <col min="3858" max="3858" width="2.85546875" style="1" customWidth="1"/>
    <col min="3859" max="4096" width="11.42578125" style="1"/>
    <col min="4097" max="4097" width="15.5703125" style="1" customWidth="1"/>
    <col min="4098" max="4098" width="9.7109375" style="1" bestFit="1" customWidth="1"/>
    <col min="4099" max="4099" width="11.85546875" style="1" customWidth="1"/>
    <col min="4100" max="4100" width="10.5703125" style="1" bestFit="1" customWidth="1"/>
    <col min="4101" max="4101" width="8.140625" style="1" bestFit="1" customWidth="1"/>
    <col min="4102" max="4102" width="9.7109375" style="1" bestFit="1" customWidth="1"/>
    <col min="4103" max="4103" width="12.140625" style="1" bestFit="1" customWidth="1"/>
    <col min="4104" max="4104" width="13.28515625" style="1" bestFit="1" customWidth="1"/>
    <col min="4105" max="4106" width="12.140625" style="1" customWidth="1"/>
    <col min="4107" max="4107" width="14.140625" style="1" customWidth="1"/>
    <col min="4108" max="4108" width="15.140625" style="1" customWidth="1"/>
    <col min="4109" max="4109" width="14.140625" style="1" customWidth="1"/>
    <col min="4110" max="4110" width="12.42578125" style="1" bestFit="1" customWidth="1"/>
    <col min="4111" max="4111" width="12.140625" style="1" bestFit="1" customWidth="1"/>
    <col min="4112" max="4113" width="11.42578125" style="1"/>
    <col min="4114" max="4114" width="2.85546875" style="1" customWidth="1"/>
    <col min="4115" max="4352" width="11.42578125" style="1"/>
    <col min="4353" max="4353" width="15.5703125" style="1" customWidth="1"/>
    <col min="4354" max="4354" width="9.7109375" style="1" bestFit="1" customWidth="1"/>
    <col min="4355" max="4355" width="11.85546875" style="1" customWidth="1"/>
    <col min="4356" max="4356" width="10.5703125" style="1" bestFit="1" customWidth="1"/>
    <col min="4357" max="4357" width="8.140625" style="1" bestFit="1" customWidth="1"/>
    <col min="4358" max="4358" width="9.7109375" style="1" bestFit="1" customWidth="1"/>
    <col min="4359" max="4359" width="12.140625" style="1" bestFit="1" customWidth="1"/>
    <col min="4360" max="4360" width="13.28515625" style="1" bestFit="1" customWidth="1"/>
    <col min="4361" max="4362" width="12.140625" style="1" customWidth="1"/>
    <col min="4363" max="4363" width="14.140625" style="1" customWidth="1"/>
    <col min="4364" max="4364" width="15.140625" style="1" customWidth="1"/>
    <col min="4365" max="4365" width="14.140625" style="1" customWidth="1"/>
    <col min="4366" max="4366" width="12.42578125" style="1" bestFit="1" customWidth="1"/>
    <col min="4367" max="4367" width="12.140625" style="1" bestFit="1" customWidth="1"/>
    <col min="4368" max="4369" width="11.42578125" style="1"/>
    <col min="4370" max="4370" width="2.85546875" style="1" customWidth="1"/>
    <col min="4371" max="4608" width="11.42578125" style="1"/>
    <col min="4609" max="4609" width="15.5703125" style="1" customWidth="1"/>
    <col min="4610" max="4610" width="9.7109375" style="1" bestFit="1" customWidth="1"/>
    <col min="4611" max="4611" width="11.85546875" style="1" customWidth="1"/>
    <col min="4612" max="4612" width="10.5703125" style="1" bestFit="1" customWidth="1"/>
    <col min="4613" max="4613" width="8.140625" style="1" bestFit="1" customWidth="1"/>
    <col min="4614" max="4614" width="9.7109375" style="1" bestFit="1" customWidth="1"/>
    <col min="4615" max="4615" width="12.140625" style="1" bestFit="1" customWidth="1"/>
    <col min="4616" max="4616" width="13.28515625" style="1" bestFit="1" customWidth="1"/>
    <col min="4617" max="4618" width="12.140625" style="1" customWidth="1"/>
    <col min="4619" max="4619" width="14.140625" style="1" customWidth="1"/>
    <col min="4620" max="4620" width="15.140625" style="1" customWidth="1"/>
    <col min="4621" max="4621" width="14.140625" style="1" customWidth="1"/>
    <col min="4622" max="4622" width="12.42578125" style="1" bestFit="1" customWidth="1"/>
    <col min="4623" max="4623" width="12.140625" style="1" bestFit="1" customWidth="1"/>
    <col min="4624" max="4625" width="11.42578125" style="1"/>
    <col min="4626" max="4626" width="2.85546875" style="1" customWidth="1"/>
    <col min="4627" max="4864" width="11.42578125" style="1"/>
    <col min="4865" max="4865" width="15.5703125" style="1" customWidth="1"/>
    <col min="4866" max="4866" width="9.7109375" style="1" bestFit="1" customWidth="1"/>
    <col min="4867" max="4867" width="11.85546875" style="1" customWidth="1"/>
    <col min="4868" max="4868" width="10.5703125" style="1" bestFit="1" customWidth="1"/>
    <col min="4869" max="4869" width="8.140625" style="1" bestFit="1" customWidth="1"/>
    <col min="4870" max="4870" width="9.7109375" style="1" bestFit="1" customWidth="1"/>
    <col min="4871" max="4871" width="12.140625" style="1" bestFit="1" customWidth="1"/>
    <col min="4872" max="4872" width="13.28515625" style="1" bestFit="1" customWidth="1"/>
    <col min="4873" max="4874" width="12.140625" style="1" customWidth="1"/>
    <col min="4875" max="4875" width="14.140625" style="1" customWidth="1"/>
    <col min="4876" max="4876" width="15.140625" style="1" customWidth="1"/>
    <col min="4877" max="4877" width="14.140625" style="1" customWidth="1"/>
    <col min="4878" max="4878" width="12.42578125" style="1" bestFit="1" customWidth="1"/>
    <col min="4879" max="4879" width="12.140625" style="1" bestFit="1" customWidth="1"/>
    <col min="4880" max="4881" width="11.42578125" style="1"/>
    <col min="4882" max="4882" width="2.85546875" style="1" customWidth="1"/>
    <col min="4883" max="5120" width="11.42578125" style="1"/>
    <col min="5121" max="5121" width="15.5703125" style="1" customWidth="1"/>
    <col min="5122" max="5122" width="9.7109375" style="1" bestFit="1" customWidth="1"/>
    <col min="5123" max="5123" width="11.85546875" style="1" customWidth="1"/>
    <col min="5124" max="5124" width="10.5703125" style="1" bestFit="1" customWidth="1"/>
    <col min="5125" max="5125" width="8.140625" style="1" bestFit="1" customWidth="1"/>
    <col min="5126" max="5126" width="9.7109375" style="1" bestFit="1" customWidth="1"/>
    <col min="5127" max="5127" width="12.140625" style="1" bestFit="1" customWidth="1"/>
    <col min="5128" max="5128" width="13.28515625" style="1" bestFit="1" customWidth="1"/>
    <col min="5129" max="5130" width="12.140625" style="1" customWidth="1"/>
    <col min="5131" max="5131" width="14.140625" style="1" customWidth="1"/>
    <col min="5132" max="5132" width="15.140625" style="1" customWidth="1"/>
    <col min="5133" max="5133" width="14.140625" style="1" customWidth="1"/>
    <col min="5134" max="5134" width="12.42578125" style="1" bestFit="1" customWidth="1"/>
    <col min="5135" max="5135" width="12.140625" style="1" bestFit="1" customWidth="1"/>
    <col min="5136" max="5137" width="11.42578125" style="1"/>
    <col min="5138" max="5138" width="2.85546875" style="1" customWidth="1"/>
    <col min="5139" max="5376" width="11.42578125" style="1"/>
    <col min="5377" max="5377" width="15.5703125" style="1" customWidth="1"/>
    <col min="5378" max="5378" width="9.7109375" style="1" bestFit="1" customWidth="1"/>
    <col min="5379" max="5379" width="11.85546875" style="1" customWidth="1"/>
    <col min="5380" max="5380" width="10.5703125" style="1" bestFit="1" customWidth="1"/>
    <col min="5381" max="5381" width="8.140625" style="1" bestFit="1" customWidth="1"/>
    <col min="5382" max="5382" width="9.7109375" style="1" bestFit="1" customWidth="1"/>
    <col min="5383" max="5383" width="12.140625" style="1" bestFit="1" customWidth="1"/>
    <col min="5384" max="5384" width="13.28515625" style="1" bestFit="1" customWidth="1"/>
    <col min="5385" max="5386" width="12.140625" style="1" customWidth="1"/>
    <col min="5387" max="5387" width="14.140625" style="1" customWidth="1"/>
    <col min="5388" max="5388" width="15.140625" style="1" customWidth="1"/>
    <col min="5389" max="5389" width="14.140625" style="1" customWidth="1"/>
    <col min="5390" max="5390" width="12.42578125" style="1" bestFit="1" customWidth="1"/>
    <col min="5391" max="5391" width="12.140625" style="1" bestFit="1" customWidth="1"/>
    <col min="5392" max="5393" width="11.42578125" style="1"/>
    <col min="5394" max="5394" width="2.85546875" style="1" customWidth="1"/>
    <col min="5395" max="5632" width="11.42578125" style="1"/>
    <col min="5633" max="5633" width="15.5703125" style="1" customWidth="1"/>
    <col min="5634" max="5634" width="9.7109375" style="1" bestFit="1" customWidth="1"/>
    <col min="5635" max="5635" width="11.85546875" style="1" customWidth="1"/>
    <col min="5636" max="5636" width="10.5703125" style="1" bestFit="1" customWidth="1"/>
    <col min="5637" max="5637" width="8.140625" style="1" bestFit="1" customWidth="1"/>
    <col min="5638" max="5638" width="9.7109375" style="1" bestFit="1" customWidth="1"/>
    <col min="5639" max="5639" width="12.140625" style="1" bestFit="1" customWidth="1"/>
    <col min="5640" max="5640" width="13.28515625" style="1" bestFit="1" customWidth="1"/>
    <col min="5641" max="5642" width="12.140625" style="1" customWidth="1"/>
    <col min="5643" max="5643" width="14.140625" style="1" customWidth="1"/>
    <col min="5644" max="5644" width="15.140625" style="1" customWidth="1"/>
    <col min="5645" max="5645" width="14.140625" style="1" customWidth="1"/>
    <col min="5646" max="5646" width="12.42578125" style="1" bestFit="1" customWidth="1"/>
    <col min="5647" max="5647" width="12.140625" style="1" bestFit="1" customWidth="1"/>
    <col min="5648" max="5649" width="11.42578125" style="1"/>
    <col min="5650" max="5650" width="2.85546875" style="1" customWidth="1"/>
    <col min="5651" max="5888" width="11.42578125" style="1"/>
    <col min="5889" max="5889" width="15.5703125" style="1" customWidth="1"/>
    <col min="5890" max="5890" width="9.7109375" style="1" bestFit="1" customWidth="1"/>
    <col min="5891" max="5891" width="11.85546875" style="1" customWidth="1"/>
    <col min="5892" max="5892" width="10.5703125" style="1" bestFit="1" customWidth="1"/>
    <col min="5893" max="5893" width="8.140625" style="1" bestFit="1" customWidth="1"/>
    <col min="5894" max="5894" width="9.7109375" style="1" bestFit="1" customWidth="1"/>
    <col min="5895" max="5895" width="12.140625" style="1" bestFit="1" customWidth="1"/>
    <col min="5896" max="5896" width="13.28515625" style="1" bestFit="1" customWidth="1"/>
    <col min="5897" max="5898" width="12.140625" style="1" customWidth="1"/>
    <col min="5899" max="5899" width="14.140625" style="1" customWidth="1"/>
    <col min="5900" max="5900" width="15.140625" style="1" customWidth="1"/>
    <col min="5901" max="5901" width="14.140625" style="1" customWidth="1"/>
    <col min="5902" max="5902" width="12.42578125" style="1" bestFit="1" customWidth="1"/>
    <col min="5903" max="5903" width="12.140625" style="1" bestFit="1" customWidth="1"/>
    <col min="5904" max="5905" width="11.42578125" style="1"/>
    <col min="5906" max="5906" width="2.85546875" style="1" customWidth="1"/>
    <col min="5907" max="6144" width="11.42578125" style="1"/>
    <col min="6145" max="6145" width="15.5703125" style="1" customWidth="1"/>
    <col min="6146" max="6146" width="9.7109375" style="1" bestFit="1" customWidth="1"/>
    <col min="6147" max="6147" width="11.85546875" style="1" customWidth="1"/>
    <col min="6148" max="6148" width="10.5703125" style="1" bestFit="1" customWidth="1"/>
    <col min="6149" max="6149" width="8.140625" style="1" bestFit="1" customWidth="1"/>
    <col min="6150" max="6150" width="9.7109375" style="1" bestFit="1" customWidth="1"/>
    <col min="6151" max="6151" width="12.140625" style="1" bestFit="1" customWidth="1"/>
    <col min="6152" max="6152" width="13.28515625" style="1" bestFit="1" customWidth="1"/>
    <col min="6153" max="6154" width="12.140625" style="1" customWidth="1"/>
    <col min="6155" max="6155" width="14.140625" style="1" customWidth="1"/>
    <col min="6156" max="6156" width="15.140625" style="1" customWidth="1"/>
    <col min="6157" max="6157" width="14.140625" style="1" customWidth="1"/>
    <col min="6158" max="6158" width="12.42578125" style="1" bestFit="1" customWidth="1"/>
    <col min="6159" max="6159" width="12.140625" style="1" bestFit="1" customWidth="1"/>
    <col min="6160" max="6161" width="11.42578125" style="1"/>
    <col min="6162" max="6162" width="2.85546875" style="1" customWidth="1"/>
    <col min="6163" max="6400" width="11.42578125" style="1"/>
    <col min="6401" max="6401" width="15.5703125" style="1" customWidth="1"/>
    <col min="6402" max="6402" width="9.7109375" style="1" bestFit="1" customWidth="1"/>
    <col min="6403" max="6403" width="11.85546875" style="1" customWidth="1"/>
    <col min="6404" max="6404" width="10.5703125" style="1" bestFit="1" customWidth="1"/>
    <col min="6405" max="6405" width="8.140625" style="1" bestFit="1" customWidth="1"/>
    <col min="6406" max="6406" width="9.7109375" style="1" bestFit="1" customWidth="1"/>
    <col min="6407" max="6407" width="12.140625" style="1" bestFit="1" customWidth="1"/>
    <col min="6408" max="6408" width="13.28515625" style="1" bestFit="1" customWidth="1"/>
    <col min="6409" max="6410" width="12.140625" style="1" customWidth="1"/>
    <col min="6411" max="6411" width="14.140625" style="1" customWidth="1"/>
    <col min="6412" max="6412" width="15.140625" style="1" customWidth="1"/>
    <col min="6413" max="6413" width="14.140625" style="1" customWidth="1"/>
    <col min="6414" max="6414" width="12.42578125" style="1" bestFit="1" customWidth="1"/>
    <col min="6415" max="6415" width="12.140625" style="1" bestFit="1" customWidth="1"/>
    <col min="6416" max="6417" width="11.42578125" style="1"/>
    <col min="6418" max="6418" width="2.85546875" style="1" customWidth="1"/>
    <col min="6419" max="6656" width="11.42578125" style="1"/>
    <col min="6657" max="6657" width="15.5703125" style="1" customWidth="1"/>
    <col min="6658" max="6658" width="9.7109375" style="1" bestFit="1" customWidth="1"/>
    <col min="6659" max="6659" width="11.85546875" style="1" customWidth="1"/>
    <col min="6660" max="6660" width="10.5703125" style="1" bestFit="1" customWidth="1"/>
    <col min="6661" max="6661" width="8.140625" style="1" bestFit="1" customWidth="1"/>
    <col min="6662" max="6662" width="9.7109375" style="1" bestFit="1" customWidth="1"/>
    <col min="6663" max="6663" width="12.140625" style="1" bestFit="1" customWidth="1"/>
    <col min="6664" max="6664" width="13.28515625" style="1" bestFit="1" customWidth="1"/>
    <col min="6665" max="6666" width="12.140625" style="1" customWidth="1"/>
    <col min="6667" max="6667" width="14.140625" style="1" customWidth="1"/>
    <col min="6668" max="6668" width="15.140625" style="1" customWidth="1"/>
    <col min="6669" max="6669" width="14.140625" style="1" customWidth="1"/>
    <col min="6670" max="6670" width="12.42578125" style="1" bestFit="1" customWidth="1"/>
    <col min="6671" max="6671" width="12.140625" style="1" bestFit="1" customWidth="1"/>
    <col min="6672" max="6673" width="11.42578125" style="1"/>
    <col min="6674" max="6674" width="2.85546875" style="1" customWidth="1"/>
    <col min="6675" max="6912" width="11.42578125" style="1"/>
    <col min="6913" max="6913" width="15.5703125" style="1" customWidth="1"/>
    <col min="6914" max="6914" width="9.7109375" style="1" bestFit="1" customWidth="1"/>
    <col min="6915" max="6915" width="11.85546875" style="1" customWidth="1"/>
    <col min="6916" max="6916" width="10.5703125" style="1" bestFit="1" customWidth="1"/>
    <col min="6917" max="6917" width="8.140625" style="1" bestFit="1" customWidth="1"/>
    <col min="6918" max="6918" width="9.7109375" style="1" bestFit="1" customWidth="1"/>
    <col min="6919" max="6919" width="12.140625" style="1" bestFit="1" customWidth="1"/>
    <col min="6920" max="6920" width="13.28515625" style="1" bestFit="1" customWidth="1"/>
    <col min="6921" max="6922" width="12.140625" style="1" customWidth="1"/>
    <col min="6923" max="6923" width="14.140625" style="1" customWidth="1"/>
    <col min="6924" max="6924" width="15.140625" style="1" customWidth="1"/>
    <col min="6925" max="6925" width="14.140625" style="1" customWidth="1"/>
    <col min="6926" max="6926" width="12.42578125" style="1" bestFit="1" customWidth="1"/>
    <col min="6927" max="6927" width="12.140625" style="1" bestFit="1" customWidth="1"/>
    <col min="6928" max="6929" width="11.42578125" style="1"/>
    <col min="6930" max="6930" width="2.85546875" style="1" customWidth="1"/>
    <col min="6931" max="7168" width="11.42578125" style="1"/>
    <col min="7169" max="7169" width="15.5703125" style="1" customWidth="1"/>
    <col min="7170" max="7170" width="9.7109375" style="1" bestFit="1" customWidth="1"/>
    <col min="7171" max="7171" width="11.85546875" style="1" customWidth="1"/>
    <col min="7172" max="7172" width="10.5703125" style="1" bestFit="1" customWidth="1"/>
    <col min="7173" max="7173" width="8.140625" style="1" bestFit="1" customWidth="1"/>
    <col min="7174" max="7174" width="9.7109375" style="1" bestFit="1" customWidth="1"/>
    <col min="7175" max="7175" width="12.140625" style="1" bestFit="1" customWidth="1"/>
    <col min="7176" max="7176" width="13.28515625" style="1" bestFit="1" customWidth="1"/>
    <col min="7177" max="7178" width="12.140625" style="1" customWidth="1"/>
    <col min="7179" max="7179" width="14.140625" style="1" customWidth="1"/>
    <col min="7180" max="7180" width="15.140625" style="1" customWidth="1"/>
    <col min="7181" max="7181" width="14.140625" style="1" customWidth="1"/>
    <col min="7182" max="7182" width="12.42578125" style="1" bestFit="1" customWidth="1"/>
    <col min="7183" max="7183" width="12.140625" style="1" bestFit="1" customWidth="1"/>
    <col min="7184" max="7185" width="11.42578125" style="1"/>
    <col min="7186" max="7186" width="2.85546875" style="1" customWidth="1"/>
    <col min="7187" max="7424" width="11.42578125" style="1"/>
    <col min="7425" max="7425" width="15.5703125" style="1" customWidth="1"/>
    <col min="7426" max="7426" width="9.7109375" style="1" bestFit="1" customWidth="1"/>
    <col min="7427" max="7427" width="11.85546875" style="1" customWidth="1"/>
    <col min="7428" max="7428" width="10.5703125" style="1" bestFit="1" customWidth="1"/>
    <col min="7429" max="7429" width="8.140625" style="1" bestFit="1" customWidth="1"/>
    <col min="7430" max="7430" width="9.7109375" style="1" bestFit="1" customWidth="1"/>
    <col min="7431" max="7431" width="12.140625" style="1" bestFit="1" customWidth="1"/>
    <col min="7432" max="7432" width="13.28515625" style="1" bestFit="1" customWidth="1"/>
    <col min="7433" max="7434" width="12.140625" style="1" customWidth="1"/>
    <col min="7435" max="7435" width="14.140625" style="1" customWidth="1"/>
    <col min="7436" max="7436" width="15.140625" style="1" customWidth="1"/>
    <col min="7437" max="7437" width="14.140625" style="1" customWidth="1"/>
    <col min="7438" max="7438" width="12.42578125" style="1" bestFit="1" customWidth="1"/>
    <col min="7439" max="7439" width="12.140625" style="1" bestFit="1" customWidth="1"/>
    <col min="7440" max="7441" width="11.42578125" style="1"/>
    <col min="7442" max="7442" width="2.85546875" style="1" customWidth="1"/>
    <col min="7443" max="7680" width="11.42578125" style="1"/>
    <col min="7681" max="7681" width="15.5703125" style="1" customWidth="1"/>
    <col min="7682" max="7682" width="9.7109375" style="1" bestFit="1" customWidth="1"/>
    <col min="7683" max="7683" width="11.85546875" style="1" customWidth="1"/>
    <col min="7684" max="7684" width="10.5703125" style="1" bestFit="1" customWidth="1"/>
    <col min="7685" max="7685" width="8.140625" style="1" bestFit="1" customWidth="1"/>
    <col min="7686" max="7686" width="9.7109375" style="1" bestFit="1" customWidth="1"/>
    <col min="7687" max="7687" width="12.140625" style="1" bestFit="1" customWidth="1"/>
    <col min="7688" max="7688" width="13.28515625" style="1" bestFit="1" customWidth="1"/>
    <col min="7689" max="7690" width="12.140625" style="1" customWidth="1"/>
    <col min="7691" max="7691" width="14.140625" style="1" customWidth="1"/>
    <col min="7692" max="7692" width="15.140625" style="1" customWidth="1"/>
    <col min="7693" max="7693" width="14.140625" style="1" customWidth="1"/>
    <col min="7694" max="7694" width="12.42578125" style="1" bestFit="1" customWidth="1"/>
    <col min="7695" max="7695" width="12.140625" style="1" bestFit="1" customWidth="1"/>
    <col min="7696" max="7697" width="11.42578125" style="1"/>
    <col min="7698" max="7698" width="2.85546875" style="1" customWidth="1"/>
    <col min="7699" max="7936" width="11.42578125" style="1"/>
    <col min="7937" max="7937" width="15.5703125" style="1" customWidth="1"/>
    <col min="7938" max="7938" width="9.7109375" style="1" bestFit="1" customWidth="1"/>
    <col min="7939" max="7939" width="11.85546875" style="1" customWidth="1"/>
    <col min="7940" max="7940" width="10.5703125" style="1" bestFit="1" customWidth="1"/>
    <col min="7941" max="7941" width="8.140625" style="1" bestFit="1" customWidth="1"/>
    <col min="7942" max="7942" width="9.7109375" style="1" bestFit="1" customWidth="1"/>
    <col min="7943" max="7943" width="12.140625" style="1" bestFit="1" customWidth="1"/>
    <col min="7944" max="7944" width="13.28515625" style="1" bestFit="1" customWidth="1"/>
    <col min="7945" max="7946" width="12.140625" style="1" customWidth="1"/>
    <col min="7947" max="7947" width="14.140625" style="1" customWidth="1"/>
    <col min="7948" max="7948" width="15.140625" style="1" customWidth="1"/>
    <col min="7949" max="7949" width="14.140625" style="1" customWidth="1"/>
    <col min="7950" max="7950" width="12.42578125" style="1" bestFit="1" customWidth="1"/>
    <col min="7951" max="7951" width="12.140625" style="1" bestFit="1" customWidth="1"/>
    <col min="7952" max="7953" width="11.42578125" style="1"/>
    <col min="7954" max="7954" width="2.85546875" style="1" customWidth="1"/>
    <col min="7955" max="8192" width="11.42578125" style="1"/>
    <col min="8193" max="8193" width="15.5703125" style="1" customWidth="1"/>
    <col min="8194" max="8194" width="9.7109375" style="1" bestFit="1" customWidth="1"/>
    <col min="8195" max="8195" width="11.85546875" style="1" customWidth="1"/>
    <col min="8196" max="8196" width="10.5703125" style="1" bestFit="1" customWidth="1"/>
    <col min="8197" max="8197" width="8.140625" style="1" bestFit="1" customWidth="1"/>
    <col min="8198" max="8198" width="9.7109375" style="1" bestFit="1" customWidth="1"/>
    <col min="8199" max="8199" width="12.140625" style="1" bestFit="1" customWidth="1"/>
    <col min="8200" max="8200" width="13.28515625" style="1" bestFit="1" customWidth="1"/>
    <col min="8201" max="8202" width="12.140625" style="1" customWidth="1"/>
    <col min="8203" max="8203" width="14.140625" style="1" customWidth="1"/>
    <col min="8204" max="8204" width="15.140625" style="1" customWidth="1"/>
    <col min="8205" max="8205" width="14.140625" style="1" customWidth="1"/>
    <col min="8206" max="8206" width="12.42578125" style="1" bestFit="1" customWidth="1"/>
    <col min="8207" max="8207" width="12.140625" style="1" bestFit="1" customWidth="1"/>
    <col min="8208" max="8209" width="11.42578125" style="1"/>
    <col min="8210" max="8210" width="2.85546875" style="1" customWidth="1"/>
    <col min="8211" max="8448" width="11.42578125" style="1"/>
    <col min="8449" max="8449" width="15.5703125" style="1" customWidth="1"/>
    <col min="8450" max="8450" width="9.7109375" style="1" bestFit="1" customWidth="1"/>
    <col min="8451" max="8451" width="11.85546875" style="1" customWidth="1"/>
    <col min="8452" max="8452" width="10.5703125" style="1" bestFit="1" customWidth="1"/>
    <col min="8453" max="8453" width="8.140625" style="1" bestFit="1" customWidth="1"/>
    <col min="8454" max="8454" width="9.7109375" style="1" bestFit="1" customWidth="1"/>
    <col min="8455" max="8455" width="12.140625" style="1" bestFit="1" customWidth="1"/>
    <col min="8456" max="8456" width="13.28515625" style="1" bestFit="1" customWidth="1"/>
    <col min="8457" max="8458" width="12.140625" style="1" customWidth="1"/>
    <col min="8459" max="8459" width="14.140625" style="1" customWidth="1"/>
    <col min="8460" max="8460" width="15.140625" style="1" customWidth="1"/>
    <col min="8461" max="8461" width="14.140625" style="1" customWidth="1"/>
    <col min="8462" max="8462" width="12.42578125" style="1" bestFit="1" customWidth="1"/>
    <col min="8463" max="8463" width="12.140625" style="1" bestFit="1" customWidth="1"/>
    <col min="8464" max="8465" width="11.42578125" style="1"/>
    <col min="8466" max="8466" width="2.85546875" style="1" customWidth="1"/>
    <col min="8467" max="8704" width="11.42578125" style="1"/>
    <col min="8705" max="8705" width="15.5703125" style="1" customWidth="1"/>
    <col min="8706" max="8706" width="9.7109375" style="1" bestFit="1" customWidth="1"/>
    <col min="8707" max="8707" width="11.85546875" style="1" customWidth="1"/>
    <col min="8708" max="8708" width="10.5703125" style="1" bestFit="1" customWidth="1"/>
    <col min="8709" max="8709" width="8.140625" style="1" bestFit="1" customWidth="1"/>
    <col min="8710" max="8710" width="9.7109375" style="1" bestFit="1" customWidth="1"/>
    <col min="8711" max="8711" width="12.140625" style="1" bestFit="1" customWidth="1"/>
    <col min="8712" max="8712" width="13.28515625" style="1" bestFit="1" customWidth="1"/>
    <col min="8713" max="8714" width="12.140625" style="1" customWidth="1"/>
    <col min="8715" max="8715" width="14.140625" style="1" customWidth="1"/>
    <col min="8716" max="8716" width="15.140625" style="1" customWidth="1"/>
    <col min="8717" max="8717" width="14.140625" style="1" customWidth="1"/>
    <col min="8718" max="8718" width="12.42578125" style="1" bestFit="1" customWidth="1"/>
    <col min="8719" max="8719" width="12.140625" style="1" bestFit="1" customWidth="1"/>
    <col min="8720" max="8721" width="11.42578125" style="1"/>
    <col min="8722" max="8722" width="2.85546875" style="1" customWidth="1"/>
    <col min="8723" max="8960" width="11.42578125" style="1"/>
    <col min="8961" max="8961" width="15.5703125" style="1" customWidth="1"/>
    <col min="8962" max="8962" width="9.7109375" style="1" bestFit="1" customWidth="1"/>
    <col min="8963" max="8963" width="11.85546875" style="1" customWidth="1"/>
    <col min="8964" max="8964" width="10.5703125" style="1" bestFit="1" customWidth="1"/>
    <col min="8965" max="8965" width="8.140625" style="1" bestFit="1" customWidth="1"/>
    <col min="8966" max="8966" width="9.7109375" style="1" bestFit="1" customWidth="1"/>
    <col min="8967" max="8967" width="12.140625" style="1" bestFit="1" customWidth="1"/>
    <col min="8968" max="8968" width="13.28515625" style="1" bestFit="1" customWidth="1"/>
    <col min="8969" max="8970" width="12.140625" style="1" customWidth="1"/>
    <col min="8971" max="8971" width="14.140625" style="1" customWidth="1"/>
    <col min="8972" max="8972" width="15.140625" style="1" customWidth="1"/>
    <col min="8973" max="8973" width="14.140625" style="1" customWidth="1"/>
    <col min="8974" max="8974" width="12.42578125" style="1" bestFit="1" customWidth="1"/>
    <col min="8975" max="8975" width="12.140625" style="1" bestFit="1" customWidth="1"/>
    <col min="8976" max="8977" width="11.42578125" style="1"/>
    <col min="8978" max="8978" width="2.85546875" style="1" customWidth="1"/>
    <col min="8979" max="9216" width="11.42578125" style="1"/>
    <col min="9217" max="9217" width="15.5703125" style="1" customWidth="1"/>
    <col min="9218" max="9218" width="9.7109375" style="1" bestFit="1" customWidth="1"/>
    <col min="9219" max="9219" width="11.85546875" style="1" customWidth="1"/>
    <col min="9220" max="9220" width="10.5703125" style="1" bestFit="1" customWidth="1"/>
    <col min="9221" max="9221" width="8.140625" style="1" bestFit="1" customWidth="1"/>
    <col min="9222" max="9222" width="9.7109375" style="1" bestFit="1" customWidth="1"/>
    <col min="9223" max="9223" width="12.140625" style="1" bestFit="1" customWidth="1"/>
    <col min="9224" max="9224" width="13.28515625" style="1" bestFit="1" customWidth="1"/>
    <col min="9225" max="9226" width="12.140625" style="1" customWidth="1"/>
    <col min="9227" max="9227" width="14.140625" style="1" customWidth="1"/>
    <col min="9228" max="9228" width="15.140625" style="1" customWidth="1"/>
    <col min="9229" max="9229" width="14.140625" style="1" customWidth="1"/>
    <col min="9230" max="9230" width="12.42578125" style="1" bestFit="1" customWidth="1"/>
    <col min="9231" max="9231" width="12.140625" style="1" bestFit="1" customWidth="1"/>
    <col min="9232" max="9233" width="11.42578125" style="1"/>
    <col min="9234" max="9234" width="2.85546875" style="1" customWidth="1"/>
    <col min="9235" max="9472" width="11.42578125" style="1"/>
    <col min="9473" max="9473" width="15.5703125" style="1" customWidth="1"/>
    <col min="9474" max="9474" width="9.7109375" style="1" bestFit="1" customWidth="1"/>
    <col min="9475" max="9475" width="11.85546875" style="1" customWidth="1"/>
    <col min="9476" max="9476" width="10.5703125" style="1" bestFit="1" customWidth="1"/>
    <col min="9477" max="9477" width="8.140625" style="1" bestFit="1" customWidth="1"/>
    <col min="9478" max="9478" width="9.7109375" style="1" bestFit="1" customWidth="1"/>
    <col min="9479" max="9479" width="12.140625" style="1" bestFit="1" customWidth="1"/>
    <col min="9480" max="9480" width="13.28515625" style="1" bestFit="1" customWidth="1"/>
    <col min="9481" max="9482" width="12.140625" style="1" customWidth="1"/>
    <col min="9483" max="9483" width="14.140625" style="1" customWidth="1"/>
    <col min="9484" max="9484" width="15.140625" style="1" customWidth="1"/>
    <col min="9485" max="9485" width="14.140625" style="1" customWidth="1"/>
    <col min="9486" max="9486" width="12.42578125" style="1" bestFit="1" customWidth="1"/>
    <col min="9487" max="9487" width="12.140625" style="1" bestFit="1" customWidth="1"/>
    <col min="9488" max="9489" width="11.42578125" style="1"/>
    <col min="9490" max="9490" width="2.85546875" style="1" customWidth="1"/>
    <col min="9491" max="9728" width="11.42578125" style="1"/>
    <col min="9729" max="9729" width="15.5703125" style="1" customWidth="1"/>
    <col min="9730" max="9730" width="9.7109375" style="1" bestFit="1" customWidth="1"/>
    <col min="9731" max="9731" width="11.85546875" style="1" customWidth="1"/>
    <col min="9732" max="9732" width="10.5703125" style="1" bestFit="1" customWidth="1"/>
    <col min="9733" max="9733" width="8.140625" style="1" bestFit="1" customWidth="1"/>
    <col min="9734" max="9734" width="9.7109375" style="1" bestFit="1" customWidth="1"/>
    <col min="9735" max="9735" width="12.140625" style="1" bestFit="1" customWidth="1"/>
    <col min="9736" max="9736" width="13.28515625" style="1" bestFit="1" customWidth="1"/>
    <col min="9737" max="9738" width="12.140625" style="1" customWidth="1"/>
    <col min="9739" max="9739" width="14.140625" style="1" customWidth="1"/>
    <col min="9740" max="9740" width="15.140625" style="1" customWidth="1"/>
    <col min="9741" max="9741" width="14.140625" style="1" customWidth="1"/>
    <col min="9742" max="9742" width="12.42578125" style="1" bestFit="1" customWidth="1"/>
    <col min="9743" max="9743" width="12.140625" style="1" bestFit="1" customWidth="1"/>
    <col min="9744" max="9745" width="11.42578125" style="1"/>
    <col min="9746" max="9746" width="2.85546875" style="1" customWidth="1"/>
    <col min="9747" max="9984" width="11.42578125" style="1"/>
    <col min="9985" max="9985" width="15.5703125" style="1" customWidth="1"/>
    <col min="9986" max="9986" width="9.7109375" style="1" bestFit="1" customWidth="1"/>
    <col min="9987" max="9987" width="11.85546875" style="1" customWidth="1"/>
    <col min="9988" max="9988" width="10.5703125" style="1" bestFit="1" customWidth="1"/>
    <col min="9989" max="9989" width="8.140625" style="1" bestFit="1" customWidth="1"/>
    <col min="9990" max="9990" width="9.7109375" style="1" bestFit="1" customWidth="1"/>
    <col min="9991" max="9991" width="12.140625" style="1" bestFit="1" customWidth="1"/>
    <col min="9992" max="9992" width="13.28515625" style="1" bestFit="1" customWidth="1"/>
    <col min="9993" max="9994" width="12.140625" style="1" customWidth="1"/>
    <col min="9995" max="9995" width="14.140625" style="1" customWidth="1"/>
    <col min="9996" max="9996" width="15.140625" style="1" customWidth="1"/>
    <col min="9997" max="9997" width="14.140625" style="1" customWidth="1"/>
    <col min="9998" max="9998" width="12.42578125" style="1" bestFit="1" customWidth="1"/>
    <col min="9999" max="9999" width="12.140625" style="1" bestFit="1" customWidth="1"/>
    <col min="10000" max="10001" width="11.42578125" style="1"/>
    <col min="10002" max="10002" width="2.85546875" style="1" customWidth="1"/>
    <col min="10003" max="10240" width="11.42578125" style="1"/>
    <col min="10241" max="10241" width="15.5703125" style="1" customWidth="1"/>
    <col min="10242" max="10242" width="9.7109375" style="1" bestFit="1" customWidth="1"/>
    <col min="10243" max="10243" width="11.85546875" style="1" customWidth="1"/>
    <col min="10244" max="10244" width="10.5703125" style="1" bestFit="1" customWidth="1"/>
    <col min="10245" max="10245" width="8.140625" style="1" bestFit="1" customWidth="1"/>
    <col min="10246" max="10246" width="9.7109375" style="1" bestFit="1" customWidth="1"/>
    <col min="10247" max="10247" width="12.140625" style="1" bestFit="1" customWidth="1"/>
    <col min="10248" max="10248" width="13.28515625" style="1" bestFit="1" customWidth="1"/>
    <col min="10249" max="10250" width="12.140625" style="1" customWidth="1"/>
    <col min="10251" max="10251" width="14.140625" style="1" customWidth="1"/>
    <col min="10252" max="10252" width="15.140625" style="1" customWidth="1"/>
    <col min="10253" max="10253" width="14.140625" style="1" customWidth="1"/>
    <col min="10254" max="10254" width="12.42578125" style="1" bestFit="1" customWidth="1"/>
    <col min="10255" max="10255" width="12.140625" style="1" bestFit="1" customWidth="1"/>
    <col min="10256" max="10257" width="11.42578125" style="1"/>
    <col min="10258" max="10258" width="2.85546875" style="1" customWidth="1"/>
    <col min="10259" max="10496" width="11.42578125" style="1"/>
    <col min="10497" max="10497" width="15.5703125" style="1" customWidth="1"/>
    <col min="10498" max="10498" width="9.7109375" style="1" bestFit="1" customWidth="1"/>
    <col min="10499" max="10499" width="11.85546875" style="1" customWidth="1"/>
    <col min="10500" max="10500" width="10.5703125" style="1" bestFit="1" customWidth="1"/>
    <col min="10501" max="10501" width="8.140625" style="1" bestFit="1" customWidth="1"/>
    <col min="10502" max="10502" width="9.7109375" style="1" bestFit="1" customWidth="1"/>
    <col min="10503" max="10503" width="12.140625" style="1" bestFit="1" customWidth="1"/>
    <col min="10504" max="10504" width="13.28515625" style="1" bestFit="1" customWidth="1"/>
    <col min="10505" max="10506" width="12.140625" style="1" customWidth="1"/>
    <col min="10507" max="10507" width="14.140625" style="1" customWidth="1"/>
    <col min="10508" max="10508" width="15.140625" style="1" customWidth="1"/>
    <col min="10509" max="10509" width="14.140625" style="1" customWidth="1"/>
    <col min="10510" max="10510" width="12.42578125" style="1" bestFit="1" customWidth="1"/>
    <col min="10511" max="10511" width="12.140625" style="1" bestFit="1" customWidth="1"/>
    <col min="10512" max="10513" width="11.42578125" style="1"/>
    <col min="10514" max="10514" width="2.85546875" style="1" customWidth="1"/>
    <col min="10515" max="10752" width="11.42578125" style="1"/>
    <col min="10753" max="10753" width="15.5703125" style="1" customWidth="1"/>
    <col min="10754" max="10754" width="9.7109375" style="1" bestFit="1" customWidth="1"/>
    <col min="10755" max="10755" width="11.85546875" style="1" customWidth="1"/>
    <col min="10756" max="10756" width="10.5703125" style="1" bestFit="1" customWidth="1"/>
    <col min="10757" max="10757" width="8.140625" style="1" bestFit="1" customWidth="1"/>
    <col min="10758" max="10758" width="9.7109375" style="1" bestFit="1" customWidth="1"/>
    <col min="10759" max="10759" width="12.140625" style="1" bestFit="1" customWidth="1"/>
    <col min="10760" max="10760" width="13.28515625" style="1" bestFit="1" customWidth="1"/>
    <col min="10761" max="10762" width="12.140625" style="1" customWidth="1"/>
    <col min="10763" max="10763" width="14.140625" style="1" customWidth="1"/>
    <col min="10764" max="10764" width="15.140625" style="1" customWidth="1"/>
    <col min="10765" max="10765" width="14.140625" style="1" customWidth="1"/>
    <col min="10766" max="10766" width="12.42578125" style="1" bestFit="1" customWidth="1"/>
    <col min="10767" max="10767" width="12.140625" style="1" bestFit="1" customWidth="1"/>
    <col min="10768" max="10769" width="11.42578125" style="1"/>
    <col min="10770" max="10770" width="2.85546875" style="1" customWidth="1"/>
    <col min="10771" max="11008" width="11.42578125" style="1"/>
    <col min="11009" max="11009" width="15.5703125" style="1" customWidth="1"/>
    <col min="11010" max="11010" width="9.7109375" style="1" bestFit="1" customWidth="1"/>
    <col min="11011" max="11011" width="11.85546875" style="1" customWidth="1"/>
    <col min="11012" max="11012" width="10.5703125" style="1" bestFit="1" customWidth="1"/>
    <col min="11013" max="11013" width="8.140625" style="1" bestFit="1" customWidth="1"/>
    <col min="11014" max="11014" width="9.7109375" style="1" bestFit="1" customWidth="1"/>
    <col min="11015" max="11015" width="12.140625" style="1" bestFit="1" customWidth="1"/>
    <col min="11016" max="11016" width="13.28515625" style="1" bestFit="1" customWidth="1"/>
    <col min="11017" max="11018" width="12.140625" style="1" customWidth="1"/>
    <col min="11019" max="11019" width="14.140625" style="1" customWidth="1"/>
    <col min="11020" max="11020" width="15.140625" style="1" customWidth="1"/>
    <col min="11021" max="11021" width="14.140625" style="1" customWidth="1"/>
    <col min="11022" max="11022" width="12.42578125" style="1" bestFit="1" customWidth="1"/>
    <col min="11023" max="11023" width="12.140625" style="1" bestFit="1" customWidth="1"/>
    <col min="11024" max="11025" width="11.42578125" style="1"/>
    <col min="11026" max="11026" width="2.85546875" style="1" customWidth="1"/>
    <col min="11027" max="11264" width="11.42578125" style="1"/>
    <col min="11265" max="11265" width="15.5703125" style="1" customWidth="1"/>
    <col min="11266" max="11266" width="9.7109375" style="1" bestFit="1" customWidth="1"/>
    <col min="11267" max="11267" width="11.85546875" style="1" customWidth="1"/>
    <col min="11268" max="11268" width="10.5703125" style="1" bestFit="1" customWidth="1"/>
    <col min="11269" max="11269" width="8.140625" style="1" bestFit="1" customWidth="1"/>
    <col min="11270" max="11270" width="9.7109375" style="1" bestFit="1" customWidth="1"/>
    <col min="11271" max="11271" width="12.140625" style="1" bestFit="1" customWidth="1"/>
    <col min="11272" max="11272" width="13.28515625" style="1" bestFit="1" customWidth="1"/>
    <col min="11273" max="11274" width="12.140625" style="1" customWidth="1"/>
    <col min="11275" max="11275" width="14.140625" style="1" customWidth="1"/>
    <col min="11276" max="11276" width="15.140625" style="1" customWidth="1"/>
    <col min="11277" max="11277" width="14.140625" style="1" customWidth="1"/>
    <col min="11278" max="11278" width="12.42578125" style="1" bestFit="1" customWidth="1"/>
    <col min="11279" max="11279" width="12.140625" style="1" bestFit="1" customWidth="1"/>
    <col min="11280" max="11281" width="11.42578125" style="1"/>
    <col min="11282" max="11282" width="2.85546875" style="1" customWidth="1"/>
    <col min="11283" max="11520" width="11.42578125" style="1"/>
    <col min="11521" max="11521" width="15.5703125" style="1" customWidth="1"/>
    <col min="11522" max="11522" width="9.7109375" style="1" bestFit="1" customWidth="1"/>
    <col min="11523" max="11523" width="11.85546875" style="1" customWidth="1"/>
    <col min="11524" max="11524" width="10.5703125" style="1" bestFit="1" customWidth="1"/>
    <col min="11525" max="11525" width="8.140625" style="1" bestFit="1" customWidth="1"/>
    <col min="11526" max="11526" width="9.7109375" style="1" bestFit="1" customWidth="1"/>
    <col min="11527" max="11527" width="12.140625" style="1" bestFit="1" customWidth="1"/>
    <col min="11528" max="11528" width="13.28515625" style="1" bestFit="1" customWidth="1"/>
    <col min="11529" max="11530" width="12.140625" style="1" customWidth="1"/>
    <col min="11531" max="11531" width="14.140625" style="1" customWidth="1"/>
    <col min="11532" max="11532" width="15.140625" style="1" customWidth="1"/>
    <col min="11533" max="11533" width="14.140625" style="1" customWidth="1"/>
    <col min="11534" max="11534" width="12.42578125" style="1" bestFit="1" customWidth="1"/>
    <col min="11535" max="11535" width="12.140625" style="1" bestFit="1" customWidth="1"/>
    <col min="11536" max="11537" width="11.42578125" style="1"/>
    <col min="11538" max="11538" width="2.85546875" style="1" customWidth="1"/>
    <col min="11539" max="11776" width="11.42578125" style="1"/>
    <col min="11777" max="11777" width="15.5703125" style="1" customWidth="1"/>
    <col min="11778" max="11778" width="9.7109375" style="1" bestFit="1" customWidth="1"/>
    <col min="11779" max="11779" width="11.85546875" style="1" customWidth="1"/>
    <col min="11780" max="11780" width="10.5703125" style="1" bestFit="1" customWidth="1"/>
    <col min="11781" max="11781" width="8.140625" style="1" bestFit="1" customWidth="1"/>
    <col min="11782" max="11782" width="9.7109375" style="1" bestFit="1" customWidth="1"/>
    <col min="11783" max="11783" width="12.140625" style="1" bestFit="1" customWidth="1"/>
    <col min="11784" max="11784" width="13.28515625" style="1" bestFit="1" customWidth="1"/>
    <col min="11785" max="11786" width="12.140625" style="1" customWidth="1"/>
    <col min="11787" max="11787" width="14.140625" style="1" customWidth="1"/>
    <col min="11788" max="11788" width="15.140625" style="1" customWidth="1"/>
    <col min="11789" max="11789" width="14.140625" style="1" customWidth="1"/>
    <col min="11790" max="11790" width="12.42578125" style="1" bestFit="1" customWidth="1"/>
    <col min="11791" max="11791" width="12.140625" style="1" bestFit="1" customWidth="1"/>
    <col min="11792" max="11793" width="11.42578125" style="1"/>
    <col min="11794" max="11794" width="2.85546875" style="1" customWidth="1"/>
    <col min="11795" max="12032" width="11.42578125" style="1"/>
    <col min="12033" max="12033" width="15.5703125" style="1" customWidth="1"/>
    <col min="12034" max="12034" width="9.7109375" style="1" bestFit="1" customWidth="1"/>
    <col min="12035" max="12035" width="11.85546875" style="1" customWidth="1"/>
    <col min="12036" max="12036" width="10.5703125" style="1" bestFit="1" customWidth="1"/>
    <col min="12037" max="12037" width="8.140625" style="1" bestFit="1" customWidth="1"/>
    <col min="12038" max="12038" width="9.7109375" style="1" bestFit="1" customWidth="1"/>
    <col min="12039" max="12039" width="12.140625" style="1" bestFit="1" customWidth="1"/>
    <col min="12040" max="12040" width="13.28515625" style="1" bestFit="1" customWidth="1"/>
    <col min="12041" max="12042" width="12.140625" style="1" customWidth="1"/>
    <col min="12043" max="12043" width="14.140625" style="1" customWidth="1"/>
    <col min="12044" max="12044" width="15.140625" style="1" customWidth="1"/>
    <col min="12045" max="12045" width="14.140625" style="1" customWidth="1"/>
    <col min="12046" max="12046" width="12.42578125" style="1" bestFit="1" customWidth="1"/>
    <col min="12047" max="12047" width="12.140625" style="1" bestFit="1" customWidth="1"/>
    <col min="12048" max="12049" width="11.42578125" style="1"/>
    <col min="12050" max="12050" width="2.85546875" style="1" customWidth="1"/>
    <col min="12051" max="12288" width="11.42578125" style="1"/>
    <col min="12289" max="12289" width="15.5703125" style="1" customWidth="1"/>
    <col min="12290" max="12290" width="9.7109375" style="1" bestFit="1" customWidth="1"/>
    <col min="12291" max="12291" width="11.85546875" style="1" customWidth="1"/>
    <col min="12292" max="12292" width="10.5703125" style="1" bestFit="1" customWidth="1"/>
    <col min="12293" max="12293" width="8.140625" style="1" bestFit="1" customWidth="1"/>
    <col min="12294" max="12294" width="9.7109375" style="1" bestFit="1" customWidth="1"/>
    <col min="12295" max="12295" width="12.140625" style="1" bestFit="1" customWidth="1"/>
    <col min="12296" max="12296" width="13.28515625" style="1" bestFit="1" customWidth="1"/>
    <col min="12297" max="12298" width="12.140625" style="1" customWidth="1"/>
    <col min="12299" max="12299" width="14.140625" style="1" customWidth="1"/>
    <col min="12300" max="12300" width="15.140625" style="1" customWidth="1"/>
    <col min="12301" max="12301" width="14.140625" style="1" customWidth="1"/>
    <col min="12302" max="12302" width="12.42578125" style="1" bestFit="1" customWidth="1"/>
    <col min="12303" max="12303" width="12.140625" style="1" bestFit="1" customWidth="1"/>
    <col min="12304" max="12305" width="11.42578125" style="1"/>
    <col min="12306" max="12306" width="2.85546875" style="1" customWidth="1"/>
    <col min="12307" max="12544" width="11.42578125" style="1"/>
    <col min="12545" max="12545" width="15.5703125" style="1" customWidth="1"/>
    <col min="12546" max="12546" width="9.7109375" style="1" bestFit="1" customWidth="1"/>
    <col min="12547" max="12547" width="11.85546875" style="1" customWidth="1"/>
    <col min="12548" max="12548" width="10.5703125" style="1" bestFit="1" customWidth="1"/>
    <col min="12549" max="12549" width="8.140625" style="1" bestFit="1" customWidth="1"/>
    <col min="12550" max="12550" width="9.7109375" style="1" bestFit="1" customWidth="1"/>
    <col min="12551" max="12551" width="12.140625" style="1" bestFit="1" customWidth="1"/>
    <col min="12552" max="12552" width="13.28515625" style="1" bestFit="1" customWidth="1"/>
    <col min="12553" max="12554" width="12.140625" style="1" customWidth="1"/>
    <col min="12555" max="12555" width="14.140625" style="1" customWidth="1"/>
    <col min="12556" max="12556" width="15.140625" style="1" customWidth="1"/>
    <col min="12557" max="12557" width="14.140625" style="1" customWidth="1"/>
    <col min="12558" max="12558" width="12.42578125" style="1" bestFit="1" customWidth="1"/>
    <col min="12559" max="12559" width="12.140625" style="1" bestFit="1" customWidth="1"/>
    <col min="12560" max="12561" width="11.42578125" style="1"/>
    <col min="12562" max="12562" width="2.85546875" style="1" customWidth="1"/>
    <col min="12563" max="12800" width="11.42578125" style="1"/>
    <col min="12801" max="12801" width="15.5703125" style="1" customWidth="1"/>
    <col min="12802" max="12802" width="9.7109375" style="1" bestFit="1" customWidth="1"/>
    <col min="12803" max="12803" width="11.85546875" style="1" customWidth="1"/>
    <col min="12804" max="12804" width="10.5703125" style="1" bestFit="1" customWidth="1"/>
    <col min="12805" max="12805" width="8.140625" style="1" bestFit="1" customWidth="1"/>
    <col min="12806" max="12806" width="9.7109375" style="1" bestFit="1" customWidth="1"/>
    <col min="12807" max="12807" width="12.140625" style="1" bestFit="1" customWidth="1"/>
    <col min="12808" max="12808" width="13.28515625" style="1" bestFit="1" customWidth="1"/>
    <col min="12809" max="12810" width="12.140625" style="1" customWidth="1"/>
    <col min="12811" max="12811" width="14.140625" style="1" customWidth="1"/>
    <col min="12812" max="12812" width="15.140625" style="1" customWidth="1"/>
    <col min="12813" max="12813" width="14.140625" style="1" customWidth="1"/>
    <col min="12814" max="12814" width="12.42578125" style="1" bestFit="1" customWidth="1"/>
    <col min="12815" max="12815" width="12.140625" style="1" bestFit="1" customWidth="1"/>
    <col min="12816" max="12817" width="11.42578125" style="1"/>
    <col min="12818" max="12818" width="2.85546875" style="1" customWidth="1"/>
    <col min="12819" max="13056" width="11.42578125" style="1"/>
    <col min="13057" max="13057" width="15.5703125" style="1" customWidth="1"/>
    <col min="13058" max="13058" width="9.7109375" style="1" bestFit="1" customWidth="1"/>
    <col min="13059" max="13059" width="11.85546875" style="1" customWidth="1"/>
    <col min="13060" max="13060" width="10.5703125" style="1" bestFit="1" customWidth="1"/>
    <col min="13061" max="13061" width="8.140625" style="1" bestFit="1" customWidth="1"/>
    <col min="13062" max="13062" width="9.7109375" style="1" bestFit="1" customWidth="1"/>
    <col min="13063" max="13063" width="12.140625" style="1" bestFit="1" customWidth="1"/>
    <col min="13064" max="13064" width="13.28515625" style="1" bestFit="1" customWidth="1"/>
    <col min="13065" max="13066" width="12.140625" style="1" customWidth="1"/>
    <col min="13067" max="13067" width="14.140625" style="1" customWidth="1"/>
    <col min="13068" max="13068" width="15.140625" style="1" customWidth="1"/>
    <col min="13069" max="13069" width="14.140625" style="1" customWidth="1"/>
    <col min="13070" max="13070" width="12.42578125" style="1" bestFit="1" customWidth="1"/>
    <col min="13071" max="13071" width="12.140625" style="1" bestFit="1" customWidth="1"/>
    <col min="13072" max="13073" width="11.42578125" style="1"/>
    <col min="13074" max="13074" width="2.85546875" style="1" customWidth="1"/>
    <col min="13075" max="13312" width="11.42578125" style="1"/>
    <col min="13313" max="13313" width="15.5703125" style="1" customWidth="1"/>
    <col min="13314" max="13314" width="9.7109375" style="1" bestFit="1" customWidth="1"/>
    <col min="13315" max="13315" width="11.85546875" style="1" customWidth="1"/>
    <col min="13316" max="13316" width="10.5703125" style="1" bestFit="1" customWidth="1"/>
    <col min="13317" max="13317" width="8.140625" style="1" bestFit="1" customWidth="1"/>
    <col min="13318" max="13318" width="9.7109375" style="1" bestFit="1" customWidth="1"/>
    <col min="13319" max="13319" width="12.140625" style="1" bestFit="1" customWidth="1"/>
    <col min="13320" max="13320" width="13.28515625" style="1" bestFit="1" customWidth="1"/>
    <col min="13321" max="13322" width="12.140625" style="1" customWidth="1"/>
    <col min="13323" max="13323" width="14.140625" style="1" customWidth="1"/>
    <col min="13324" max="13324" width="15.140625" style="1" customWidth="1"/>
    <col min="13325" max="13325" width="14.140625" style="1" customWidth="1"/>
    <col min="13326" max="13326" width="12.42578125" style="1" bestFit="1" customWidth="1"/>
    <col min="13327" max="13327" width="12.140625" style="1" bestFit="1" customWidth="1"/>
    <col min="13328" max="13329" width="11.42578125" style="1"/>
    <col min="13330" max="13330" width="2.85546875" style="1" customWidth="1"/>
    <col min="13331" max="13568" width="11.42578125" style="1"/>
    <col min="13569" max="13569" width="15.5703125" style="1" customWidth="1"/>
    <col min="13570" max="13570" width="9.7109375" style="1" bestFit="1" customWidth="1"/>
    <col min="13571" max="13571" width="11.85546875" style="1" customWidth="1"/>
    <col min="13572" max="13572" width="10.5703125" style="1" bestFit="1" customWidth="1"/>
    <col min="13573" max="13573" width="8.140625" style="1" bestFit="1" customWidth="1"/>
    <col min="13574" max="13574" width="9.7109375" style="1" bestFit="1" customWidth="1"/>
    <col min="13575" max="13575" width="12.140625" style="1" bestFit="1" customWidth="1"/>
    <col min="13576" max="13576" width="13.28515625" style="1" bestFit="1" customWidth="1"/>
    <col min="13577" max="13578" width="12.140625" style="1" customWidth="1"/>
    <col min="13579" max="13579" width="14.140625" style="1" customWidth="1"/>
    <col min="13580" max="13580" width="15.140625" style="1" customWidth="1"/>
    <col min="13581" max="13581" width="14.140625" style="1" customWidth="1"/>
    <col min="13582" max="13582" width="12.42578125" style="1" bestFit="1" customWidth="1"/>
    <col min="13583" max="13583" width="12.140625" style="1" bestFit="1" customWidth="1"/>
    <col min="13584" max="13585" width="11.42578125" style="1"/>
    <col min="13586" max="13586" width="2.85546875" style="1" customWidth="1"/>
    <col min="13587" max="13824" width="11.42578125" style="1"/>
    <col min="13825" max="13825" width="15.5703125" style="1" customWidth="1"/>
    <col min="13826" max="13826" width="9.7109375" style="1" bestFit="1" customWidth="1"/>
    <col min="13827" max="13827" width="11.85546875" style="1" customWidth="1"/>
    <col min="13828" max="13828" width="10.5703125" style="1" bestFit="1" customWidth="1"/>
    <col min="13829" max="13829" width="8.140625" style="1" bestFit="1" customWidth="1"/>
    <col min="13830" max="13830" width="9.7109375" style="1" bestFit="1" customWidth="1"/>
    <col min="13831" max="13831" width="12.140625" style="1" bestFit="1" customWidth="1"/>
    <col min="13832" max="13832" width="13.28515625" style="1" bestFit="1" customWidth="1"/>
    <col min="13833" max="13834" width="12.140625" style="1" customWidth="1"/>
    <col min="13835" max="13835" width="14.140625" style="1" customWidth="1"/>
    <col min="13836" max="13836" width="15.140625" style="1" customWidth="1"/>
    <col min="13837" max="13837" width="14.140625" style="1" customWidth="1"/>
    <col min="13838" max="13838" width="12.42578125" style="1" bestFit="1" customWidth="1"/>
    <col min="13839" max="13839" width="12.140625" style="1" bestFit="1" customWidth="1"/>
    <col min="13840" max="13841" width="11.42578125" style="1"/>
    <col min="13842" max="13842" width="2.85546875" style="1" customWidth="1"/>
    <col min="13843" max="14080" width="11.42578125" style="1"/>
    <col min="14081" max="14081" width="15.5703125" style="1" customWidth="1"/>
    <col min="14082" max="14082" width="9.7109375" style="1" bestFit="1" customWidth="1"/>
    <col min="14083" max="14083" width="11.85546875" style="1" customWidth="1"/>
    <col min="14084" max="14084" width="10.5703125" style="1" bestFit="1" customWidth="1"/>
    <col min="14085" max="14085" width="8.140625" style="1" bestFit="1" customWidth="1"/>
    <col min="14086" max="14086" width="9.7109375" style="1" bestFit="1" customWidth="1"/>
    <col min="14087" max="14087" width="12.140625" style="1" bestFit="1" customWidth="1"/>
    <col min="14088" max="14088" width="13.28515625" style="1" bestFit="1" customWidth="1"/>
    <col min="14089" max="14090" width="12.140625" style="1" customWidth="1"/>
    <col min="14091" max="14091" width="14.140625" style="1" customWidth="1"/>
    <col min="14092" max="14092" width="15.140625" style="1" customWidth="1"/>
    <col min="14093" max="14093" width="14.140625" style="1" customWidth="1"/>
    <col min="14094" max="14094" width="12.42578125" style="1" bestFit="1" customWidth="1"/>
    <col min="14095" max="14095" width="12.140625" style="1" bestFit="1" customWidth="1"/>
    <col min="14096" max="14097" width="11.42578125" style="1"/>
    <col min="14098" max="14098" width="2.85546875" style="1" customWidth="1"/>
    <col min="14099" max="14336" width="11.42578125" style="1"/>
    <col min="14337" max="14337" width="15.5703125" style="1" customWidth="1"/>
    <col min="14338" max="14338" width="9.7109375" style="1" bestFit="1" customWidth="1"/>
    <col min="14339" max="14339" width="11.85546875" style="1" customWidth="1"/>
    <col min="14340" max="14340" width="10.5703125" style="1" bestFit="1" customWidth="1"/>
    <col min="14341" max="14341" width="8.140625" style="1" bestFit="1" customWidth="1"/>
    <col min="14342" max="14342" width="9.7109375" style="1" bestFit="1" customWidth="1"/>
    <col min="14343" max="14343" width="12.140625" style="1" bestFit="1" customWidth="1"/>
    <col min="14344" max="14344" width="13.28515625" style="1" bestFit="1" customWidth="1"/>
    <col min="14345" max="14346" width="12.140625" style="1" customWidth="1"/>
    <col min="14347" max="14347" width="14.140625" style="1" customWidth="1"/>
    <col min="14348" max="14348" width="15.140625" style="1" customWidth="1"/>
    <col min="14349" max="14349" width="14.140625" style="1" customWidth="1"/>
    <col min="14350" max="14350" width="12.42578125" style="1" bestFit="1" customWidth="1"/>
    <col min="14351" max="14351" width="12.140625" style="1" bestFit="1" customWidth="1"/>
    <col min="14352" max="14353" width="11.42578125" style="1"/>
    <col min="14354" max="14354" width="2.85546875" style="1" customWidth="1"/>
    <col min="14355" max="14592" width="11.42578125" style="1"/>
    <col min="14593" max="14593" width="15.5703125" style="1" customWidth="1"/>
    <col min="14594" max="14594" width="9.7109375" style="1" bestFit="1" customWidth="1"/>
    <col min="14595" max="14595" width="11.85546875" style="1" customWidth="1"/>
    <col min="14596" max="14596" width="10.5703125" style="1" bestFit="1" customWidth="1"/>
    <col min="14597" max="14597" width="8.140625" style="1" bestFit="1" customWidth="1"/>
    <col min="14598" max="14598" width="9.7109375" style="1" bestFit="1" customWidth="1"/>
    <col min="14599" max="14599" width="12.140625" style="1" bestFit="1" customWidth="1"/>
    <col min="14600" max="14600" width="13.28515625" style="1" bestFit="1" customWidth="1"/>
    <col min="14601" max="14602" width="12.140625" style="1" customWidth="1"/>
    <col min="14603" max="14603" width="14.140625" style="1" customWidth="1"/>
    <col min="14604" max="14604" width="15.140625" style="1" customWidth="1"/>
    <col min="14605" max="14605" width="14.140625" style="1" customWidth="1"/>
    <col min="14606" max="14606" width="12.42578125" style="1" bestFit="1" customWidth="1"/>
    <col min="14607" max="14607" width="12.140625" style="1" bestFit="1" customWidth="1"/>
    <col min="14608" max="14609" width="11.42578125" style="1"/>
    <col min="14610" max="14610" width="2.85546875" style="1" customWidth="1"/>
    <col min="14611" max="14848" width="11.42578125" style="1"/>
    <col min="14849" max="14849" width="15.5703125" style="1" customWidth="1"/>
    <col min="14850" max="14850" width="9.7109375" style="1" bestFit="1" customWidth="1"/>
    <col min="14851" max="14851" width="11.85546875" style="1" customWidth="1"/>
    <col min="14852" max="14852" width="10.5703125" style="1" bestFit="1" customWidth="1"/>
    <col min="14853" max="14853" width="8.140625" style="1" bestFit="1" customWidth="1"/>
    <col min="14854" max="14854" width="9.7109375" style="1" bestFit="1" customWidth="1"/>
    <col min="14855" max="14855" width="12.140625" style="1" bestFit="1" customWidth="1"/>
    <col min="14856" max="14856" width="13.28515625" style="1" bestFit="1" customWidth="1"/>
    <col min="14857" max="14858" width="12.140625" style="1" customWidth="1"/>
    <col min="14859" max="14859" width="14.140625" style="1" customWidth="1"/>
    <col min="14860" max="14860" width="15.140625" style="1" customWidth="1"/>
    <col min="14861" max="14861" width="14.140625" style="1" customWidth="1"/>
    <col min="14862" max="14862" width="12.42578125" style="1" bestFit="1" customWidth="1"/>
    <col min="14863" max="14863" width="12.140625" style="1" bestFit="1" customWidth="1"/>
    <col min="14864" max="14865" width="11.42578125" style="1"/>
    <col min="14866" max="14866" width="2.85546875" style="1" customWidth="1"/>
    <col min="14867" max="15104" width="11.42578125" style="1"/>
    <col min="15105" max="15105" width="15.5703125" style="1" customWidth="1"/>
    <col min="15106" max="15106" width="9.7109375" style="1" bestFit="1" customWidth="1"/>
    <col min="15107" max="15107" width="11.85546875" style="1" customWidth="1"/>
    <col min="15108" max="15108" width="10.5703125" style="1" bestFit="1" customWidth="1"/>
    <col min="15109" max="15109" width="8.140625" style="1" bestFit="1" customWidth="1"/>
    <col min="15110" max="15110" width="9.7109375" style="1" bestFit="1" customWidth="1"/>
    <col min="15111" max="15111" width="12.140625" style="1" bestFit="1" customWidth="1"/>
    <col min="15112" max="15112" width="13.28515625" style="1" bestFit="1" customWidth="1"/>
    <col min="15113" max="15114" width="12.140625" style="1" customWidth="1"/>
    <col min="15115" max="15115" width="14.140625" style="1" customWidth="1"/>
    <col min="15116" max="15116" width="15.140625" style="1" customWidth="1"/>
    <col min="15117" max="15117" width="14.140625" style="1" customWidth="1"/>
    <col min="15118" max="15118" width="12.42578125" style="1" bestFit="1" customWidth="1"/>
    <col min="15119" max="15119" width="12.140625" style="1" bestFit="1" customWidth="1"/>
    <col min="15120" max="15121" width="11.42578125" style="1"/>
    <col min="15122" max="15122" width="2.85546875" style="1" customWidth="1"/>
    <col min="15123" max="15360" width="11.42578125" style="1"/>
    <col min="15361" max="15361" width="15.5703125" style="1" customWidth="1"/>
    <col min="15362" max="15362" width="9.7109375" style="1" bestFit="1" customWidth="1"/>
    <col min="15363" max="15363" width="11.85546875" style="1" customWidth="1"/>
    <col min="15364" max="15364" width="10.5703125" style="1" bestFit="1" customWidth="1"/>
    <col min="15365" max="15365" width="8.140625" style="1" bestFit="1" customWidth="1"/>
    <col min="15366" max="15366" width="9.7109375" style="1" bestFit="1" customWidth="1"/>
    <col min="15367" max="15367" width="12.140625" style="1" bestFit="1" customWidth="1"/>
    <col min="15368" max="15368" width="13.28515625" style="1" bestFit="1" customWidth="1"/>
    <col min="15369" max="15370" width="12.140625" style="1" customWidth="1"/>
    <col min="15371" max="15371" width="14.140625" style="1" customWidth="1"/>
    <col min="15372" max="15372" width="15.140625" style="1" customWidth="1"/>
    <col min="15373" max="15373" width="14.140625" style="1" customWidth="1"/>
    <col min="15374" max="15374" width="12.42578125" style="1" bestFit="1" customWidth="1"/>
    <col min="15375" max="15375" width="12.140625" style="1" bestFit="1" customWidth="1"/>
    <col min="15376" max="15377" width="11.42578125" style="1"/>
    <col min="15378" max="15378" width="2.85546875" style="1" customWidth="1"/>
    <col min="15379" max="15616" width="11.42578125" style="1"/>
    <col min="15617" max="15617" width="15.5703125" style="1" customWidth="1"/>
    <col min="15618" max="15618" width="9.7109375" style="1" bestFit="1" customWidth="1"/>
    <col min="15619" max="15619" width="11.85546875" style="1" customWidth="1"/>
    <col min="15620" max="15620" width="10.5703125" style="1" bestFit="1" customWidth="1"/>
    <col min="15621" max="15621" width="8.140625" style="1" bestFit="1" customWidth="1"/>
    <col min="15622" max="15622" width="9.7109375" style="1" bestFit="1" customWidth="1"/>
    <col min="15623" max="15623" width="12.140625" style="1" bestFit="1" customWidth="1"/>
    <col min="15624" max="15624" width="13.28515625" style="1" bestFit="1" customWidth="1"/>
    <col min="15625" max="15626" width="12.140625" style="1" customWidth="1"/>
    <col min="15627" max="15627" width="14.140625" style="1" customWidth="1"/>
    <col min="15628" max="15628" width="15.140625" style="1" customWidth="1"/>
    <col min="15629" max="15629" width="14.140625" style="1" customWidth="1"/>
    <col min="15630" max="15630" width="12.42578125" style="1" bestFit="1" customWidth="1"/>
    <col min="15631" max="15631" width="12.140625" style="1" bestFit="1" customWidth="1"/>
    <col min="15632" max="15633" width="11.42578125" style="1"/>
    <col min="15634" max="15634" width="2.85546875" style="1" customWidth="1"/>
    <col min="15635" max="15872" width="11.42578125" style="1"/>
    <col min="15873" max="15873" width="15.5703125" style="1" customWidth="1"/>
    <col min="15874" max="15874" width="9.7109375" style="1" bestFit="1" customWidth="1"/>
    <col min="15875" max="15875" width="11.85546875" style="1" customWidth="1"/>
    <col min="15876" max="15876" width="10.5703125" style="1" bestFit="1" customWidth="1"/>
    <col min="15877" max="15877" width="8.140625" style="1" bestFit="1" customWidth="1"/>
    <col min="15878" max="15878" width="9.7109375" style="1" bestFit="1" customWidth="1"/>
    <col min="15879" max="15879" width="12.140625" style="1" bestFit="1" customWidth="1"/>
    <col min="15880" max="15880" width="13.28515625" style="1" bestFit="1" customWidth="1"/>
    <col min="15881" max="15882" width="12.140625" style="1" customWidth="1"/>
    <col min="15883" max="15883" width="14.140625" style="1" customWidth="1"/>
    <col min="15884" max="15884" width="15.140625" style="1" customWidth="1"/>
    <col min="15885" max="15885" width="14.140625" style="1" customWidth="1"/>
    <col min="15886" max="15886" width="12.42578125" style="1" bestFit="1" customWidth="1"/>
    <col min="15887" max="15887" width="12.140625" style="1" bestFit="1" customWidth="1"/>
    <col min="15888" max="15889" width="11.42578125" style="1"/>
    <col min="15890" max="15890" width="2.85546875" style="1" customWidth="1"/>
    <col min="15891" max="16128" width="11.42578125" style="1"/>
    <col min="16129" max="16129" width="15.5703125" style="1" customWidth="1"/>
    <col min="16130" max="16130" width="9.7109375" style="1" bestFit="1" customWidth="1"/>
    <col min="16131" max="16131" width="11.85546875" style="1" customWidth="1"/>
    <col min="16132" max="16132" width="10.5703125" style="1" bestFit="1" customWidth="1"/>
    <col min="16133" max="16133" width="8.140625" style="1" bestFit="1" customWidth="1"/>
    <col min="16134" max="16134" width="9.7109375" style="1" bestFit="1" customWidth="1"/>
    <col min="16135" max="16135" width="12.140625" style="1" bestFit="1" customWidth="1"/>
    <col min="16136" max="16136" width="13.28515625" style="1" bestFit="1" customWidth="1"/>
    <col min="16137" max="16138" width="12.140625" style="1" customWidth="1"/>
    <col min="16139" max="16139" width="14.140625" style="1" customWidth="1"/>
    <col min="16140" max="16140" width="15.140625" style="1" customWidth="1"/>
    <col min="16141" max="16141" width="14.140625" style="1" customWidth="1"/>
    <col min="16142" max="16142" width="12.42578125" style="1" bestFit="1" customWidth="1"/>
    <col min="16143" max="16143" width="12.140625" style="1" bestFit="1" customWidth="1"/>
    <col min="16144" max="16145" width="11.42578125" style="1"/>
    <col min="16146" max="16146" width="2.85546875" style="1" customWidth="1"/>
    <col min="16147" max="16384" width="11.42578125" style="1"/>
  </cols>
  <sheetData>
    <row r="1" spans="1:18" s="599" customFormat="1" ht="51">
      <c r="A1" s="591" t="s">
        <v>417</v>
      </c>
      <c r="B1" s="597" t="s">
        <v>47</v>
      </c>
      <c r="C1" s="593" t="s">
        <v>2</v>
      </c>
      <c r="D1" s="593" t="s">
        <v>119</v>
      </c>
      <c r="E1" s="593" t="s">
        <v>3</v>
      </c>
      <c r="F1" s="594" t="s">
        <v>99</v>
      </c>
      <c r="G1" s="593" t="s">
        <v>418</v>
      </c>
      <c r="H1" s="593" t="s">
        <v>17</v>
      </c>
      <c r="I1" s="593" t="s">
        <v>103</v>
      </c>
      <c r="J1" s="593" t="s">
        <v>104</v>
      </c>
      <c r="K1" s="593" t="s">
        <v>105</v>
      </c>
      <c r="L1" s="593" t="s">
        <v>19</v>
      </c>
      <c r="M1" s="593" t="s">
        <v>20</v>
      </c>
      <c r="N1" s="593" t="s">
        <v>419</v>
      </c>
      <c r="O1" s="593" t="s">
        <v>26</v>
      </c>
      <c r="P1" s="594" t="s">
        <v>11</v>
      </c>
      <c r="Q1" s="596" t="s">
        <v>10</v>
      </c>
      <c r="R1" s="357"/>
    </row>
    <row r="2" spans="1:18">
      <c r="A2" s="601"/>
      <c r="B2" s="602"/>
      <c r="C2" s="602"/>
      <c r="D2" s="602"/>
      <c r="E2" s="602"/>
      <c r="F2" s="603"/>
      <c r="G2" s="602"/>
      <c r="H2" s="602"/>
      <c r="I2" s="602"/>
      <c r="J2" s="602"/>
      <c r="K2" s="602"/>
      <c r="L2" s="602"/>
      <c r="M2" s="602"/>
      <c r="N2" s="602"/>
      <c r="O2" s="602"/>
      <c r="P2" s="603"/>
      <c r="Q2" s="602"/>
    </row>
    <row r="3" spans="1:18" s="612" customFormat="1">
      <c r="A3" s="611" t="s">
        <v>421</v>
      </c>
      <c r="B3" s="607">
        <f>'[49]Plan de financement'!F5</f>
        <v>288125.06663356285</v>
      </c>
      <c r="C3" s="607">
        <f>'[49]Plan de financement'!F6</f>
        <v>2305000.5330685028</v>
      </c>
      <c r="D3" s="607">
        <f>'[49]Plan de financement'!F7</f>
        <v>576250.1332671257</v>
      </c>
      <c r="E3" s="607">
        <f>'[49]Plan de financement'!F8</f>
        <v>288125.06663356285</v>
      </c>
      <c r="F3" s="608">
        <f>SUM(B3:E3)</f>
        <v>3457500.7996027544</v>
      </c>
      <c r="G3" s="607">
        <f>'[49]Plan de financement'!F10</f>
        <v>288125.06663356285</v>
      </c>
      <c r="H3" s="607">
        <f>'[49]Plan de financement'!F11</f>
        <v>230500.05330685028</v>
      </c>
      <c r="I3" s="607">
        <f>'[49]Plan de financement'!F12</f>
        <v>115250.02665342514</v>
      </c>
      <c r="J3" s="607">
        <f>'[49]Plan de financement'!F13</f>
        <v>230500.05330685028</v>
      </c>
      <c r="K3" s="607">
        <f>'[49]Plan de financement'!F14</f>
        <v>115250.02665342514</v>
      </c>
      <c r="L3" s="607">
        <f>'[49]Plan de financement'!F15</f>
        <v>57625.013326712571</v>
      </c>
      <c r="M3" s="607">
        <f>'[49]Plan de financement'!F16</f>
        <v>864375.19990068849</v>
      </c>
      <c r="N3" s="607">
        <f>'[49]Plan de financement'!F17</f>
        <v>288125.06663356285</v>
      </c>
      <c r="O3" s="607">
        <f>'[49]Plan de financement'!F18</f>
        <v>115250.02665342514</v>
      </c>
      <c r="P3" s="608">
        <f>SUM(G3:O3)</f>
        <v>2305000.5330685033</v>
      </c>
      <c r="Q3" s="607">
        <f>P3+F3</f>
        <v>5762501.3326712577</v>
      </c>
      <c r="R3" s="610"/>
    </row>
    <row r="4" spans="1:18" s="612" customFormat="1">
      <c r="A4" s="611" t="s">
        <v>96</v>
      </c>
      <c r="B4" s="611">
        <v>40</v>
      </c>
      <c r="C4" s="613">
        <v>40</v>
      </c>
      <c r="D4" s="613">
        <v>40</v>
      </c>
      <c r="E4" s="613">
        <v>30</v>
      </c>
      <c r="F4" s="614"/>
      <c r="G4" s="613">
        <v>35</v>
      </c>
      <c r="H4" s="613">
        <v>20</v>
      </c>
      <c r="I4" s="613">
        <v>15</v>
      </c>
      <c r="J4" s="613">
        <v>10</v>
      </c>
      <c r="K4" s="613">
        <v>15</v>
      </c>
      <c r="L4" s="613">
        <v>20</v>
      </c>
      <c r="M4" s="613">
        <v>20</v>
      </c>
      <c r="N4" s="613">
        <v>15</v>
      </c>
      <c r="O4" s="613">
        <v>15</v>
      </c>
      <c r="P4" s="614"/>
      <c r="Q4" s="613"/>
      <c r="R4" s="616"/>
    </row>
    <row r="5" spans="1:18" s="612" customFormat="1">
      <c r="A5" s="642" t="s">
        <v>77</v>
      </c>
      <c r="B5" s="618" t="s">
        <v>15</v>
      </c>
      <c r="C5" s="619" t="s">
        <v>15</v>
      </c>
      <c r="D5" s="619" t="s">
        <v>15</v>
      </c>
      <c r="E5" s="619" t="s">
        <v>15</v>
      </c>
      <c r="F5" s="643"/>
      <c r="G5" s="619" t="s">
        <v>1</v>
      </c>
      <c r="H5" s="619" t="s">
        <v>4</v>
      </c>
      <c r="I5" s="619" t="s">
        <v>13</v>
      </c>
      <c r="J5" s="619" t="s">
        <v>5</v>
      </c>
      <c r="K5" s="619" t="s">
        <v>6</v>
      </c>
      <c r="L5" s="619" t="s">
        <v>12</v>
      </c>
      <c r="M5" s="619" t="s">
        <v>14</v>
      </c>
      <c r="N5" s="619" t="s">
        <v>34</v>
      </c>
      <c r="O5" s="619" t="s">
        <v>107</v>
      </c>
      <c r="P5" s="643"/>
      <c r="Q5" s="644"/>
      <c r="R5" s="622"/>
    </row>
    <row r="6" spans="1:18">
      <c r="A6" s="584"/>
      <c r="B6" s="626"/>
      <c r="C6" s="626"/>
      <c r="D6" s="626"/>
      <c r="E6" s="626"/>
      <c r="F6" s="627"/>
      <c r="G6" s="626"/>
      <c r="H6" s="626"/>
      <c r="I6" s="626"/>
      <c r="J6" s="626"/>
      <c r="K6" s="626"/>
      <c r="L6" s="626"/>
      <c r="M6" s="626"/>
      <c r="N6" s="626"/>
      <c r="O6" s="626"/>
      <c r="P6" s="627"/>
      <c r="Q6" s="626"/>
      <c r="R6" s="629"/>
    </row>
    <row r="7" spans="1:18">
      <c r="A7" s="584">
        <v>2019</v>
      </c>
      <c r="B7" s="626">
        <f>$B$3/$B$4/12*6</f>
        <v>3601.5633329195357</v>
      </c>
      <c r="C7" s="626">
        <f>$C$3/$C$4/12*6</f>
        <v>28812.506663356286</v>
      </c>
      <c r="D7" s="626">
        <f>$D$3/$D$4/12*6</f>
        <v>7203.1266658390714</v>
      </c>
      <c r="E7" s="626">
        <f>$E$3/$E$4/12*6</f>
        <v>4802.0844438927143</v>
      </c>
      <c r="F7" s="645">
        <f>SUM(B7:E7)</f>
        <v>44419.281106007613</v>
      </c>
      <c r="G7" s="626">
        <f>$G$3/$G$4/12*6</f>
        <v>4116.0723804794688</v>
      </c>
      <c r="H7" s="626">
        <f>$H$3/$H$4/12*6</f>
        <v>5762.5013326712569</v>
      </c>
      <c r="I7" s="626">
        <f>$I$3/$I$4/12*6</f>
        <v>3841.6675551141716</v>
      </c>
      <c r="J7" s="626">
        <f>$J$3/$J$4/12*6</f>
        <v>11525.002665342514</v>
      </c>
      <c r="K7" s="626">
        <f>$K$3/$K$4/12*6</f>
        <v>3841.6675551141716</v>
      </c>
      <c r="L7" s="626">
        <f>$L$3/$L$4/12*6</f>
        <v>1440.6253331678142</v>
      </c>
      <c r="M7" s="626">
        <f>$M$3/$M$4/12*6</f>
        <v>21609.379997517211</v>
      </c>
      <c r="N7" s="626">
        <f>$N$3/$N$4/12*6</f>
        <v>9604.1688877854285</v>
      </c>
      <c r="O7" s="626">
        <f>$O$3/$O$4/12*6</f>
        <v>3841.6675551141716</v>
      </c>
      <c r="P7" s="627">
        <f>SUM(G7:O7)</f>
        <v>65582.7532623062</v>
      </c>
      <c r="Q7" s="646">
        <f>P7+F7</f>
        <v>110002.03436831382</v>
      </c>
      <c r="R7" s="629"/>
    </row>
    <row r="8" spans="1:18">
      <c r="A8" s="584">
        <f>A7+1</f>
        <v>2020</v>
      </c>
      <c r="B8" s="626">
        <f>$B$3/$B$4</f>
        <v>7203.1266658390714</v>
      </c>
      <c r="C8" s="626">
        <f>$C$3/$C$4</f>
        <v>57625.013326712571</v>
      </c>
      <c r="D8" s="626">
        <f>$D$3/$D$4</f>
        <v>14406.253331678143</v>
      </c>
      <c r="E8" s="626">
        <f>$E$3/$E$4</f>
        <v>9604.1688877854285</v>
      </c>
      <c r="F8" s="645">
        <f t="shared" ref="F8:F48" si="0">SUM(B8:E8)</f>
        <v>88838.562212015226</v>
      </c>
      <c r="G8" s="626">
        <f>$G$3/$G$4</f>
        <v>8232.1447609589377</v>
      </c>
      <c r="H8" s="626">
        <f>$H$3/$H$4</f>
        <v>11525.002665342514</v>
      </c>
      <c r="I8" s="626">
        <f>$I$3/$I$4</f>
        <v>7683.3351102283432</v>
      </c>
      <c r="J8" s="626">
        <f>$J$3/$J$4</f>
        <v>23050.005330685028</v>
      </c>
      <c r="K8" s="626">
        <f>$K$3/$K$4</f>
        <v>7683.3351102283432</v>
      </c>
      <c r="L8" s="626">
        <f>$L$3/$L$4</f>
        <v>2881.2506663356285</v>
      </c>
      <c r="M8" s="626">
        <f>$M$3/$M$4</f>
        <v>43218.759995034423</v>
      </c>
      <c r="N8" s="626">
        <f>$N$3/$N$4</f>
        <v>19208.337775570857</v>
      </c>
      <c r="O8" s="626">
        <f>$O$3/$O$4</f>
        <v>7683.3351102283432</v>
      </c>
      <c r="P8" s="627">
        <f t="shared" ref="P8:P48" si="1">SUM(G8:O8)</f>
        <v>131165.5065246124</v>
      </c>
      <c r="Q8" s="646">
        <f t="shared" ref="Q8:Q48" si="2">P8+F8</f>
        <v>220004.06873662764</v>
      </c>
      <c r="R8" s="629"/>
    </row>
    <row r="9" spans="1:18">
      <c r="A9" s="584">
        <f t="shared" ref="A9:A48" si="3">A8+1</f>
        <v>2021</v>
      </c>
      <c r="B9" s="626">
        <f t="shared" ref="B9:B46" si="4">$B$3/$B$4</f>
        <v>7203.1266658390714</v>
      </c>
      <c r="C9" s="626">
        <f t="shared" ref="C9:C46" si="5">$C$3/$C$4</f>
        <v>57625.013326712571</v>
      </c>
      <c r="D9" s="626">
        <f t="shared" ref="D9:D46" si="6">$D$3/$D$4</f>
        <v>14406.253331678143</v>
      </c>
      <c r="E9" s="626">
        <f t="shared" ref="E9:E36" si="7">$E$3/$E$4</f>
        <v>9604.1688877854285</v>
      </c>
      <c r="F9" s="645">
        <f t="shared" si="0"/>
        <v>88838.562212015226</v>
      </c>
      <c r="G9" s="626">
        <f>$G$3/$G$4</f>
        <v>8232.1447609589377</v>
      </c>
      <c r="H9" s="626">
        <f t="shared" ref="H9:H26" si="8">$H$3/$H$4</f>
        <v>11525.002665342514</v>
      </c>
      <c r="I9" s="626">
        <f t="shared" ref="I9:I21" si="9">$I$3/$I$4</f>
        <v>7683.3351102283432</v>
      </c>
      <c r="J9" s="626">
        <f t="shared" ref="J9:J16" si="10">$J$3/$J$4</f>
        <v>23050.005330685028</v>
      </c>
      <c r="K9" s="626">
        <f t="shared" ref="K9:K21" si="11">$K$3/$K$4</f>
        <v>7683.3351102283432</v>
      </c>
      <c r="L9" s="626">
        <f t="shared" ref="L9:L26" si="12">$L$3/$L$4</f>
        <v>2881.2506663356285</v>
      </c>
      <c r="M9" s="626">
        <f t="shared" ref="M9:M26" si="13">$M$3/$M$4</f>
        <v>43218.759995034423</v>
      </c>
      <c r="N9" s="626">
        <f t="shared" ref="N9:N21" si="14">$N$3/$N$4</f>
        <v>19208.337775570857</v>
      </c>
      <c r="O9" s="626">
        <f t="shared" ref="O9:O21" si="15">$O$3/$O$4</f>
        <v>7683.3351102283432</v>
      </c>
      <c r="P9" s="627">
        <f t="shared" si="1"/>
        <v>131165.5065246124</v>
      </c>
      <c r="Q9" s="646">
        <f t="shared" si="2"/>
        <v>220004.06873662764</v>
      </c>
      <c r="R9" s="629"/>
    </row>
    <row r="10" spans="1:18">
      <c r="A10" s="584">
        <f t="shared" si="3"/>
        <v>2022</v>
      </c>
      <c r="B10" s="626">
        <f t="shared" si="4"/>
        <v>7203.1266658390714</v>
      </c>
      <c r="C10" s="626">
        <f t="shared" si="5"/>
        <v>57625.013326712571</v>
      </c>
      <c r="D10" s="626">
        <f t="shared" si="6"/>
        <v>14406.253331678143</v>
      </c>
      <c r="E10" s="626">
        <f t="shared" si="7"/>
        <v>9604.1688877854285</v>
      </c>
      <c r="F10" s="645">
        <f t="shared" si="0"/>
        <v>88838.562212015226</v>
      </c>
      <c r="G10" s="626">
        <f t="shared" ref="G10:G41" si="16">$G$3/$G$4</f>
        <v>8232.1447609589377</v>
      </c>
      <c r="H10" s="626">
        <f t="shared" si="8"/>
        <v>11525.002665342514</v>
      </c>
      <c r="I10" s="626">
        <f t="shared" si="9"/>
        <v>7683.3351102283432</v>
      </c>
      <c r="J10" s="626">
        <f t="shared" si="10"/>
        <v>23050.005330685028</v>
      </c>
      <c r="K10" s="626">
        <f t="shared" si="11"/>
        <v>7683.3351102283432</v>
      </c>
      <c r="L10" s="626">
        <f t="shared" si="12"/>
        <v>2881.2506663356285</v>
      </c>
      <c r="M10" s="626">
        <f t="shared" si="13"/>
        <v>43218.759995034423</v>
      </c>
      <c r="N10" s="626">
        <f t="shared" si="14"/>
        <v>19208.337775570857</v>
      </c>
      <c r="O10" s="626">
        <f t="shared" si="15"/>
        <v>7683.3351102283432</v>
      </c>
      <c r="P10" s="627">
        <f t="shared" si="1"/>
        <v>131165.5065246124</v>
      </c>
      <c r="Q10" s="646">
        <f t="shared" si="2"/>
        <v>220004.06873662764</v>
      </c>
      <c r="R10" s="629"/>
    </row>
    <row r="11" spans="1:18">
      <c r="A11" s="584">
        <f t="shared" si="3"/>
        <v>2023</v>
      </c>
      <c r="B11" s="626">
        <f t="shared" si="4"/>
        <v>7203.1266658390714</v>
      </c>
      <c r="C11" s="626">
        <f t="shared" si="5"/>
        <v>57625.013326712571</v>
      </c>
      <c r="D11" s="626">
        <f t="shared" si="6"/>
        <v>14406.253331678143</v>
      </c>
      <c r="E11" s="626">
        <f t="shared" si="7"/>
        <v>9604.1688877854285</v>
      </c>
      <c r="F11" s="645">
        <f t="shared" si="0"/>
        <v>88838.562212015226</v>
      </c>
      <c r="G11" s="626">
        <f t="shared" si="16"/>
        <v>8232.1447609589377</v>
      </c>
      <c r="H11" s="626">
        <f t="shared" si="8"/>
        <v>11525.002665342514</v>
      </c>
      <c r="I11" s="626">
        <f t="shared" si="9"/>
        <v>7683.3351102283432</v>
      </c>
      <c r="J11" s="626">
        <f t="shared" si="10"/>
        <v>23050.005330685028</v>
      </c>
      <c r="K11" s="626">
        <f t="shared" si="11"/>
        <v>7683.3351102283432</v>
      </c>
      <c r="L11" s="626">
        <f t="shared" si="12"/>
        <v>2881.2506663356285</v>
      </c>
      <c r="M11" s="626">
        <f t="shared" si="13"/>
        <v>43218.759995034423</v>
      </c>
      <c r="N11" s="626">
        <f t="shared" si="14"/>
        <v>19208.337775570857</v>
      </c>
      <c r="O11" s="626">
        <f t="shared" si="15"/>
        <v>7683.3351102283432</v>
      </c>
      <c r="P11" s="627">
        <f t="shared" si="1"/>
        <v>131165.5065246124</v>
      </c>
      <c r="Q11" s="646">
        <f t="shared" si="2"/>
        <v>220004.06873662764</v>
      </c>
      <c r="R11" s="629"/>
    </row>
    <row r="12" spans="1:18">
      <c r="A12" s="584">
        <f t="shared" si="3"/>
        <v>2024</v>
      </c>
      <c r="B12" s="626">
        <f t="shared" si="4"/>
        <v>7203.1266658390714</v>
      </c>
      <c r="C12" s="626">
        <f t="shared" si="5"/>
        <v>57625.013326712571</v>
      </c>
      <c r="D12" s="626">
        <f t="shared" si="6"/>
        <v>14406.253331678143</v>
      </c>
      <c r="E12" s="626">
        <f t="shared" si="7"/>
        <v>9604.1688877854285</v>
      </c>
      <c r="F12" s="645">
        <f t="shared" si="0"/>
        <v>88838.562212015226</v>
      </c>
      <c r="G12" s="626">
        <f t="shared" si="16"/>
        <v>8232.1447609589377</v>
      </c>
      <c r="H12" s="626">
        <f t="shared" si="8"/>
        <v>11525.002665342514</v>
      </c>
      <c r="I12" s="626">
        <f t="shared" si="9"/>
        <v>7683.3351102283432</v>
      </c>
      <c r="J12" s="626">
        <f t="shared" si="10"/>
        <v>23050.005330685028</v>
      </c>
      <c r="K12" s="626">
        <f t="shared" si="11"/>
        <v>7683.3351102283432</v>
      </c>
      <c r="L12" s="626">
        <f t="shared" si="12"/>
        <v>2881.2506663356285</v>
      </c>
      <c r="M12" s="626">
        <f t="shared" si="13"/>
        <v>43218.759995034423</v>
      </c>
      <c r="N12" s="626">
        <f t="shared" si="14"/>
        <v>19208.337775570857</v>
      </c>
      <c r="O12" s="626">
        <f t="shared" si="15"/>
        <v>7683.3351102283432</v>
      </c>
      <c r="P12" s="627">
        <f t="shared" si="1"/>
        <v>131165.5065246124</v>
      </c>
      <c r="Q12" s="646">
        <f t="shared" si="2"/>
        <v>220004.06873662764</v>
      </c>
      <c r="R12" s="629"/>
    </row>
    <row r="13" spans="1:18">
      <c r="A13" s="584">
        <f t="shared" si="3"/>
        <v>2025</v>
      </c>
      <c r="B13" s="626">
        <f t="shared" si="4"/>
        <v>7203.1266658390714</v>
      </c>
      <c r="C13" s="626">
        <f t="shared" si="5"/>
        <v>57625.013326712571</v>
      </c>
      <c r="D13" s="626">
        <f t="shared" si="6"/>
        <v>14406.253331678143</v>
      </c>
      <c r="E13" s="626">
        <f t="shared" si="7"/>
        <v>9604.1688877854285</v>
      </c>
      <c r="F13" s="645">
        <f t="shared" si="0"/>
        <v>88838.562212015226</v>
      </c>
      <c r="G13" s="626">
        <f t="shared" si="16"/>
        <v>8232.1447609589377</v>
      </c>
      <c r="H13" s="626">
        <f t="shared" si="8"/>
        <v>11525.002665342514</v>
      </c>
      <c r="I13" s="626">
        <f t="shared" si="9"/>
        <v>7683.3351102283432</v>
      </c>
      <c r="J13" s="626">
        <f t="shared" si="10"/>
        <v>23050.005330685028</v>
      </c>
      <c r="K13" s="626">
        <f t="shared" si="11"/>
        <v>7683.3351102283432</v>
      </c>
      <c r="L13" s="626">
        <f t="shared" si="12"/>
        <v>2881.2506663356285</v>
      </c>
      <c r="M13" s="626">
        <f t="shared" si="13"/>
        <v>43218.759995034423</v>
      </c>
      <c r="N13" s="626">
        <f t="shared" si="14"/>
        <v>19208.337775570857</v>
      </c>
      <c r="O13" s="626">
        <f t="shared" si="15"/>
        <v>7683.3351102283432</v>
      </c>
      <c r="P13" s="627">
        <f t="shared" si="1"/>
        <v>131165.5065246124</v>
      </c>
      <c r="Q13" s="646">
        <f t="shared" si="2"/>
        <v>220004.06873662764</v>
      </c>
      <c r="R13" s="629"/>
    </row>
    <row r="14" spans="1:18">
      <c r="A14" s="584">
        <f t="shared" si="3"/>
        <v>2026</v>
      </c>
      <c r="B14" s="626">
        <f t="shared" si="4"/>
        <v>7203.1266658390714</v>
      </c>
      <c r="C14" s="626">
        <f t="shared" si="5"/>
        <v>57625.013326712571</v>
      </c>
      <c r="D14" s="626">
        <f t="shared" si="6"/>
        <v>14406.253331678143</v>
      </c>
      <c r="E14" s="626">
        <f t="shared" si="7"/>
        <v>9604.1688877854285</v>
      </c>
      <c r="F14" s="645">
        <f t="shared" si="0"/>
        <v>88838.562212015226</v>
      </c>
      <c r="G14" s="626">
        <f t="shared" si="16"/>
        <v>8232.1447609589377</v>
      </c>
      <c r="H14" s="626">
        <f t="shared" si="8"/>
        <v>11525.002665342514</v>
      </c>
      <c r="I14" s="626">
        <f t="shared" si="9"/>
        <v>7683.3351102283432</v>
      </c>
      <c r="J14" s="626">
        <f t="shared" si="10"/>
        <v>23050.005330685028</v>
      </c>
      <c r="K14" s="626">
        <f t="shared" si="11"/>
        <v>7683.3351102283432</v>
      </c>
      <c r="L14" s="626">
        <f t="shared" si="12"/>
        <v>2881.2506663356285</v>
      </c>
      <c r="M14" s="626">
        <f t="shared" si="13"/>
        <v>43218.759995034423</v>
      </c>
      <c r="N14" s="626">
        <f t="shared" si="14"/>
        <v>19208.337775570857</v>
      </c>
      <c r="O14" s="626">
        <f t="shared" si="15"/>
        <v>7683.3351102283432</v>
      </c>
      <c r="P14" s="627">
        <f t="shared" si="1"/>
        <v>131165.5065246124</v>
      </c>
      <c r="Q14" s="646">
        <f t="shared" si="2"/>
        <v>220004.06873662764</v>
      </c>
      <c r="R14" s="629"/>
    </row>
    <row r="15" spans="1:18">
      <c r="A15" s="584">
        <f t="shared" si="3"/>
        <v>2027</v>
      </c>
      <c r="B15" s="626">
        <f t="shared" si="4"/>
        <v>7203.1266658390714</v>
      </c>
      <c r="C15" s="626">
        <f t="shared" si="5"/>
        <v>57625.013326712571</v>
      </c>
      <c r="D15" s="626">
        <f t="shared" si="6"/>
        <v>14406.253331678143</v>
      </c>
      <c r="E15" s="626">
        <f t="shared" si="7"/>
        <v>9604.1688877854285</v>
      </c>
      <c r="F15" s="645">
        <f t="shared" si="0"/>
        <v>88838.562212015226</v>
      </c>
      <c r="G15" s="626">
        <f t="shared" si="16"/>
        <v>8232.1447609589377</v>
      </c>
      <c r="H15" s="626">
        <f t="shared" si="8"/>
        <v>11525.002665342514</v>
      </c>
      <c r="I15" s="626">
        <f t="shared" si="9"/>
        <v>7683.3351102283432</v>
      </c>
      <c r="J15" s="626">
        <f t="shared" si="10"/>
        <v>23050.005330685028</v>
      </c>
      <c r="K15" s="626">
        <f t="shared" si="11"/>
        <v>7683.3351102283432</v>
      </c>
      <c r="L15" s="626">
        <f t="shared" si="12"/>
        <v>2881.2506663356285</v>
      </c>
      <c r="M15" s="626">
        <f t="shared" si="13"/>
        <v>43218.759995034423</v>
      </c>
      <c r="N15" s="626">
        <f t="shared" si="14"/>
        <v>19208.337775570857</v>
      </c>
      <c r="O15" s="626">
        <f t="shared" si="15"/>
        <v>7683.3351102283432</v>
      </c>
      <c r="P15" s="627">
        <f t="shared" si="1"/>
        <v>131165.5065246124</v>
      </c>
      <c r="Q15" s="646">
        <f t="shared" si="2"/>
        <v>220004.06873662764</v>
      </c>
      <c r="R15" s="629"/>
    </row>
    <row r="16" spans="1:18">
      <c r="A16" s="584">
        <f t="shared" si="3"/>
        <v>2028</v>
      </c>
      <c r="B16" s="626">
        <f t="shared" si="4"/>
        <v>7203.1266658390714</v>
      </c>
      <c r="C16" s="626">
        <f t="shared" si="5"/>
        <v>57625.013326712571</v>
      </c>
      <c r="D16" s="626">
        <f t="shared" si="6"/>
        <v>14406.253331678143</v>
      </c>
      <c r="E16" s="626">
        <f t="shared" si="7"/>
        <v>9604.1688877854285</v>
      </c>
      <c r="F16" s="645">
        <f t="shared" si="0"/>
        <v>88838.562212015226</v>
      </c>
      <c r="G16" s="626">
        <f t="shared" si="16"/>
        <v>8232.1447609589377</v>
      </c>
      <c r="H16" s="626">
        <f t="shared" si="8"/>
        <v>11525.002665342514</v>
      </c>
      <c r="I16" s="626">
        <f t="shared" si="9"/>
        <v>7683.3351102283432</v>
      </c>
      <c r="J16" s="626">
        <f t="shared" si="10"/>
        <v>23050.005330685028</v>
      </c>
      <c r="K16" s="626">
        <f t="shared" si="11"/>
        <v>7683.3351102283432</v>
      </c>
      <c r="L16" s="626">
        <f t="shared" si="12"/>
        <v>2881.2506663356285</v>
      </c>
      <c r="M16" s="626">
        <f t="shared" si="13"/>
        <v>43218.759995034423</v>
      </c>
      <c r="N16" s="626">
        <f t="shared" si="14"/>
        <v>19208.337775570857</v>
      </c>
      <c r="O16" s="626">
        <f t="shared" si="15"/>
        <v>7683.3351102283432</v>
      </c>
      <c r="P16" s="627">
        <f t="shared" si="1"/>
        <v>131165.5065246124</v>
      </c>
      <c r="Q16" s="646">
        <f t="shared" si="2"/>
        <v>220004.06873662764</v>
      </c>
      <c r="R16" s="629"/>
    </row>
    <row r="17" spans="1:18">
      <c r="A17" s="584">
        <f t="shared" si="3"/>
        <v>2029</v>
      </c>
      <c r="B17" s="626">
        <f t="shared" si="4"/>
        <v>7203.1266658390714</v>
      </c>
      <c r="C17" s="626">
        <f t="shared" si="5"/>
        <v>57625.013326712571</v>
      </c>
      <c r="D17" s="626">
        <f t="shared" si="6"/>
        <v>14406.253331678143</v>
      </c>
      <c r="E17" s="626">
        <f t="shared" si="7"/>
        <v>9604.1688877854285</v>
      </c>
      <c r="F17" s="645">
        <f t="shared" si="0"/>
        <v>88838.562212015226</v>
      </c>
      <c r="G17" s="626">
        <f t="shared" si="16"/>
        <v>8232.1447609589377</v>
      </c>
      <c r="H17" s="626">
        <f t="shared" si="8"/>
        <v>11525.002665342514</v>
      </c>
      <c r="I17" s="626">
        <f t="shared" si="9"/>
        <v>7683.3351102283432</v>
      </c>
      <c r="J17" s="626">
        <f>$J$3/$J$4/12*6</f>
        <v>11525.002665342514</v>
      </c>
      <c r="K17" s="626">
        <f t="shared" si="11"/>
        <v>7683.3351102283432</v>
      </c>
      <c r="L17" s="626">
        <f t="shared" si="12"/>
        <v>2881.2506663356285</v>
      </c>
      <c r="M17" s="626">
        <f t="shared" si="13"/>
        <v>43218.759995034423</v>
      </c>
      <c r="N17" s="626">
        <f t="shared" si="14"/>
        <v>19208.337775570857</v>
      </c>
      <c r="O17" s="626">
        <f t="shared" si="15"/>
        <v>7683.3351102283432</v>
      </c>
      <c r="P17" s="627">
        <f t="shared" si="1"/>
        <v>119640.50385926991</v>
      </c>
      <c r="Q17" s="646">
        <f t="shared" si="2"/>
        <v>208479.06607128514</v>
      </c>
      <c r="R17" s="629"/>
    </row>
    <row r="18" spans="1:18">
      <c r="A18" s="584">
        <f t="shared" si="3"/>
        <v>2030</v>
      </c>
      <c r="B18" s="626">
        <f t="shared" si="4"/>
        <v>7203.1266658390714</v>
      </c>
      <c r="C18" s="626">
        <f t="shared" si="5"/>
        <v>57625.013326712571</v>
      </c>
      <c r="D18" s="626">
        <f t="shared" si="6"/>
        <v>14406.253331678143</v>
      </c>
      <c r="E18" s="626">
        <f t="shared" si="7"/>
        <v>9604.1688877854285</v>
      </c>
      <c r="F18" s="645">
        <f t="shared" si="0"/>
        <v>88838.562212015226</v>
      </c>
      <c r="G18" s="626">
        <f t="shared" si="16"/>
        <v>8232.1447609589377</v>
      </c>
      <c r="H18" s="626">
        <f t="shared" si="8"/>
        <v>11525.002665342514</v>
      </c>
      <c r="I18" s="626">
        <f t="shared" si="9"/>
        <v>7683.3351102283432</v>
      </c>
      <c r="J18" s="626"/>
      <c r="K18" s="626">
        <f t="shared" si="11"/>
        <v>7683.3351102283432</v>
      </c>
      <c r="L18" s="626">
        <f t="shared" si="12"/>
        <v>2881.2506663356285</v>
      </c>
      <c r="M18" s="626">
        <f t="shared" si="13"/>
        <v>43218.759995034423</v>
      </c>
      <c r="N18" s="626">
        <f t="shared" si="14"/>
        <v>19208.337775570857</v>
      </c>
      <c r="O18" s="626">
        <f t="shared" si="15"/>
        <v>7683.3351102283432</v>
      </c>
      <c r="P18" s="627">
        <f t="shared" si="1"/>
        <v>108115.50119392738</v>
      </c>
      <c r="Q18" s="646">
        <f t="shared" si="2"/>
        <v>196954.06340594261</v>
      </c>
      <c r="R18" s="629"/>
    </row>
    <row r="19" spans="1:18">
      <c r="A19" s="584">
        <f t="shared" si="3"/>
        <v>2031</v>
      </c>
      <c r="B19" s="626">
        <f t="shared" si="4"/>
        <v>7203.1266658390714</v>
      </c>
      <c r="C19" s="626">
        <f t="shared" si="5"/>
        <v>57625.013326712571</v>
      </c>
      <c r="D19" s="626">
        <f t="shared" si="6"/>
        <v>14406.253331678143</v>
      </c>
      <c r="E19" s="626">
        <f t="shared" si="7"/>
        <v>9604.1688877854285</v>
      </c>
      <c r="F19" s="645">
        <f t="shared" si="0"/>
        <v>88838.562212015226</v>
      </c>
      <c r="G19" s="626">
        <f t="shared" si="16"/>
        <v>8232.1447609589377</v>
      </c>
      <c r="H19" s="626">
        <f t="shared" si="8"/>
        <v>11525.002665342514</v>
      </c>
      <c r="I19" s="626">
        <f t="shared" si="9"/>
        <v>7683.3351102283432</v>
      </c>
      <c r="J19" s="626"/>
      <c r="K19" s="626">
        <f t="shared" si="11"/>
        <v>7683.3351102283432</v>
      </c>
      <c r="L19" s="626">
        <f t="shared" si="12"/>
        <v>2881.2506663356285</v>
      </c>
      <c r="M19" s="626">
        <f t="shared" si="13"/>
        <v>43218.759995034423</v>
      </c>
      <c r="N19" s="626">
        <f t="shared" si="14"/>
        <v>19208.337775570857</v>
      </c>
      <c r="O19" s="626">
        <f t="shared" si="15"/>
        <v>7683.3351102283432</v>
      </c>
      <c r="P19" s="627">
        <f t="shared" si="1"/>
        <v>108115.50119392738</v>
      </c>
      <c r="Q19" s="646">
        <f t="shared" si="2"/>
        <v>196954.06340594261</v>
      </c>
      <c r="R19" s="629"/>
    </row>
    <row r="20" spans="1:18">
      <c r="A20" s="584">
        <f t="shared" si="3"/>
        <v>2032</v>
      </c>
      <c r="B20" s="626">
        <f t="shared" si="4"/>
        <v>7203.1266658390714</v>
      </c>
      <c r="C20" s="626">
        <f t="shared" si="5"/>
        <v>57625.013326712571</v>
      </c>
      <c r="D20" s="626">
        <f t="shared" si="6"/>
        <v>14406.253331678143</v>
      </c>
      <c r="E20" s="626">
        <f t="shared" si="7"/>
        <v>9604.1688877854285</v>
      </c>
      <c r="F20" s="645">
        <f t="shared" si="0"/>
        <v>88838.562212015226</v>
      </c>
      <c r="G20" s="626">
        <f t="shared" si="16"/>
        <v>8232.1447609589377</v>
      </c>
      <c r="H20" s="626">
        <f t="shared" si="8"/>
        <v>11525.002665342514</v>
      </c>
      <c r="I20" s="626">
        <f t="shared" si="9"/>
        <v>7683.3351102283432</v>
      </c>
      <c r="J20" s="626"/>
      <c r="K20" s="626">
        <f t="shared" si="11"/>
        <v>7683.3351102283432</v>
      </c>
      <c r="L20" s="626">
        <f t="shared" si="12"/>
        <v>2881.2506663356285</v>
      </c>
      <c r="M20" s="626">
        <f t="shared" si="13"/>
        <v>43218.759995034423</v>
      </c>
      <c r="N20" s="626">
        <f t="shared" si="14"/>
        <v>19208.337775570857</v>
      </c>
      <c r="O20" s="626">
        <f t="shared" si="15"/>
        <v>7683.3351102283432</v>
      </c>
      <c r="P20" s="627">
        <f t="shared" si="1"/>
        <v>108115.50119392738</v>
      </c>
      <c r="Q20" s="646">
        <f t="shared" si="2"/>
        <v>196954.06340594261</v>
      </c>
      <c r="R20" s="629"/>
    </row>
    <row r="21" spans="1:18">
      <c r="A21" s="584">
        <f t="shared" si="3"/>
        <v>2033</v>
      </c>
      <c r="B21" s="626">
        <f t="shared" si="4"/>
        <v>7203.1266658390714</v>
      </c>
      <c r="C21" s="626">
        <f t="shared" si="5"/>
        <v>57625.013326712571</v>
      </c>
      <c r="D21" s="626">
        <f t="shared" si="6"/>
        <v>14406.253331678143</v>
      </c>
      <c r="E21" s="626">
        <f t="shared" si="7"/>
        <v>9604.1688877854285</v>
      </c>
      <c r="F21" s="645">
        <f t="shared" si="0"/>
        <v>88838.562212015226</v>
      </c>
      <c r="G21" s="626">
        <f t="shared" si="16"/>
        <v>8232.1447609589377</v>
      </c>
      <c r="H21" s="626">
        <f t="shared" si="8"/>
        <v>11525.002665342514</v>
      </c>
      <c r="I21" s="626">
        <f t="shared" si="9"/>
        <v>7683.3351102283432</v>
      </c>
      <c r="J21" s="626"/>
      <c r="K21" s="626">
        <f t="shared" si="11"/>
        <v>7683.3351102283432</v>
      </c>
      <c r="L21" s="626">
        <f t="shared" si="12"/>
        <v>2881.2506663356285</v>
      </c>
      <c r="M21" s="626">
        <f t="shared" si="13"/>
        <v>43218.759995034423</v>
      </c>
      <c r="N21" s="626">
        <f t="shared" si="14"/>
        <v>19208.337775570857</v>
      </c>
      <c r="O21" s="626">
        <f t="shared" si="15"/>
        <v>7683.3351102283432</v>
      </c>
      <c r="P21" s="627">
        <f t="shared" si="1"/>
        <v>108115.50119392738</v>
      </c>
      <c r="Q21" s="646">
        <f t="shared" si="2"/>
        <v>196954.06340594261</v>
      </c>
      <c r="R21" s="629"/>
    </row>
    <row r="22" spans="1:18">
      <c r="A22" s="584">
        <f t="shared" si="3"/>
        <v>2034</v>
      </c>
      <c r="B22" s="626">
        <f t="shared" si="4"/>
        <v>7203.1266658390714</v>
      </c>
      <c r="C22" s="626">
        <f t="shared" si="5"/>
        <v>57625.013326712571</v>
      </c>
      <c r="D22" s="626">
        <f t="shared" si="6"/>
        <v>14406.253331678143</v>
      </c>
      <c r="E22" s="626">
        <f t="shared" si="7"/>
        <v>9604.1688877854285</v>
      </c>
      <c r="F22" s="645">
        <f t="shared" si="0"/>
        <v>88838.562212015226</v>
      </c>
      <c r="G22" s="626">
        <f t="shared" si="16"/>
        <v>8232.1447609589377</v>
      </c>
      <c r="H22" s="626">
        <f t="shared" si="8"/>
        <v>11525.002665342514</v>
      </c>
      <c r="I22" s="626">
        <f>$I$3/$I$4/12*6</f>
        <v>3841.6675551141716</v>
      </c>
      <c r="J22" s="626"/>
      <c r="K22" s="626">
        <f>$K$3/$K$4/12*6</f>
        <v>3841.6675551141716</v>
      </c>
      <c r="L22" s="626">
        <f t="shared" si="12"/>
        <v>2881.2506663356285</v>
      </c>
      <c r="M22" s="626">
        <f t="shared" si="13"/>
        <v>43218.759995034423</v>
      </c>
      <c r="N22" s="626">
        <f>$N$3/$N$4/12*6</f>
        <v>9604.1688877854285</v>
      </c>
      <c r="O22" s="626">
        <f>$O$3/$O$4/12*6</f>
        <v>3841.6675551141716</v>
      </c>
      <c r="P22" s="627">
        <f t="shared" si="1"/>
        <v>86986.329640799449</v>
      </c>
      <c r="Q22" s="646">
        <f t="shared" si="2"/>
        <v>175824.89185281468</v>
      </c>
      <c r="R22" s="629"/>
    </row>
    <row r="23" spans="1:18">
      <c r="A23" s="584">
        <f t="shared" si="3"/>
        <v>2035</v>
      </c>
      <c r="B23" s="626">
        <f t="shared" si="4"/>
        <v>7203.1266658390714</v>
      </c>
      <c r="C23" s="626">
        <f t="shared" si="5"/>
        <v>57625.013326712571</v>
      </c>
      <c r="D23" s="626">
        <f t="shared" si="6"/>
        <v>14406.253331678143</v>
      </c>
      <c r="E23" s="626">
        <f t="shared" si="7"/>
        <v>9604.1688877854285</v>
      </c>
      <c r="F23" s="645">
        <f t="shared" si="0"/>
        <v>88838.562212015226</v>
      </c>
      <c r="G23" s="626">
        <f t="shared" si="16"/>
        <v>8232.1447609589377</v>
      </c>
      <c r="H23" s="626">
        <f t="shared" si="8"/>
        <v>11525.002665342514</v>
      </c>
      <c r="I23" s="626"/>
      <c r="J23" s="626"/>
      <c r="K23" s="626"/>
      <c r="L23" s="626">
        <f t="shared" si="12"/>
        <v>2881.2506663356285</v>
      </c>
      <c r="M23" s="626">
        <f t="shared" si="13"/>
        <v>43218.759995034423</v>
      </c>
      <c r="N23" s="626"/>
      <c r="O23" s="626"/>
      <c r="P23" s="627">
        <f t="shared" si="1"/>
        <v>65857.158087671502</v>
      </c>
      <c r="Q23" s="646">
        <f t="shared" si="2"/>
        <v>154695.72029968671</v>
      </c>
      <c r="R23" s="629"/>
    </row>
    <row r="24" spans="1:18">
      <c r="A24" s="584">
        <f t="shared" si="3"/>
        <v>2036</v>
      </c>
      <c r="B24" s="626">
        <f t="shared" si="4"/>
        <v>7203.1266658390714</v>
      </c>
      <c r="C24" s="626">
        <f t="shared" si="5"/>
        <v>57625.013326712571</v>
      </c>
      <c r="D24" s="626">
        <f t="shared" si="6"/>
        <v>14406.253331678143</v>
      </c>
      <c r="E24" s="626">
        <f t="shared" si="7"/>
        <v>9604.1688877854285</v>
      </c>
      <c r="F24" s="645">
        <f t="shared" si="0"/>
        <v>88838.562212015226</v>
      </c>
      <c r="G24" s="626">
        <f t="shared" si="16"/>
        <v>8232.1447609589377</v>
      </c>
      <c r="H24" s="626">
        <f t="shared" si="8"/>
        <v>11525.002665342514</v>
      </c>
      <c r="I24" s="626"/>
      <c r="J24" s="626"/>
      <c r="K24" s="626"/>
      <c r="L24" s="626">
        <f t="shared" si="12"/>
        <v>2881.2506663356285</v>
      </c>
      <c r="M24" s="626">
        <f t="shared" si="13"/>
        <v>43218.759995034423</v>
      </c>
      <c r="N24" s="626"/>
      <c r="O24" s="626"/>
      <c r="P24" s="627">
        <f t="shared" si="1"/>
        <v>65857.158087671502</v>
      </c>
      <c r="Q24" s="646">
        <f t="shared" si="2"/>
        <v>154695.72029968671</v>
      </c>
      <c r="R24" s="629"/>
    </row>
    <row r="25" spans="1:18">
      <c r="A25" s="584">
        <f t="shared" si="3"/>
        <v>2037</v>
      </c>
      <c r="B25" s="626">
        <f t="shared" si="4"/>
        <v>7203.1266658390714</v>
      </c>
      <c r="C25" s="626">
        <f t="shared" si="5"/>
        <v>57625.013326712571</v>
      </c>
      <c r="D25" s="626">
        <f t="shared" si="6"/>
        <v>14406.253331678143</v>
      </c>
      <c r="E25" s="626">
        <f t="shared" si="7"/>
        <v>9604.1688877854285</v>
      </c>
      <c r="F25" s="645">
        <f t="shared" si="0"/>
        <v>88838.562212015226</v>
      </c>
      <c r="G25" s="626">
        <f t="shared" si="16"/>
        <v>8232.1447609589377</v>
      </c>
      <c r="H25" s="626">
        <f t="shared" si="8"/>
        <v>11525.002665342514</v>
      </c>
      <c r="I25" s="626"/>
      <c r="J25" s="626"/>
      <c r="K25" s="626"/>
      <c r="L25" s="626">
        <f t="shared" si="12"/>
        <v>2881.2506663356285</v>
      </c>
      <c r="M25" s="626">
        <f t="shared" si="13"/>
        <v>43218.759995034423</v>
      </c>
      <c r="N25" s="626"/>
      <c r="O25" s="626"/>
      <c r="P25" s="627">
        <f t="shared" si="1"/>
        <v>65857.158087671502</v>
      </c>
      <c r="Q25" s="646">
        <f t="shared" si="2"/>
        <v>154695.72029968671</v>
      </c>
      <c r="R25" s="629"/>
    </row>
    <row r="26" spans="1:18">
      <c r="A26" s="584">
        <f t="shared" si="3"/>
        <v>2038</v>
      </c>
      <c r="B26" s="626">
        <f t="shared" si="4"/>
        <v>7203.1266658390714</v>
      </c>
      <c r="C26" s="626">
        <f t="shared" si="5"/>
        <v>57625.013326712571</v>
      </c>
      <c r="D26" s="626">
        <f t="shared" si="6"/>
        <v>14406.253331678143</v>
      </c>
      <c r="E26" s="626">
        <f t="shared" si="7"/>
        <v>9604.1688877854285</v>
      </c>
      <c r="F26" s="645">
        <f t="shared" si="0"/>
        <v>88838.562212015226</v>
      </c>
      <c r="G26" s="626">
        <f t="shared" si="16"/>
        <v>8232.1447609589377</v>
      </c>
      <c r="H26" s="626">
        <f t="shared" si="8"/>
        <v>11525.002665342514</v>
      </c>
      <c r="I26" s="626"/>
      <c r="J26" s="626"/>
      <c r="K26" s="626"/>
      <c r="L26" s="626">
        <f t="shared" si="12"/>
        <v>2881.2506663356285</v>
      </c>
      <c r="M26" s="626">
        <f t="shared" si="13"/>
        <v>43218.759995034423</v>
      </c>
      <c r="N26" s="626"/>
      <c r="O26" s="626"/>
      <c r="P26" s="627">
        <f t="shared" si="1"/>
        <v>65857.158087671502</v>
      </c>
      <c r="Q26" s="646">
        <f t="shared" si="2"/>
        <v>154695.72029968671</v>
      </c>
      <c r="R26" s="629"/>
    </row>
    <row r="27" spans="1:18">
      <c r="A27" s="584">
        <f t="shared" si="3"/>
        <v>2039</v>
      </c>
      <c r="B27" s="626">
        <f t="shared" si="4"/>
        <v>7203.1266658390714</v>
      </c>
      <c r="C27" s="626">
        <f t="shared" si="5"/>
        <v>57625.013326712571</v>
      </c>
      <c r="D27" s="626">
        <f t="shared" si="6"/>
        <v>14406.253331678143</v>
      </c>
      <c r="E27" s="626">
        <f t="shared" si="7"/>
        <v>9604.1688877854285</v>
      </c>
      <c r="F27" s="645">
        <f t="shared" si="0"/>
        <v>88838.562212015226</v>
      </c>
      <c r="G27" s="626">
        <f t="shared" si="16"/>
        <v>8232.1447609589377</v>
      </c>
      <c r="H27" s="626">
        <f>$H$3/$H$4/12*6</f>
        <v>5762.5013326712569</v>
      </c>
      <c r="I27" s="626"/>
      <c r="J27" s="626"/>
      <c r="K27" s="626"/>
      <c r="L27" s="626">
        <f>$L$3/$L$4/12*6</f>
        <v>1440.6253331678142</v>
      </c>
      <c r="M27" s="626">
        <f>$M$3/$M$4/12*6</f>
        <v>21609.379997517211</v>
      </c>
      <c r="N27" s="626"/>
      <c r="O27" s="626"/>
      <c r="P27" s="627">
        <f t="shared" si="1"/>
        <v>37044.65142431522</v>
      </c>
      <c r="Q27" s="646">
        <f t="shared" si="2"/>
        <v>125883.21363633045</v>
      </c>
      <c r="R27" s="629"/>
    </row>
    <row r="28" spans="1:18">
      <c r="A28" s="584">
        <f t="shared" si="3"/>
        <v>2040</v>
      </c>
      <c r="B28" s="626">
        <f t="shared" si="4"/>
        <v>7203.1266658390714</v>
      </c>
      <c r="C28" s="626">
        <f t="shared" si="5"/>
        <v>57625.013326712571</v>
      </c>
      <c r="D28" s="626">
        <f t="shared" si="6"/>
        <v>14406.253331678143</v>
      </c>
      <c r="E28" s="626">
        <f t="shared" si="7"/>
        <v>9604.1688877854285</v>
      </c>
      <c r="F28" s="645">
        <f t="shared" si="0"/>
        <v>88838.562212015226</v>
      </c>
      <c r="G28" s="626">
        <f t="shared" si="16"/>
        <v>8232.1447609589377</v>
      </c>
      <c r="H28" s="626"/>
      <c r="I28" s="626"/>
      <c r="J28" s="626"/>
      <c r="K28" s="626"/>
      <c r="L28" s="626"/>
      <c r="M28" s="626"/>
      <c r="N28" s="626"/>
      <c r="O28" s="626"/>
      <c r="P28" s="627">
        <f t="shared" si="1"/>
        <v>8232.1447609589377</v>
      </c>
      <c r="Q28" s="646">
        <f t="shared" si="2"/>
        <v>97070.706972974163</v>
      </c>
      <c r="R28" s="629"/>
    </row>
    <row r="29" spans="1:18">
      <c r="A29" s="584">
        <f t="shared" si="3"/>
        <v>2041</v>
      </c>
      <c r="B29" s="626">
        <f t="shared" si="4"/>
        <v>7203.1266658390714</v>
      </c>
      <c r="C29" s="626">
        <f t="shared" si="5"/>
        <v>57625.013326712571</v>
      </c>
      <c r="D29" s="626">
        <f t="shared" si="6"/>
        <v>14406.253331678143</v>
      </c>
      <c r="E29" s="626">
        <f t="shared" si="7"/>
        <v>9604.1688877854285</v>
      </c>
      <c r="F29" s="645">
        <f t="shared" si="0"/>
        <v>88838.562212015226</v>
      </c>
      <c r="G29" s="626">
        <f t="shared" si="16"/>
        <v>8232.1447609589377</v>
      </c>
      <c r="H29" s="626"/>
      <c r="I29" s="626"/>
      <c r="J29" s="626"/>
      <c r="K29" s="626"/>
      <c r="L29" s="626"/>
      <c r="M29" s="626"/>
      <c r="N29" s="626"/>
      <c r="O29" s="626"/>
      <c r="P29" s="627">
        <f t="shared" si="1"/>
        <v>8232.1447609589377</v>
      </c>
      <c r="Q29" s="646">
        <f t="shared" si="2"/>
        <v>97070.706972974163</v>
      </c>
      <c r="R29" s="629"/>
    </row>
    <row r="30" spans="1:18">
      <c r="A30" s="584">
        <f t="shared" si="3"/>
        <v>2042</v>
      </c>
      <c r="B30" s="626">
        <f t="shared" si="4"/>
        <v>7203.1266658390714</v>
      </c>
      <c r="C30" s="626">
        <f t="shared" si="5"/>
        <v>57625.013326712571</v>
      </c>
      <c r="D30" s="626">
        <f t="shared" si="6"/>
        <v>14406.253331678143</v>
      </c>
      <c r="E30" s="626">
        <f t="shared" si="7"/>
        <v>9604.1688877854285</v>
      </c>
      <c r="F30" s="645">
        <f t="shared" si="0"/>
        <v>88838.562212015226</v>
      </c>
      <c r="G30" s="626">
        <f t="shared" si="16"/>
        <v>8232.1447609589377</v>
      </c>
      <c r="H30" s="626"/>
      <c r="I30" s="626"/>
      <c r="J30" s="626"/>
      <c r="K30" s="626"/>
      <c r="L30" s="626"/>
      <c r="M30" s="626"/>
      <c r="N30" s="626"/>
      <c r="O30" s="626"/>
      <c r="P30" s="627">
        <f t="shared" si="1"/>
        <v>8232.1447609589377</v>
      </c>
      <c r="Q30" s="646">
        <f t="shared" si="2"/>
        <v>97070.706972974163</v>
      </c>
      <c r="R30" s="629"/>
    </row>
    <row r="31" spans="1:18">
      <c r="A31" s="584">
        <f t="shared" si="3"/>
        <v>2043</v>
      </c>
      <c r="B31" s="626">
        <f t="shared" si="4"/>
        <v>7203.1266658390714</v>
      </c>
      <c r="C31" s="626">
        <f t="shared" si="5"/>
        <v>57625.013326712571</v>
      </c>
      <c r="D31" s="626">
        <f t="shared" si="6"/>
        <v>14406.253331678143</v>
      </c>
      <c r="E31" s="626">
        <f t="shared" si="7"/>
        <v>9604.1688877854285</v>
      </c>
      <c r="F31" s="645">
        <f t="shared" si="0"/>
        <v>88838.562212015226</v>
      </c>
      <c r="G31" s="626">
        <f t="shared" si="16"/>
        <v>8232.1447609589377</v>
      </c>
      <c r="H31" s="626"/>
      <c r="I31" s="626"/>
      <c r="J31" s="626"/>
      <c r="K31" s="626"/>
      <c r="L31" s="626"/>
      <c r="M31" s="626"/>
      <c r="N31" s="626"/>
      <c r="O31" s="626"/>
      <c r="P31" s="627">
        <f t="shared" si="1"/>
        <v>8232.1447609589377</v>
      </c>
      <c r="Q31" s="646">
        <f t="shared" si="2"/>
        <v>97070.706972974163</v>
      </c>
      <c r="R31" s="629"/>
    </row>
    <row r="32" spans="1:18">
      <c r="A32" s="584">
        <f t="shared" si="3"/>
        <v>2044</v>
      </c>
      <c r="B32" s="626">
        <f t="shared" si="4"/>
        <v>7203.1266658390714</v>
      </c>
      <c r="C32" s="626">
        <f t="shared" si="5"/>
        <v>57625.013326712571</v>
      </c>
      <c r="D32" s="626">
        <f t="shared" si="6"/>
        <v>14406.253331678143</v>
      </c>
      <c r="E32" s="626">
        <f t="shared" si="7"/>
        <v>9604.1688877854285</v>
      </c>
      <c r="F32" s="645">
        <f t="shared" si="0"/>
        <v>88838.562212015226</v>
      </c>
      <c r="G32" s="626">
        <f t="shared" si="16"/>
        <v>8232.1447609589377</v>
      </c>
      <c r="H32" s="626"/>
      <c r="I32" s="626"/>
      <c r="J32" s="626"/>
      <c r="K32" s="626"/>
      <c r="L32" s="626"/>
      <c r="M32" s="626"/>
      <c r="N32" s="626"/>
      <c r="O32" s="626"/>
      <c r="P32" s="627">
        <f t="shared" si="1"/>
        <v>8232.1447609589377</v>
      </c>
      <c r="Q32" s="646">
        <f t="shared" si="2"/>
        <v>97070.706972974163</v>
      </c>
      <c r="R32" s="629"/>
    </row>
    <row r="33" spans="1:18">
      <c r="A33" s="584">
        <f t="shared" si="3"/>
        <v>2045</v>
      </c>
      <c r="B33" s="626">
        <f t="shared" si="4"/>
        <v>7203.1266658390714</v>
      </c>
      <c r="C33" s="626">
        <f t="shared" si="5"/>
        <v>57625.013326712571</v>
      </c>
      <c r="D33" s="626">
        <f t="shared" si="6"/>
        <v>14406.253331678143</v>
      </c>
      <c r="E33" s="626">
        <f t="shared" si="7"/>
        <v>9604.1688877854285</v>
      </c>
      <c r="F33" s="645">
        <f t="shared" si="0"/>
        <v>88838.562212015226</v>
      </c>
      <c r="G33" s="626">
        <f t="shared" si="16"/>
        <v>8232.1447609589377</v>
      </c>
      <c r="H33" s="626"/>
      <c r="I33" s="626"/>
      <c r="J33" s="626"/>
      <c r="K33" s="626"/>
      <c r="L33" s="626"/>
      <c r="M33" s="626"/>
      <c r="N33" s="626"/>
      <c r="O33" s="626"/>
      <c r="P33" s="627">
        <f t="shared" si="1"/>
        <v>8232.1447609589377</v>
      </c>
      <c r="Q33" s="646">
        <f t="shared" si="2"/>
        <v>97070.706972974163</v>
      </c>
      <c r="R33" s="629"/>
    </row>
    <row r="34" spans="1:18">
      <c r="A34" s="584">
        <f t="shared" si="3"/>
        <v>2046</v>
      </c>
      <c r="B34" s="626">
        <f t="shared" si="4"/>
        <v>7203.1266658390714</v>
      </c>
      <c r="C34" s="626">
        <f t="shared" si="5"/>
        <v>57625.013326712571</v>
      </c>
      <c r="D34" s="626">
        <f t="shared" si="6"/>
        <v>14406.253331678143</v>
      </c>
      <c r="E34" s="626">
        <f t="shared" si="7"/>
        <v>9604.1688877854285</v>
      </c>
      <c r="F34" s="645">
        <f t="shared" si="0"/>
        <v>88838.562212015226</v>
      </c>
      <c r="G34" s="626">
        <f t="shared" si="16"/>
        <v>8232.1447609589377</v>
      </c>
      <c r="H34" s="626"/>
      <c r="I34" s="626"/>
      <c r="J34" s="626"/>
      <c r="K34" s="626"/>
      <c r="L34" s="626"/>
      <c r="M34" s="626"/>
      <c r="N34" s="626"/>
      <c r="O34" s="626"/>
      <c r="P34" s="627">
        <f t="shared" si="1"/>
        <v>8232.1447609589377</v>
      </c>
      <c r="Q34" s="646">
        <f t="shared" si="2"/>
        <v>97070.706972974163</v>
      </c>
      <c r="R34" s="629"/>
    </row>
    <row r="35" spans="1:18">
      <c r="A35" s="584">
        <f t="shared" si="3"/>
        <v>2047</v>
      </c>
      <c r="B35" s="626">
        <f t="shared" si="4"/>
        <v>7203.1266658390714</v>
      </c>
      <c r="C35" s="626">
        <f t="shared" si="5"/>
        <v>57625.013326712571</v>
      </c>
      <c r="D35" s="626">
        <f t="shared" si="6"/>
        <v>14406.253331678143</v>
      </c>
      <c r="E35" s="626">
        <f t="shared" si="7"/>
        <v>9604.1688877854285</v>
      </c>
      <c r="F35" s="645">
        <f t="shared" si="0"/>
        <v>88838.562212015226</v>
      </c>
      <c r="G35" s="626">
        <f t="shared" si="16"/>
        <v>8232.1447609589377</v>
      </c>
      <c r="H35" s="626"/>
      <c r="I35" s="626"/>
      <c r="J35" s="626"/>
      <c r="K35" s="626"/>
      <c r="L35" s="626"/>
      <c r="M35" s="626"/>
      <c r="N35" s="626"/>
      <c r="O35" s="626"/>
      <c r="P35" s="627">
        <f t="shared" si="1"/>
        <v>8232.1447609589377</v>
      </c>
      <c r="Q35" s="646">
        <f t="shared" si="2"/>
        <v>97070.706972974163</v>
      </c>
      <c r="R35" s="629"/>
    </row>
    <row r="36" spans="1:18">
      <c r="A36" s="584">
        <f t="shared" si="3"/>
        <v>2048</v>
      </c>
      <c r="B36" s="626">
        <f t="shared" si="4"/>
        <v>7203.1266658390714</v>
      </c>
      <c r="C36" s="626">
        <f t="shared" si="5"/>
        <v>57625.013326712571</v>
      </c>
      <c r="D36" s="626">
        <f t="shared" si="6"/>
        <v>14406.253331678143</v>
      </c>
      <c r="E36" s="626">
        <f t="shared" si="7"/>
        <v>9604.1688877854285</v>
      </c>
      <c r="F36" s="645">
        <f t="shared" si="0"/>
        <v>88838.562212015226</v>
      </c>
      <c r="G36" s="626">
        <f t="shared" si="16"/>
        <v>8232.1447609589377</v>
      </c>
      <c r="H36" s="626"/>
      <c r="I36" s="626"/>
      <c r="J36" s="626"/>
      <c r="K36" s="626"/>
      <c r="L36" s="626"/>
      <c r="M36" s="626"/>
      <c r="N36" s="626"/>
      <c r="O36" s="626"/>
      <c r="P36" s="627">
        <f t="shared" si="1"/>
        <v>8232.1447609589377</v>
      </c>
      <c r="Q36" s="646">
        <f t="shared" si="2"/>
        <v>97070.706972974163</v>
      </c>
      <c r="R36" s="629"/>
    </row>
    <row r="37" spans="1:18">
      <c r="A37" s="584">
        <f t="shared" si="3"/>
        <v>2049</v>
      </c>
      <c r="B37" s="626">
        <f t="shared" si="4"/>
        <v>7203.1266658390714</v>
      </c>
      <c r="C37" s="626">
        <f t="shared" si="5"/>
        <v>57625.013326712571</v>
      </c>
      <c r="D37" s="626">
        <f t="shared" si="6"/>
        <v>14406.253331678143</v>
      </c>
      <c r="E37" s="626">
        <f>$E$3/$E$4/12*6</f>
        <v>4802.0844438927143</v>
      </c>
      <c r="F37" s="645">
        <f>SUM(B37:E37)</f>
        <v>84036.47776812251</v>
      </c>
      <c r="G37" s="626">
        <f t="shared" si="16"/>
        <v>8232.1447609589377</v>
      </c>
      <c r="H37" s="626"/>
      <c r="I37" s="626"/>
      <c r="J37" s="626"/>
      <c r="K37" s="626"/>
      <c r="L37" s="626"/>
      <c r="M37" s="626"/>
      <c r="N37" s="626"/>
      <c r="O37" s="626"/>
      <c r="P37" s="627">
        <f t="shared" si="1"/>
        <v>8232.1447609589377</v>
      </c>
      <c r="Q37" s="646">
        <f t="shared" si="2"/>
        <v>92268.622529081447</v>
      </c>
      <c r="R37" s="629"/>
    </row>
    <row r="38" spans="1:18">
      <c r="A38" s="584">
        <f t="shared" si="3"/>
        <v>2050</v>
      </c>
      <c r="B38" s="626">
        <f t="shared" si="4"/>
        <v>7203.1266658390714</v>
      </c>
      <c r="C38" s="626">
        <f t="shared" si="5"/>
        <v>57625.013326712571</v>
      </c>
      <c r="D38" s="626">
        <f t="shared" si="6"/>
        <v>14406.253331678143</v>
      </c>
      <c r="E38" s="626"/>
      <c r="F38" s="645">
        <f t="shared" si="0"/>
        <v>79234.393324229794</v>
      </c>
      <c r="G38" s="626">
        <f t="shared" si="16"/>
        <v>8232.1447609589377</v>
      </c>
      <c r="H38" s="626"/>
      <c r="I38" s="626"/>
      <c r="J38" s="626"/>
      <c r="K38" s="626"/>
      <c r="L38" s="626"/>
      <c r="M38" s="626"/>
      <c r="N38" s="626"/>
      <c r="O38" s="626"/>
      <c r="P38" s="627">
        <f t="shared" si="1"/>
        <v>8232.1447609589377</v>
      </c>
      <c r="Q38" s="646">
        <f t="shared" si="2"/>
        <v>87466.538085188731</v>
      </c>
      <c r="R38" s="629"/>
    </row>
    <row r="39" spans="1:18">
      <c r="A39" s="584">
        <f t="shared" si="3"/>
        <v>2051</v>
      </c>
      <c r="B39" s="626">
        <f t="shared" si="4"/>
        <v>7203.1266658390714</v>
      </c>
      <c r="C39" s="626">
        <f t="shared" si="5"/>
        <v>57625.013326712571</v>
      </c>
      <c r="D39" s="626">
        <f t="shared" si="6"/>
        <v>14406.253331678143</v>
      </c>
      <c r="E39" s="626"/>
      <c r="F39" s="645">
        <f t="shared" si="0"/>
        <v>79234.393324229794</v>
      </c>
      <c r="G39" s="626">
        <f t="shared" si="16"/>
        <v>8232.1447609589377</v>
      </c>
      <c r="H39" s="626"/>
      <c r="I39" s="626"/>
      <c r="J39" s="626"/>
      <c r="K39" s="626"/>
      <c r="L39" s="626"/>
      <c r="M39" s="626"/>
      <c r="N39" s="626"/>
      <c r="O39" s="626"/>
      <c r="P39" s="627">
        <f>SUM(G39:O39)</f>
        <v>8232.1447609589377</v>
      </c>
      <c r="Q39" s="646">
        <f t="shared" si="2"/>
        <v>87466.538085188731</v>
      </c>
      <c r="R39" s="629"/>
    </row>
    <row r="40" spans="1:18">
      <c r="A40" s="584">
        <f t="shared" si="3"/>
        <v>2052</v>
      </c>
      <c r="B40" s="626">
        <f t="shared" si="4"/>
        <v>7203.1266658390714</v>
      </c>
      <c r="C40" s="626">
        <f t="shared" si="5"/>
        <v>57625.013326712571</v>
      </c>
      <c r="D40" s="626">
        <f t="shared" si="6"/>
        <v>14406.253331678143</v>
      </c>
      <c r="E40" s="626"/>
      <c r="F40" s="645">
        <f t="shared" si="0"/>
        <v>79234.393324229794</v>
      </c>
      <c r="G40" s="626">
        <f t="shared" si="16"/>
        <v>8232.1447609589377</v>
      </c>
      <c r="H40" s="626"/>
      <c r="I40" s="626"/>
      <c r="J40" s="626"/>
      <c r="K40" s="626"/>
      <c r="L40" s="626"/>
      <c r="M40" s="626"/>
      <c r="N40" s="626"/>
      <c r="O40" s="626"/>
      <c r="P40" s="627">
        <f t="shared" si="1"/>
        <v>8232.1447609589377</v>
      </c>
      <c r="Q40" s="646">
        <f t="shared" si="2"/>
        <v>87466.538085188731</v>
      </c>
      <c r="R40" s="629"/>
    </row>
    <row r="41" spans="1:18">
      <c r="A41" s="584">
        <f t="shared" si="3"/>
        <v>2053</v>
      </c>
      <c r="B41" s="626">
        <f t="shared" si="4"/>
        <v>7203.1266658390714</v>
      </c>
      <c r="C41" s="626">
        <f t="shared" si="5"/>
        <v>57625.013326712571</v>
      </c>
      <c r="D41" s="626">
        <f t="shared" si="6"/>
        <v>14406.253331678143</v>
      </c>
      <c r="E41" s="626"/>
      <c r="F41" s="645">
        <f t="shared" si="0"/>
        <v>79234.393324229794</v>
      </c>
      <c r="G41" s="626">
        <f t="shared" si="16"/>
        <v>8232.1447609589377</v>
      </c>
      <c r="H41" s="626"/>
      <c r="I41" s="626"/>
      <c r="J41" s="626"/>
      <c r="K41" s="626"/>
      <c r="L41" s="626"/>
      <c r="M41" s="626"/>
      <c r="N41" s="626"/>
      <c r="O41" s="626"/>
      <c r="P41" s="627">
        <f t="shared" si="1"/>
        <v>8232.1447609589377</v>
      </c>
      <c r="Q41" s="646">
        <f t="shared" si="2"/>
        <v>87466.538085188731</v>
      </c>
      <c r="R41" s="629"/>
    </row>
    <row r="42" spans="1:18">
      <c r="A42" s="584">
        <f t="shared" si="3"/>
        <v>2054</v>
      </c>
      <c r="B42" s="626">
        <f t="shared" si="4"/>
        <v>7203.1266658390714</v>
      </c>
      <c r="C42" s="626">
        <f t="shared" si="5"/>
        <v>57625.013326712571</v>
      </c>
      <c r="D42" s="626">
        <f t="shared" si="6"/>
        <v>14406.253331678143</v>
      </c>
      <c r="E42" s="626"/>
      <c r="F42" s="645">
        <f t="shared" si="0"/>
        <v>79234.393324229794</v>
      </c>
      <c r="G42" s="626">
        <f>$G$3/$G$4/12*6</f>
        <v>4116.0723804794688</v>
      </c>
      <c r="H42" s="626"/>
      <c r="I42" s="626"/>
      <c r="J42" s="626"/>
      <c r="K42" s="626"/>
      <c r="L42" s="626"/>
      <c r="M42" s="626"/>
      <c r="N42" s="626"/>
      <c r="O42" s="626"/>
      <c r="P42" s="627">
        <f>SUM(G42:O42)</f>
        <v>4116.0723804794688</v>
      </c>
      <c r="Q42" s="646">
        <f t="shared" si="2"/>
        <v>83350.465704709262</v>
      </c>
      <c r="R42" s="629"/>
    </row>
    <row r="43" spans="1:18">
      <c r="A43" s="584">
        <f t="shared" si="3"/>
        <v>2055</v>
      </c>
      <c r="B43" s="626">
        <f t="shared" si="4"/>
        <v>7203.1266658390714</v>
      </c>
      <c r="C43" s="626">
        <f t="shared" si="5"/>
        <v>57625.013326712571</v>
      </c>
      <c r="D43" s="626">
        <f t="shared" si="6"/>
        <v>14406.253331678143</v>
      </c>
      <c r="E43" s="626"/>
      <c r="F43" s="645">
        <f t="shared" si="0"/>
        <v>79234.393324229794</v>
      </c>
      <c r="G43" s="626"/>
      <c r="H43" s="626"/>
      <c r="I43" s="626"/>
      <c r="J43" s="626"/>
      <c r="K43" s="626"/>
      <c r="L43" s="626"/>
      <c r="M43" s="626"/>
      <c r="N43" s="626"/>
      <c r="O43" s="626"/>
      <c r="P43" s="627">
        <f t="shared" si="1"/>
        <v>0</v>
      </c>
      <c r="Q43" s="646">
        <f t="shared" si="2"/>
        <v>79234.393324229794</v>
      </c>
      <c r="R43" s="629"/>
    </row>
    <row r="44" spans="1:18">
      <c r="A44" s="584">
        <f t="shared" si="3"/>
        <v>2056</v>
      </c>
      <c r="B44" s="626">
        <f t="shared" si="4"/>
        <v>7203.1266658390714</v>
      </c>
      <c r="C44" s="626">
        <f t="shared" si="5"/>
        <v>57625.013326712571</v>
      </c>
      <c r="D44" s="626">
        <f t="shared" si="6"/>
        <v>14406.253331678143</v>
      </c>
      <c r="E44" s="626"/>
      <c r="F44" s="645">
        <f t="shared" si="0"/>
        <v>79234.393324229794</v>
      </c>
      <c r="G44" s="626"/>
      <c r="H44" s="626"/>
      <c r="I44" s="626"/>
      <c r="J44" s="626"/>
      <c r="K44" s="626"/>
      <c r="L44" s="626"/>
      <c r="M44" s="626"/>
      <c r="N44" s="626"/>
      <c r="O44" s="626"/>
      <c r="P44" s="627">
        <f t="shared" si="1"/>
        <v>0</v>
      </c>
      <c r="Q44" s="646">
        <f t="shared" si="2"/>
        <v>79234.393324229794</v>
      </c>
      <c r="R44" s="629"/>
    </row>
    <row r="45" spans="1:18">
      <c r="A45" s="584">
        <f t="shared" si="3"/>
        <v>2057</v>
      </c>
      <c r="B45" s="626">
        <f t="shared" si="4"/>
        <v>7203.1266658390714</v>
      </c>
      <c r="C45" s="626">
        <f t="shared" si="5"/>
        <v>57625.013326712571</v>
      </c>
      <c r="D45" s="626">
        <f t="shared" si="6"/>
        <v>14406.253331678143</v>
      </c>
      <c r="E45" s="626"/>
      <c r="F45" s="645">
        <f t="shared" si="0"/>
        <v>79234.393324229794</v>
      </c>
      <c r="G45" s="626"/>
      <c r="H45" s="626"/>
      <c r="I45" s="626"/>
      <c r="J45" s="626"/>
      <c r="K45" s="626"/>
      <c r="L45" s="626"/>
      <c r="M45" s="626"/>
      <c r="N45" s="626"/>
      <c r="O45" s="626"/>
      <c r="P45" s="627">
        <f t="shared" si="1"/>
        <v>0</v>
      </c>
      <c r="Q45" s="646">
        <f t="shared" si="2"/>
        <v>79234.393324229794</v>
      </c>
      <c r="R45" s="629"/>
    </row>
    <row r="46" spans="1:18">
      <c r="A46" s="584">
        <f t="shared" si="3"/>
        <v>2058</v>
      </c>
      <c r="B46" s="626">
        <f t="shared" si="4"/>
        <v>7203.1266658390714</v>
      </c>
      <c r="C46" s="626">
        <f t="shared" si="5"/>
        <v>57625.013326712571</v>
      </c>
      <c r="D46" s="626">
        <f t="shared" si="6"/>
        <v>14406.253331678143</v>
      </c>
      <c r="E46" s="626"/>
      <c r="F46" s="645">
        <f t="shared" si="0"/>
        <v>79234.393324229794</v>
      </c>
      <c r="G46" s="626"/>
      <c r="H46" s="626"/>
      <c r="I46" s="626"/>
      <c r="J46" s="626"/>
      <c r="K46" s="626"/>
      <c r="L46" s="626"/>
      <c r="M46" s="626"/>
      <c r="N46" s="626"/>
      <c r="O46" s="626"/>
      <c r="P46" s="627">
        <f t="shared" si="1"/>
        <v>0</v>
      </c>
      <c r="Q46" s="646">
        <f t="shared" si="2"/>
        <v>79234.393324229794</v>
      </c>
      <c r="R46" s="629"/>
    </row>
    <row r="47" spans="1:18">
      <c r="A47" s="584">
        <f t="shared" si="3"/>
        <v>2059</v>
      </c>
      <c r="B47" s="626">
        <f>$B$3/$B$4/12*6</f>
        <v>3601.5633329195357</v>
      </c>
      <c r="C47" s="626">
        <f>$C$3/$C$4/12*6</f>
        <v>28812.506663356286</v>
      </c>
      <c r="D47" s="626">
        <f>$D$3/$D$4/12*6</f>
        <v>7203.1266658390714</v>
      </c>
      <c r="E47" s="626"/>
      <c r="F47" s="645">
        <f t="shared" si="0"/>
        <v>39617.196662114897</v>
      </c>
      <c r="G47" s="626"/>
      <c r="H47" s="626"/>
      <c r="I47" s="626"/>
      <c r="J47" s="626"/>
      <c r="K47" s="626"/>
      <c r="L47" s="626"/>
      <c r="M47" s="626"/>
      <c r="N47" s="626"/>
      <c r="O47" s="626"/>
      <c r="P47" s="627">
        <f t="shared" si="1"/>
        <v>0</v>
      </c>
      <c r="Q47" s="646">
        <f t="shared" si="2"/>
        <v>39617.196662114897</v>
      </c>
      <c r="R47" s="629"/>
    </row>
    <row r="48" spans="1:18">
      <c r="A48" s="584">
        <f t="shared" si="3"/>
        <v>2060</v>
      </c>
      <c r="B48" s="626"/>
      <c r="C48" s="626"/>
      <c r="D48" s="626"/>
      <c r="E48" s="626"/>
      <c r="F48" s="645">
        <f t="shared" si="0"/>
        <v>0</v>
      </c>
      <c r="G48" s="626"/>
      <c r="H48" s="626"/>
      <c r="I48" s="626"/>
      <c r="J48" s="626"/>
      <c r="K48" s="626"/>
      <c r="L48" s="626"/>
      <c r="M48" s="626"/>
      <c r="N48" s="626"/>
      <c r="O48" s="626"/>
      <c r="P48" s="627">
        <f t="shared" si="1"/>
        <v>0</v>
      </c>
      <c r="Q48" s="646">
        <f t="shared" si="2"/>
        <v>0</v>
      </c>
      <c r="R48" s="629"/>
    </row>
    <row r="49" spans="1:18" s="12" customFormat="1">
      <c r="A49" s="647"/>
      <c r="B49" s="632">
        <f t="shared" ref="B49:Q49" si="17">SUM(B7:B48)</f>
        <v>288125.06663356296</v>
      </c>
      <c r="C49" s="632">
        <f t="shared" si="17"/>
        <v>2305000.5330685037</v>
      </c>
      <c r="D49" s="632">
        <f t="shared" si="17"/>
        <v>576250.13326712593</v>
      </c>
      <c r="E49" s="632">
        <f t="shared" si="17"/>
        <v>288125.06663356285</v>
      </c>
      <c r="F49" s="633">
        <f t="shared" si="17"/>
        <v>3457500.7996027553</v>
      </c>
      <c r="G49" s="632">
        <f t="shared" si="17"/>
        <v>288125.06663356285</v>
      </c>
      <c r="H49" s="632">
        <f t="shared" si="17"/>
        <v>230500.0533068502</v>
      </c>
      <c r="I49" s="632">
        <f t="shared" si="17"/>
        <v>115250.02665342516</v>
      </c>
      <c r="J49" s="632">
        <f t="shared" si="17"/>
        <v>230500.05330685028</v>
      </c>
      <c r="K49" s="632">
        <f t="shared" si="17"/>
        <v>115250.02665342516</v>
      </c>
      <c r="L49" s="632">
        <f t="shared" si="17"/>
        <v>57625.013326712549</v>
      </c>
      <c r="M49" s="632">
        <f t="shared" si="17"/>
        <v>864375.19990068849</v>
      </c>
      <c r="N49" s="632">
        <f t="shared" si="17"/>
        <v>288125.06663356291</v>
      </c>
      <c r="O49" s="632">
        <f t="shared" si="17"/>
        <v>115250.02665342516</v>
      </c>
      <c r="P49" s="633">
        <f t="shared" si="17"/>
        <v>2305000.5330685014</v>
      </c>
      <c r="Q49" s="632">
        <f t="shared" si="17"/>
        <v>5762501.3326712595</v>
      </c>
      <c r="R49" s="635"/>
    </row>
    <row r="50" spans="1:18">
      <c r="A50" s="590"/>
      <c r="B50" s="572">
        <f>B3-B49</f>
        <v>0</v>
      </c>
      <c r="C50" s="572">
        <f t="shared" ref="C50:Q50" si="18">C3-C49</f>
        <v>0</v>
      </c>
      <c r="D50" s="572">
        <f t="shared" si="18"/>
        <v>0</v>
      </c>
      <c r="E50" s="572">
        <f t="shared" si="18"/>
        <v>0</v>
      </c>
      <c r="F50" s="638">
        <f t="shared" si="18"/>
        <v>0</v>
      </c>
      <c r="G50" s="572">
        <f t="shared" si="18"/>
        <v>0</v>
      </c>
      <c r="H50" s="572">
        <f t="shared" si="18"/>
        <v>0</v>
      </c>
      <c r="I50" s="572">
        <f t="shared" si="18"/>
        <v>0</v>
      </c>
      <c r="J50" s="572">
        <f t="shared" si="18"/>
        <v>0</v>
      </c>
      <c r="K50" s="572">
        <f t="shared" si="18"/>
        <v>0</v>
      </c>
      <c r="L50" s="572">
        <f t="shared" si="18"/>
        <v>0</v>
      </c>
      <c r="M50" s="572">
        <f t="shared" si="18"/>
        <v>0</v>
      </c>
      <c r="N50" s="572">
        <f t="shared" si="18"/>
        <v>0</v>
      </c>
      <c r="O50" s="572">
        <f t="shared" si="18"/>
        <v>0</v>
      </c>
      <c r="P50" s="638">
        <f t="shared" si="18"/>
        <v>0</v>
      </c>
      <c r="Q50" s="648">
        <f t="shared" si="18"/>
        <v>0</v>
      </c>
      <c r="R50" s="629"/>
    </row>
    <row r="51" spans="1:18">
      <c r="B51" s="258"/>
      <c r="C51" s="258"/>
      <c r="D51" s="258"/>
      <c r="E51" s="258"/>
      <c r="F51" s="258"/>
      <c r="G51" s="258"/>
      <c r="H51" s="258"/>
      <c r="I51" s="258"/>
      <c r="J51" s="258"/>
      <c r="K51" s="258"/>
      <c r="L51" s="258"/>
      <c r="M51" s="258"/>
      <c r="N51" s="258"/>
      <c r="O51" s="258"/>
      <c r="P51" s="258"/>
      <c r="Q51" s="258"/>
      <c r="R51" s="629"/>
    </row>
    <row r="52" spans="1:18">
      <c r="B52" s="258"/>
      <c r="C52" s="258"/>
      <c r="D52" s="258"/>
      <c r="E52" s="258"/>
      <c r="F52" s="258"/>
      <c r="G52" s="258"/>
      <c r="H52" s="258"/>
      <c r="I52" s="258"/>
      <c r="J52" s="258"/>
      <c r="K52" s="258"/>
      <c r="L52" s="258"/>
      <c r="M52" s="258"/>
      <c r="N52" s="258"/>
      <c r="O52" s="258"/>
      <c r="P52" s="258"/>
      <c r="Q52" s="258"/>
      <c r="R52" s="629"/>
    </row>
    <row r="53" spans="1:18">
      <c r="B53" s="258"/>
      <c r="C53" s="258"/>
      <c r="D53" s="258"/>
      <c r="E53" s="258"/>
      <c r="F53" s="258"/>
      <c r="G53" s="258"/>
      <c r="H53" s="258"/>
      <c r="I53" s="258"/>
      <c r="J53" s="258"/>
      <c r="K53" s="258"/>
      <c r="L53" s="258"/>
      <c r="M53" s="258"/>
      <c r="N53" s="258"/>
      <c r="O53" s="258"/>
      <c r="P53" s="258"/>
      <c r="Q53" s="258"/>
      <c r="R53" s="629"/>
    </row>
    <row r="54" spans="1:18">
      <c r="B54" s="258"/>
      <c r="C54" s="258"/>
      <c r="D54" s="258"/>
      <c r="E54" s="258"/>
      <c r="F54" s="258"/>
      <c r="G54" s="258"/>
      <c r="H54" s="258"/>
      <c r="I54" s="258"/>
      <c r="J54" s="258"/>
      <c r="K54" s="258"/>
      <c r="L54" s="258"/>
      <c r="M54" s="258"/>
      <c r="N54" s="258"/>
      <c r="O54" s="258"/>
      <c r="P54" s="258"/>
      <c r="Q54" s="258"/>
      <c r="R54" s="629"/>
    </row>
    <row r="55" spans="1:18">
      <c r="B55" s="258"/>
      <c r="C55" s="258"/>
      <c r="D55" s="258"/>
      <c r="E55" s="258"/>
      <c r="F55" s="258"/>
      <c r="P55" s="258"/>
      <c r="Q55" s="258"/>
    </row>
    <row r="56" spans="1:18">
      <c r="B56" s="258"/>
      <c r="C56" s="258"/>
      <c r="D56" s="258"/>
      <c r="E56" s="258"/>
      <c r="F56" s="258"/>
      <c r="P56" s="258"/>
      <c r="Q56" s="258"/>
    </row>
    <row r="57" spans="1:18">
      <c r="B57" s="258"/>
      <c r="C57" s="258"/>
      <c r="D57" s="258"/>
      <c r="E57" s="258"/>
      <c r="F57" s="258"/>
      <c r="P57" s="258"/>
      <c r="Q57" s="258"/>
    </row>
    <row r="58" spans="1:18">
      <c r="B58" s="258"/>
      <c r="C58" s="258"/>
      <c r="D58" s="258"/>
      <c r="E58" s="258"/>
      <c r="F58" s="258"/>
      <c r="P58" s="258"/>
      <c r="Q58" s="258"/>
    </row>
    <row r="59" spans="1:18">
      <c r="B59" s="258"/>
      <c r="C59" s="258"/>
      <c r="D59" s="258"/>
      <c r="E59" s="258"/>
      <c r="F59" s="258"/>
      <c r="P59" s="258"/>
      <c r="Q59" s="258"/>
    </row>
  </sheetData>
  <pageMargins left="0.78740157480314965" right="0.78740157480314965" top="0.98425196850393704" bottom="0.98425196850393704" header="0.51181102362204722" footer="0.51181102362204722"/>
  <pageSetup paperSize="9" scale="63" orientation="landscape" horizontalDpi="4294967293" r:id="rId1"/>
  <headerFooter alignWithMargins="0">
    <oddHeader>&amp;LSODEGIS&amp;CPLAN D'AMORTISSEMENT SUBVENTION
RESIDENCE UNIVERSITAIRE
CAMPUS UNIVERSITAIRE DE SAINT-PIERRE&amp;RPLS
VD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15</vt:i4>
      </vt:variant>
      <vt:variant>
        <vt:lpstr>Plages nommées</vt:lpstr>
      </vt:variant>
      <vt:variant>
        <vt:i4>16</vt:i4>
      </vt:variant>
    </vt:vector>
  </HeadingPairs>
  <TitlesOfParts>
    <vt:vector size="31" baseType="lpstr">
      <vt:lpstr>Modèle financier</vt:lpstr>
      <vt:lpstr>Plan de financement</vt:lpstr>
      <vt:lpstr>Prix de revient</vt:lpstr>
      <vt:lpstr>Plan de trésorerie</vt:lpstr>
      <vt:lpstr>PRD</vt:lpstr>
      <vt:lpstr>Préfinancement</vt:lpstr>
      <vt:lpstr>GER</vt:lpstr>
      <vt:lpstr>Equipements</vt:lpstr>
      <vt:lpstr>Remplacement de composants</vt:lpstr>
      <vt:lpstr>LOYERS</vt:lpstr>
      <vt:lpstr>PLS 40 ans Tr</vt:lpstr>
      <vt:lpstr>Impôts et taxes</vt:lpstr>
      <vt:lpstr>Assurance</vt:lpstr>
      <vt:lpstr>Amortissements</vt:lpstr>
      <vt:lpstr>Reprise subvent°</vt:lpstr>
      <vt:lpstr>'Plan de financement'!SF.LLTS</vt:lpstr>
      <vt:lpstr>'Plan de financement'!SHON</vt:lpstr>
      <vt:lpstr>Amortissements!Zone_d_impression</vt:lpstr>
      <vt:lpstr>Assurance!Zone_d_impression</vt:lpstr>
      <vt:lpstr>Equipements!Zone_d_impression</vt:lpstr>
      <vt:lpstr>GER!Zone_d_impression</vt:lpstr>
      <vt:lpstr>'Impôts et taxes'!Zone_d_impression</vt:lpstr>
      <vt:lpstr>LOYERS!Zone_d_impression</vt:lpstr>
      <vt:lpstr>'Modèle financier'!Zone_d_impression</vt:lpstr>
      <vt:lpstr>'Plan de financement'!Zone_d_impression</vt:lpstr>
      <vt:lpstr>'Plan de trésorerie'!Zone_d_impression</vt:lpstr>
      <vt:lpstr>'PLS 40 ans Tr'!Zone_d_impression</vt:lpstr>
      <vt:lpstr>PRD!Zone_d_impression</vt:lpstr>
      <vt:lpstr>'Prix de revient'!Zone_d_impression</vt:lpstr>
      <vt:lpstr>'Remplacement de composants'!Zone_d_impression</vt:lpstr>
      <vt:lpstr>'Reprise subvent°'!Zone_d_impression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Nathalie BLANDINO</dc:creator>
  <cp:lastModifiedBy>Nathalie BLANDINO</cp:lastModifiedBy>
  <cp:lastPrinted>2017-12-01T04:42:11Z</cp:lastPrinted>
  <dcterms:created xsi:type="dcterms:W3CDTF">2001-04-03T04:51:45Z</dcterms:created>
  <dcterms:modified xsi:type="dcterms:W3CDTF">2018-08-09T09:34:59Z</dcterms:modified>
</cp:coreProperties>
</file>