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C290AEA-419B-4D0D-9B0C-6C039B213AE4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." sheetId="5" r:id="rId1"/>
    <sheet name="Base_Sinistre" sheetId="2" r:id="rId2"/>
    <sheet name="Base_Epave" sheetId="9" r:id="rId3"/>
    <sheet name="Modèle_Sinistre" sheetId="1" r:id="rId4"/>
    <sheet name="Modèle_Epave" sheetId="10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2" l="1"/>
  <c r="G16" i="2"/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6" i="9"/>
  <c r="S17" i="9"/>
  <c r="P19" i="9" l="1"/>
  <c r="F16" i="9"/>
  <c r="L9" i="2"/>
  <c r="G18" i="9" l="1"/>
  <c r="P20" i="9" s="1"/>
  <c r="F14" i="2"/>
  <c r="G16" i="9" l="1"/>
  <c r="P13" i="9" s="1"/>
  <c r="G10" i="2"/>
  <c r="G9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E21" i="2"/>
  <c r="G19" i="2"/>
  <c r="E16" i="2"/>
  <c r="G14" i="2"/>
  <c r="G12" i="2"/>
  <c r="G11" i="2"/>
  <c r="G8" i="2"/>
  <c r="F20" i="2" l="1"/>
  <c r="G20" i="2" s="1"/>
  <c r="G13" i="2"/>
  <c r="G18" i="2" s="1"/>
  <c r="T24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S24" i="2" l="1"/>
  <c r="O24" i="2"/>
  <c r="G21" i="2"/>
  <c r="G24" i="2" s="1"/>
  <c r="F21" i="2"/>
  <c r="F25" i="2" s="1"/>
  <c r="G5" i="5"/>
  <c r="L5" i="5" s="1"/>
  <c r="O23" i="2"/>
  <c r="O21" i="2"/>
  <c r="O22" i="2"/>
  <c r="O25" i="2"/>
  <c r="F26" i="2"/>
  <c r="O29" i="2" s="1"/>
  <c r="P23" i="2"/>
  <c r="G26" i="2"/>
  <c r="P29" i="2" s="1"/>
  <c r="P25" i="2"/>
  <c r="P24" i="2"/>
  <c r="P22" i="2"/>
  <c r="P5" i="5"/>
  <c r="AG5" i="5"/>
  <c r="AQ5" i="5"/>
  <c r="AB5" i="5"/>
  <c r="M5" i="5"/>
  <c r="S5" i="5"/>
  <c r="K5" i="5" s="1"/>
  <c r="F24" i="2" l="1"/>
  <c r="G25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B5" i="8"/>
  <c r="D17" i="8"/>
  <c r="F6" i="8"/>
  <c r="G20" i="8"/>
  <c r="C15" i="8"/>
  <c r="C8" i="8"/>
  <c r="I4" i="8"/>
  <c r="H19" i="8"/>
  <c r="H26" i="8"/>
  <c r="I23" i="8"/>
  <c r="F24" i="8"/>
  <c r="B3" i="8"/>
  <c r="D16" i="8"/>
  <c r="B6" i="8"/>
  <c r="D11" i="8"/>
  <c r="C30" i="8"/>
  <c r="G7" i="8"/>
  <c r="E15" i="8"/>
  <c r="I2" i="8"/>
  <c r="H15" i="8"/>
  <c r="C3" i="8"/>
  <c r="C16" i="8"/>
  <c r="H37" i="8"/>
  <c r="E13" i="8"/>
  <c r="I12" i="8"/>
  <c r="F8" i="8"/>
  <c r="I22" i="8"/>
  <c r="F27" i="8"/>
  <c r="H33" i="8"/>
  <c r="I3" i="8"/>
  <c r="H6" i="8"/>
  <c r="B31" i="8"/>
  <c r="B27" i="8"/>
  <c r="E14" i="8"/>
  <c r="F15" i="8"/>
  <c r="C17" i="8"/>
  <c r="B13" i="8"/>
  <c r="E36" i="8"/>
  <c r="H14" i="8"/>
  <c r="E25" i="8"/>
  <c r="C7" i="8"/>
  <c r="E3" i="8"/>
  <c r="E19" i="8"/>
  <c r="F22" i="8"/>
  <c r="H27" i="8"/>
  <c r="G5" i="8"/>
  <c r="H13" i="8"/>
  <c r="D33" i="8"/>
  <c r="B25" i="8"/>
  <c r="G6" i="8"/>
  <c r="C32" i="8"/>
  <c r="E33" i="8"/>
  <c r="E31" i="8"/>
  <c r="G17" i="8"/>
  <c r="I37" i="8"/>
  <c r="E17" i="8"/>
  <c r="D19" i="8"/>
  <c r="C36" i="8"/>
  <c r="E18" i="8"/>
  <c r="D2" i="8"/>
  <c r="D30" i="8"/>
  <c r="C35" i="8"/>
  <c r="F36" i="8"/>
  <c r="H24" i="8"/>
  <c r="G15" i="8"/>
  <c r="E12" i="8"/>
  <c r="E28" i="8"/>
  <c r="H35" i="8"/>
  <c r="F28" i="8"/>
  <c r="I5" i="8"/>
  <c r="B22" i="8"/>
  <c r="H30" i="8"/>
  <c r="C31" i="8"/>
  <c r="B16" i="8"/>
  <c r="B4" i="8"/>
  <c r="F33" i="8"/>
  <c r="D18" i="8"/>
  <c r="D29" i="8"/>
  <c r="H20" i="8"/>
  <c r="B10" i="8"/>
  <c r="H7" i="8"/>
  <c r="G9" i="8"/>
  <c r="I35" i="8"/>
  <c r="E20" i="8"/>
  <c r="C25" i="8"/>
  <c r="H17" i="8"/>
  <c r="I7" i="8"/>
  <c r="D32" i="8"/>
  <c r="I21" i="8"/>
  <c r="F23" i="8"/>
  <c r="G34" i="8"/>
  <c r="D27" i="8"/>
  <c r="H28" i="8"/>
  <c r="B34" i="8"/>
  <c r="E2" i="8"/>
  <c r="I26" i="8"/>
  <c r="D12" i="8"/>
  <c r="E7" i="8"/>
  <c r="E21" i="8"/>
  <c r="H21" i="8"/>
  <c r="C10" i="8"/>
  <c r="F3" i="8"/>
  <c r="E11" i="8"/>
  <c r="G11" i="8"/>
  <c r="B23" i="8"/>
  <c r="I11" i="8"/>
  <c r="E35" i="8"/>
  <c r="H22" i="8"/>
  <c r="D24" i="8"/>
  <c r="H4" i="8"/>
  <c r="G13" i="8"/>
  <c r="G12" i="8"/>
  <c r="C28" i="8"/>
  <c r="G3" i="8"/>
  <c r="G28" i="8"/>
  <c r="D6" i="8"/>
  <c r="F37" i="8"/>
  <c r="H32" i="8"/>
  <c r="G22" i="8"/>
  <c r="E29" i="8"/>
  <c r="I10" i="8"/>
  <c r="D36" i="8"/>
  <c r="F5" i="8"/>
  <c r="D5" i="8"/>
  <c r="G21" i="8"/>
  <c r="F9" i="8"/>
  <c r="G30" i="8"/>
  <c r="G8" i="8"/>
  <c r="D7" i="8"/>
  <c r="C11" i="8"/>
  <c r="G37" i="8"/>
  <c r="D28" i="8"/>
  <c r="B8" i="8"/>
  <c r="D13" i="8"/>
  <c r="I34" i="8"/>
  <c r="B2" i="8"/>
  <c r="G18" i="8"/>
  <c r="D21" i="8"/>
  <c r="B12" i="8"/>
  <c r="E30" i="8"/>
  <c r="B19" i="8"/>
  <c r="D3" i="8"/>
  <c r="C21" i="8"/>
  <c r="B14" i="8"/>
  <c r="G29" i="8"/>
  <c r="C33" i="8"/>
  <c r="H11" i="8"/>
  <c r="I30" i="8"/>
  <c r="H31" i="8"/>
  <c r="I32" i="8"/>
  <c r="F10" i="8"/>
  <c r="C4" i="8"/>
  <c r="B20" i="8"/>
  <c r="C29" i="8"/>
  <c r="F32" i="8"/>
  <c r="F25" i="8"/>
  <c r="B37" i="8"/>
  <c r="I16" i="8"/>
  <c r="I6" i="8"/>
  <c r="G26" i="8"/>
  <c r="C6" i="8"/>
  <c r="H8" i="8"/>
  <c r="C2" i="8"/>
  <c r="B26" i="8"/>
  <c r="G23" i="8"/>
  <c r="E4" i="8"/>
  <c r="F34" i="8"/>
  <c r="I15" i="8"/>
  <c r="C19" i="8"/>
  <c r="B7" i="8"/>
  <c r="E22" i="8"/>
  <c r="E5" i="8"/>
  <c r="C26" i="8"/>
  <c r="H29" i="8"/>
  <c r="I18" i="8"/>
  <c r="C20" i="8"/>
  <c r="E27" i="8"/>
  <c r="G27" i="8"/>
  <c r="C24" i="8"/>
  <c r="D15" i="8"/>
  <c r="B21" i="8"/>
  <c r="B9" i="8"/>
  <c r="D8" i="8"/>
  <c r="G14" i="8"/>
  <c r="B15" i="8"/>
  <c r="F2" i="8"/>
  <c r="F17" i="8"/>
  <c r="I8" i="8"/>
  <c r="G36" i="8"/>
  <c r="B28" i="8"/>
  <c r="H9" i="8"/>
  <c r="F19" i="8"/>
  <c r="G33" i="8"/>
  <c r="C37" i="8"/>
  <c r="D25" i="8"/>
  <c r="F16" i="8"/>
  <c r="B17" i="8"/>
  <c r="F30" i="8"/>
  <c r="G19" i="8"/>
  <c r="F14" i="8"/>
  <c r="I31" i="8"/>
  <c r="D26" i="8"/>
  <c r="B36" i="8"/>
  <c r="B30" i="8"/>
  <c r="H36" i="8"/>
  <c r="H12" i="8"/>
  <c r="D35" i="8"/>
  <c r="D23" i="8"/>
  <c r="B35" i="8"/>
  <c r="F26" i="8"/>
  <c r="B11" i="8"/>
  <c r="F21" i="8"/>
  <c r="E26" i="8"/>
  <c r="G4" i="8"/>
  <c r="D37" i="8"/>
  <c r="F11" i="8"/>
  <c r="D4" i="8"/>
  <c r="G10" i="8"/>
  <c r="H16" i="8"/>
  <c r="F4" i="8"/>
  <c r="D9" i="8"/>
  <c r="G24" i="8"/>
  <c r="G16" i="8"/>
  <c r="E6" i="8"/>
  <c r="F13" i="8"/>
  <c r="B29" i="8"/>
  <c r="E34" i="8"/>
  <c r="E23" i="8"/>
  <c r="G35" i="8"/>
  <c r="G31" i="8"/>
  <c r="E32" i="8"/>
  <c r="E37" i="8"/>
  <c r="I27" i="8"/>
  <c r="D20" i="8"/>
  <c r="H18" i="8"/>
  <c r="C27" i="8"/>
  <c r="F20" i="8"/>
  <c r="C22" i="8"/>
  <c r="D10" i="8"/>
  <c r="E10" i="8"/>
  <c r="E9" i="8"/>
  <c r="B18" i="8"/>
  <c r="G32" i="8"/>
  <c r="H5" i="8"/>
  <c r="E8" i="8"/>
  <c r="H25" i="8"/>
  <c r="I20" i="8"/>
  <c r="D14" i="8"/>
  <c r="I33" i="8"/>
  <c r="H3" i="8"/>
  <c r="C5" i="8"/>
  <c r="H10" i="8"/>
  <c r="F29" i="8"/>
  <c r="I29" i="8"/>
  <c r="I13" i="8"/>
  <c r="H34" i="8"/>
  <c r="I9" i="8"/>
  <c r="C18" i="8"/>
  <c r="G2" i="8"/>
  <c r="I25" i="8"/>
  <c r="C13" i="8"/>
  <c r="I19" i="8"/>
  <c r="C34" i="8"/>
  <c r="F12" i="8"/>
  <c r="D22" i="8"/>
  <c r="B32" i="8"/>
  <c r="C12" i="8"/>
  <c r="G25" i="8"/>
  <c r="C14" i="8"/>
  <c r="H2" i="8"/>
  <c r="H23" i="8"/>
  <c r="I17" i="8"/>
  <c r="C23" i="8"/>
  <c r="F35" i="8"/>
  <c r="D34" i="8"/>
  <c r="C9" i="8"/>
  <c r="I28" i="8"/>
  <c r="F18" i="8"/>
  <c r="D31" i="8"/>
  <c r="B33" i="8"/>
  <c r="F7" i="8"/>
  <c r="E16" i="8"/>
  <c r="I36" i="8"/>
  <c r="B24" i="8"/>
  <c r="I14" i="8"/>
  <c r="F31" i="8"/>
  <c r="E24" i="8"/>
  <c r="I24" i="8"/>
  <c r="CB5" i="5" l="1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Z5" i="5" s="1"/>
  <c r="AV5" i="5"/>
  <c r="AD5" i="5" s="1"/>
  <c r="CR5" i="5"/>
  <c r="CN5" i="5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CU5" i="5" l="1"/>
  <c r="C5" i="5" s="1"/>
  <c r="B14" i="1" s="1"/>
  <c r="O26" i="2" l="1"/>
  <c r="O27" i="2"/>
  <c r="P26" i="2" l="1"/>
  <c r="P21" i="2"/>
  <c r="P27" i="2" l="1"/>
  <c r="O28" i="2"/>
  <c r="P28" i="2"/>
</calcChain>
</file>

<file path=xl/sharedStrings.xml><?xml version="1.0" encoding="utf-8"?>
<sst xmlns="http://schemas.openxmlformats.org/spreadsheetml/2006/main" count="587" uniqueCount="183">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</sst>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164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164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164" fontId="8" fillId="0" borderId="5" xfId="1" applyFont="1" applyBorder="1" applyAlignment="1"/>
    <xf numFmtId="164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164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164" fontId="18" fillId="11" borderId="1" xfId="0" applyNumberFormat="1" applyFont="1" applyFill="1" applyBorder="1" applyAlignment="1" applyProtection="1">
      <alignment horizontal="center" vertical="center"/>
    </xf>
    <xf numFmtId="164" fontId="9" fillId="11" borderId="1" xfId="0" applyNumberFormat="1" applyFont="1" applyFill="1" applyBorder="1" applyAlignment="1" applyProtection="1">
      <alignment horizontal="center" vertical="center"/>
      <protection locked="0"/>
    </xf>
    <xf numFmtId="164" fontId="18" fillId="11" borderId="1" xfId="0" applyNumberFormat="1" applyFont="1" applyFill="1" applyBorder="1" applyAlignment="1" applyProtection="1">
      <alignment horizontal="center" vertical="center"/>
      <protection locked="0"/>
    </xf>
    <xf numFmtId="164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164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164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164" fontId="0" fillId="0" borderId="0" xfId="0" applyNumberFormat="1" applyProtection="1">
      <protection locked="0"/>
    </xf>
    <xf numFmtId="164" fontId="2" fillId="11" borderId="1" xfId="0" applyNumberFormat="1" applyFont="1" applyFill="1" applyBorder="1" applyAlignment="1" applyProtection="1">
      <alignment horizontal="center" vertical="center"/>
      <protection locked="0"/>
    </xf>
    <xf numFmtId="164" fontId="8" fillId="3" borderId="18" xfId="0" applyNumberFormat="1" applyFont="1" applyFill="1" applyBorder="1" applyProtection="1">
      <protection locked="0"/>
    </xf>
    <xf numFmtId="164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164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164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164" fontId="21" fillId="0" borderId="1" xfId="0" applyNumberFormat="1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164" fontId="3" fillId="3" borderId="17" xfId="0" applyNumberFormat="1" applyFont="1" applyFill="1" applyBorder="1" applyAlignment="1">
      <alignment horizontal="center" vertical="center"/>
    </xf>
    <xf numFmtId="164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164" fontId="22" fillId="13" borderId="18" xfId="0" applyNumberFormat="1" applyFont="1" applyFill="1" applyBorder="1" applyAlignment="1">
      <alignment horizontal="center" vertical="center"/>
    </xf>
    <xf numFmtId="164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164" fontId="9" fillId="11" borderId="17" xfId="0" applyNumberFormat="1" applyFont="1" applyFill="1" applyBorder="1" applyAlignment="1" applyProtection="1">
      <alignment horizontal="center" vertical="center"/>
      <protection locked="0"/>
    </xf>
    <xf numFmtId="164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164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164" fontId="26" fillId="17" borderId="2" xfId="0" applyNumberFormat="1" applyFont="1" applyFill="1" applyBorder="1" applyAlignment="1" applyProtection="1">
      <alignment horizontal="center" vertical="center"/>
      <protection locked="0"/>
    </xf>
    <xf numFmtId="164" fontId="26" fillId="17" borderId="17" xfId="0" applyNumberFormat="1" applyFont="1" applyFill="1" applyBorder="1" applyAlignment="1" applyProtection="1">
      <alignment horizontal="center" vertical="center"/>
      <protection locked="0"/>
    </xf>
    <xf numFmtId="164" fontId="26" fillId="17" borderId="30" xfId="0" applyNumberFormat="1" applyFont="1" applyFill="1" applyBorder="1" applyAlignment="1">
      <alignment horizontal="center" vertical="center"/>
    </xf>
    <xf numFmtId="164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164" fontId="16" fillId="0" borderId="32" xfId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26" fillId="17" borderId="17" xfId="0" applyNumberFormat="1" applyFont="1" applyFill="1" applyBorder="1" applyAlignment="1">
      <alignment horizontal="center" vertical="center"/>
    </xf>
    <xf numFmtId="164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164" fontId="3" fillId="3" borderId="1" xfId="0" applyNumberFormat="1" applyFont="1" applyFill="1" applyBorder="1" applyAlignment="1">
      <alignment horizontal="center" vertical="center"/>
    </xf>
    <xf numFmtId="164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164" fontId="16" fillId="0" borderId="18" xfId="1" applyFont="1" applyFill="1" applyBorder="1" applyAlignment="1">
      <alignment horizontal="center" vertical="center"/>
    </xf>
    <xf numFmtId="164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12" fillId="0" borderId="5" xfId="0" applyFont="1" applyBorder="1" applyAlignment="1"/>
    <xf numFmtId="0" fontId="12" fillId="0" borderId="7" xfId="0" applyFont="1" applyBorder="1" applyAlignment="1"/>
    <xf numFmtId="164" fontId="8" fillId="0" borderId="5" xfId="1" applyFont="1" applyBorder="1" applyAlignment="1">
      <alignment horizontal="left"/>
    </xf>
    <xf numFmtId="164" fontId="8" fillId="0" borderId="7" xfId="1" applyFont="1" applyBorder="1" applyAlignment="1">
      <alignment horizontal="left"/>
    </xf>
    <xf numFmtId="164" fontId="8" fillId="0" borderId="12" xfId="1" applyFont="1" applyBorder="1" applyAlignment="1">
      <alignment horizontal="left"/>
    </xf>
    <xf numFmtId="164" fontId="8" fillId="0" borderId="13" xfId="1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4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164" fontId="14" fillId="5" borderId="10" xfId="0" applyNumberFormat="1" applyFont="1" applyFill="1" applyBorder="1" applyAlignment="1">
      <alignment horizontal="left" vertical="center" wrapText="1"/>
    </xf>
    <xf numFmtId="164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/>
    <xf numFmtId="0" fontId="12" fillId="0" borderId="15" xfId="0" applyFont="1" applyBorder="1" applyAlignment="1"/>
    <xf numFmtId="164" fontId="8" fillId="0" borderId="9" xfId="1" applyFont="1" applyBorder="1" applyAlignment="1">
      <alignment horizontal="left"/>
    </xf>
    <xf numFmtId="164" fontId="8" fillId="0" borderId="11" xfId="1" applyFont="1" applyBorder="1" applyAlignment="1">
      <alignment horizontal="left"/>
    </xf>
    <xf numFmtId="164" fontId="12" fillId="0" borderId="9" xfId="1" applyFont="1" applyBorder="1" applyAlignment="1">
      <alignment horizontal="left" vertical="center"/>
    </xf>
    <xf numFmtId="164" fontId="12" fillId="0" borderId="11" xfId="1" applyFont="1" applyBorder="1" applyAlignment="1">
      <alignment horizontal="left" vertical="center"/>
    </xf>
    <xf numFmtId="164" fontId="12" fillId="0" borderId="14" xfId="1" applyFont="1" applyBorder="1" applyAlignment="1">
      <alignment horizontal="left" vertical="center"/>
    </xf>
    <xf numFmtId="164" fontId="12" fillId="0" borderId="15" xfId="1" applyFont="1" applyBorder="1" applyAlignment="1">
      <alignment horizontal="left" vertical="center"/>
    </xf>
  </cellXfs>
  <cellStyles count="4">
    <cellStyle name="Milliers" xfId="1" builtinId="3"/>
    <cellStyle name="Normal" xfId="0" builtinId="0"/>
    <cellStyle name="Normal 2" xfId="2" xr:uid="{00000000-0005-0000-0000-000002000000}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19050</xdr:rowOff>
    </xdr:from>
    <xdr:ext cx="1809750" cy="256737"/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2590800" y="511492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3457575" cy="585545"/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9048750" y="5610225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3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5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F1:F69" totalsRowShown="0" headerRowDxfId="2" dataDxfId="1">
  <autoFilter ref="F1:F69" xr:uid="{00000000-0009-0000-0100-000001000000}"/>
  <tableColumns count="1">
    <tableColumn id="1" xr3:uid="{00000000-0010-0000-0000-000001000000}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CU37"/>
  <sheetViews>
    <sheetView workbookViewId="0">
      <selection activeCell="B28" sqref="B28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479334.30532608693</v>
      </c>
      <c r="C5" s="8" t="str">
        <f>UPPER(MID(CU5,1,1))&amp;MID(CU5,2,168)</f>
        <v>Quatre cent soixante-dix-neuf mille trois cent trente quatre Dinars et trente et un  cents</v>
      </c>
      <c r="D5" s="8">
        <f>INT(B5/1000000)</f>
        <v>0</v>
      </c>
      <c r="E5" s="8">
        <f>INT((B5-D5*1000000)/1000)</f>
        <v>479</v>
      </c>
      <c r="F5" s="8">
        <f>INT(B5-D5*1000000-E5*1000)</f>
        <v>334</v>
      </c>
      <c r="G5" s="8">
        <f>ROUND(B5-D5*1000000-E5*1000-F5,2)*100</f>
        <v>31</v>
      </c>
      <c r="H5" s="8">
        <f>D5-M5*100</f>
        <v>0</v>
      </c>
      <c r="J5" s="8">
        <f>E5-P5*100</f>
        <v>79</v>
      </c>
      <c r="K5" s="8">
        <f>ROUND(F5-S5*100,0)</f>
        <v>34</v>
      </c>
      <c r="L5" s="8">
        <f>G5</f>
        <v>31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4</v>
      </c>
      <c r="Q5" s="8">
        <f>INT((E5-P5*100)/10)</f>
        <v>7</v>
      </c>
      <c r="R5" s="8">
        <f>E5-P5*100-Q5*10</f>
        <v>9</v>
      </c>
      <c r="S5" s="8">
        <f>INT(F5/100)</f>
        <v>3</v>
      </c>
      <c r="T5" s="8">
        <f>INT((F5-S5*100)/10)</f>
        <v>3</v>
      </c>
      <c r="U5" s="8">
        <f>F5-S5*100-T5*10</f>
        <v>4</v>
      </c>
      <c r="V5" s="8">
        <f>INT(G5/10)</f>
        <v>3</v>
      </c>
      <c r="W5" s="8">
        <f>ROUND(G5-V5*10,0)</f>
        <v>1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 xml:space="preserve">quatre </v>
      </c>
      <c r="AD5" s="8" t="str">
        <f>IF(P5=0,"",IF(P5&lt;2,"cent ",AV5))</f>
        <v xml:space="preserve">cent </v>
      </c>
      <c r="AE5" s="8" t="str">
        <f>IF(Q5=1,AW5,IF(Q5=7,BO5,IF(Q5=9,CD5,CM5)))</f>
        <v xml:space="preserve">soixante-dix-neuf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trente </v>
      </c>
      <c r="AK5" s="8" t="str">
        <f>IF(K5=11,"",IF(K5=12,"",IF(K5=13,"",IF(K5=14,"",IF(K5=15,"",IF(K5=16,"",BB5))))))</f>
        <v xml:space="preserve">quatre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 xml:space="preserve">trente </v>
      </c>
      <c r="AO5" s="8" t="str">
        <f>IF(L5=11,"",IF(L5=12,"",IF(L5=13,"",IF(L5=14,"",IF(L5=15,"",IF(L5=16,"",BD5))))))</f>
        <v xml:space="preserve">et un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soixante-dix-neuf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trente </v>
      </c>
      <c r="BB5" s="8" t="str">
        <f>IF(K5=17,"",IF(K5=18,"",IF(K5=19,"",BJ5)))</f>
        <v xml:space="preserve">quatre </v>
      </c>
      <c r="BC5" s="8" t="str">
        <f>IF(L5=10,"dix ",IF(L5=11,"onze ",IF(L5=12,"douze ",IF(L5=13,"treize ",IF(L5=14,"quatorze ",IF(L5=15,"quinze ",BK5))))))</f>
        <v xml:space="preserve">trente </v>
      </c>
      <c r="BD5" s="8" t="str">
        <f>IF(L5=17,"",IF(L5=18,"",IF(L5=19,"",BL5)))</f>
        <v xml:space="preserve">et un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soixante-dix-neuf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trente </v>
      </c>
      <c r="BJ5" s="8" t="str">
        <f>IF(K5=21,"et un ",IF(K5=31,"et un ",IF(K5=41,"et un ",IF(K5=51,"et un ",IF(K5=61,"et un ",BR5)))))</f>
        <v xml:space="preserve">quatre </v>
      </c>
      <c r="BK5" s="8" t="str">
        <f>IF(L5=16,"seize ",IF(L5=17,"dix-sept ",IF(L5=18,"dix-huit ",IF(L5=19,"dix-neuf ",BS5))))</f>
        <v xml:space="preserve">trente </v>
      </c>
      <c r="BL5" s="8" t="str">
        <f>IF(L5=21,"et un ",IF(L5=31,"et un ",IF(L5=41,"et un ",IF(L5=51,"et un ",IF(L5=61,"et un ",BT5)))))</f>
        <v xml:space="preserve">et un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 xml:space="preserve">soixante-dix-neuf </v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 xml:space="preserve">trente </v>
      </c>
      <c r="BR5" s="8" t="str">
        <f>IF(T5=9,"",IF(T5=7,"",IF(U5=0,"",IF(U5=1,"un ",IF(U5=2,"deux ",IF(U5=3,"trois ",IF(U5=4,"quatre ",IF(U5=5,"cinq ",BZ5))))))))</f>
        <v xml:space="preserve">quatre </v>
      </c>
      <c r="BS5" s="8" t="str">
        <f>IF(L5=70,"soixante-dix ",IF(L5=71,"soixante et onze ",IF(L5=72,"soixante-douze ",IF(L5=73,"soixante-treize ",IF(L5=74,"soixante-quatorze ",IF(L5=75,"soixante-quinze ",CA5))))))</f>
        <v xml:space="preserve">trente </v>
      </c>
      <c r="BT5" s="8" t="str">
        <f>IF(V5=9,"",IF(V5=7,"",IF(W5=0,"",IF(W5=1,"un ",IF(W5=2,"deux ",IF(W5=3,"trois ",IF(W5=4,"quatre ",IF(W5=5,"cinq ",CB5))))))))</f>
        <v xml:space="preserve">un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 xml:space="preserve">soixante-dix-neuf </v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 xml:space="preserve">trente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 xml:space="preserve">trente </v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neuf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trente </v>
      </c>
      <c r="CG5" s="8" t="str">
        <f>IF(L5=90,"quatre-vingt-dix ",IF(L5=91,"quatre-vingt-onze ",IF(L5=92,"quatre-vingt-douze ",IF(L5=93,"quatre-vingt-treize ",IF(L5=94,"quatre-vingt-quatorze ",IF(L5=95,"quatre-vingt-quinze ",CK5))))))</f>
        <v xml:space="preserve">trente 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trente </v>
      </c>
      <c r="CK5" s="8" t="str">
        <f>IF(L5=96,"quatre-vingt-seize ",IF(L5=97,"quatre-vingt-dix-sept ",IF(L5=98,"quatre-vingt-dix-huit ",IF(L5=99,"quatre-vingt-dix-neuf ",CO5))))</f>
        <v xml:space="preserve">trente 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trente </v>
      </c>
      <c r="CO5" s="8" t="str">
        <f>IF(V5=2,"vingt ",IF(V5=3,"trente ",IF(V5=4,"quarante ",IF(V5=5,"cinquante ",CS5))))</f>
        <v xml:space="preserve">trente 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>quatre cent soixante-dix-neuf mille trois cent trente quatre Dinars et trente et un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2:T29"/>
  <sheetViews>
    <sheetView topLeftCell="D4" workbookViewId="0">
      <selection activeCell="F22" sqref="F22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32"/>
      <c r="D3" s="134"/>
      <c r="E3" s="135"/>
      <c r="F3" s="135"/>
      <c r="G3" s="135"/>
      <c r="H3" s="135"/>
      <c r="I3" s="136"/>
      <c r="J3" s="132" t="s">
        <v>147</v>
      </c>
    </row>
    <row r="4" spans="3:12" x14ac:dyDescent="0.25">
      <c r="C4" s="133"/>
      <c r="D4" s="137"/>
      <c r="E4" s="138"/>
      <c r="F4" s="138"/>
      <c r="G4" s="138"/>
      <c r="H4" s="138"/>
      <c r="I4" s="139"/>
      <c r="J4" s="133"/>
    </row>
    <row r="5" spans="3:12" x14ac:dyDescent="0.25">
      <c r="C5" s="133"/>
      <c r="D5" s="137"/>
      <c r="E5" s="138"/>
      <c r="F5" s="138"/>
      <c r="G5" s="138"/>
      <c r="H5" s="138"/>
      <c r="I5" s="139"/>
      <c r="J5" s="133"/>
    </row>
    <row r="6" spans="3:12" ht="15.75" thickBot="1" x14ac:dyDescent="0.3">
      <c r="C6" s="133"/>
      <c r="D6" s="140"/>
      <c r="E6" s="141"/>
      <c r="F6" s="141"/>
      <c r="G6" s="141"/>
      <c r="H6" s="141"/>
      <c r="I6" s="142"/>
      <c r="J6" s="133"/>
    </row>
    <row r="7" spans="3:12" ht="15.75" thickBot="1" x14ac:dyDescent="0.3">
      <c r="C7" s="133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33"/>
      <c r="L7" s="47">
        <v>2019</v>
      </c>
    </row>
    <row r="8" spans="3:12" ht="20.100000000000001" customHeight="1" x14ac:dyDescent="0.25">
      <c r="C8" s="133"/>
      <c r="D8" s="54" t="s">
        <v>153</v>
      </c>
      <c r="E8" s="55"/>
      <c r="F8" s="56">
        <v>1</v>
      </c>
      <c r="G8" s="56">
        <f>F8/1.19</f>
        <v>0.84033613445378152</v>
      </c>
      <c r="H8" s="117">
        <v>672.27</v>
      </c>
      <c r="I8" s="116">
        <v>0</v>
      </c>
      <c r="J8" s="133"/>
      <c r="L8" s="47">
        <v>1995</v>
      </c>
    </row>
    <row r="9" spans="3:12" ht="20.100000000000001" customHeight="1" x14ac:dyDescent="0.25">
      <c r="C9" s="133"/>
      <c r="D9" s="58" t="s">
        <v>154</v>
      </c>
      <c r="E9" s="59"/>
      <c r="F9" s="56"/>
      <c r="G9" s="56">
        <f>F9</f>
        <v>0</v>
      </c>
      <c r="H9" s="117">
        <v>13214.29</v>
      </c>
      <c r="I9" s="116"/>
      <c r="J9" s="133"/>
      <c r="L9" s="47">
        <f>L7-L8</f>
        <v>24</v>
      </c>
    </row>
    <row r="10" spans="3:12" ht="20.100000000000001" customHeight="1" x14ac:dyDescent="0.25">
      <c r="C10" s="133"/>
      <c r="D10" s="58" t="s">
        <v>155</v>
      </c>
      <c r="E10" s="55"/>
      <c r="F10" s="56"/>
      <c r="G10" s="56">
        <f>F10</f>
        <v>0</v>
      </c>
      <c r="H10" s="117"/>
      <c r="I10" s="116"/>
      <c r="J10" s="133"/>
    </row>
    <row r="11" spans="3:12" ht="20.100000000000001" customHeight="1" x14ac:dyDescent="0.25">
      <c r="C11" s="133"/>
      <c r="D11" s="60" t="s">
        <v>156</v>
      </c>
      <c r="E11" s="61"/>
      <c r="F11" s="62"/>
      <c r="G11" s="62">
        <f>F11/1.19</f>
        <v>0</v>
      </c>
      <c r="H11" s="117"/>
      <c r="I11" s="116"/>
      <c r="J11" s="133"/>
    </row>
    <row r="12" spans="3:12" ht="20.100000000000001" customHeight="1" x14ac:dyDescent="0.25">
      <c r="C12" s="133"/>
      <c r="D12" s="60" t="s">
        <v>157</v>
      </c>
      <c r="E12" s="61"/>
      <c r="F12" s="62">
        <v>1</v>
      </c>
      <c r="G12" s="62">
        <f>F12/1.19</f>
        <v>0.84033613445378152</v>
      </c>
      <c r="H12" s="117"/>
      <c r="I12" s="116"/>
      <c r="J12" s="133"/>
    </row>
    <row r="13" spans="3:12" ht="22.5" customHeight="1" x14ac:dyDescent="0.25">
      <c r="C13" s="133"/>
      <c r="D13" s="63" t="s">
        <v>158</v>
      </c>
      <c r="E13" s="64">
        <v>0.15</v>
      </c>
      <c r="F13" s="65">
        <f>(F8-(F12+F11))*E13</f>
        <v>0</v>
      </c>
      <c r="G13" s="65">
        <f>F13/1.19</f>
        <v>0</v>
      </c>
      <c r="H13" s="117"/>
      <c r="I13" s="116"/>
      <c r="J13" s="133"/>
    </row>
    <row r="14" spans="3:12" ht="23.25" customHeight="1" x14ac:dyDescent="0.25">
      <c r="C14" s="133"/>
      <c r="D14" s="63" t="s">
        <v>159</v>
      </c>
      <c r="E14" s="64">
        <v>0.2</v>
      </c>
      <c r="F14" s="66">
        <f>F12*E14</f>
        <v>0.2</v>
      </c>
      <c r="G14" s="67">
        <f>F14/1.19</f>
        <v>0.16806722689075632</v>
      </c>
      <c r="H14" s="117"/>
      <c r="I14" s="116"/>
      <c r="J14" s="133"/>
    </row>
    <row r="15" spans="3:12" ht="19.5" customHeight="1" x14ac:dyDescent="0.25">
      <c r="C15" s="133"/>
      <c r="D15" s="101" t="s">
        <v>177</v>
      </c>
      <c r="E15" s="102"/>
      <c r="F15" s="66">
        <v>0</v>
      </c>
      <c r="G15" s="67"/>
      <c r="H15" s="117"/>
      <c r="I15" s="116"/>
      <c r="J15" s="133"/>
    </row>
    <row r="16" spans="3:12" customFormat="1" ht="20.100000000000001" customHeight="1" x14ac:dyDescent="0.25">
      <c r="C16" s="133"/>
      <c r="D16" s="92" t="s">
        <v>175</v>
      </c>
      <c r="E16" s="148" t="e">
        <f>(F16*100/F17)-100</f>
        <v>#DIV/0!</v>
      </c>
      <c r="F16" s="127">
        <v>1</v>
      </c>
      <c r="G16" s="127">
        <f>F16</f>
        <v>1</v>
      </c>
      <c r="H16" s="124"/>
      <c r="I16" s="118"/>
      <c r="J16" s="133"/>
    </row>
    <row r="17" spans="3:20" customFormat="1" ht="21" customHeight="1" x14ac:dyDescent="0.25">
      <c r="C17" s="133"/>
      <c r="D17" s="92" t="s">
        <v>176</v>
      </c>
      <c r="E17" s="149"/>
      <c r="F17" s="127"/>
      <c r="G17" s="127">
        <f>F17</f>
        <v>0</v>
      </c>
      <c r="H17" s="124"/>
      <c r="I17" s="118"/>
      <c r="J17" s="133"/>
    </row>
    <row r="18" spans="3:20" ht="18.75" x14ac:dyDescent="0.25">
      <c r="C18" s="133"/>
      <c r="D18" s="143" t="s">
        <v>160</v>
      </c>
      <c r="E18" s="144"/>
      <c r="F18" s="68"/>
      <c r="G18" s="68">
        <f>(G8+G9+G10)-(G13+G14)</f>
        <v>0.67226890756302526</v>
      </c>
      <c r="H18" s="117"/>
      <c r="I18" s="116"/>
      <c r="J18" s="133"/>
    </row>
    <row r="19" spans="3:20" ht="20.25" customHeight="1" x14ac:dyDescent="0.25">
      <c r="C19" s="133"/>
      <c r="D19" s="69" t="s">
        <v>161</v>
      </c>
      <c r="E19" s="70"/>
      <c r="F19" s="71">
        <v>1</v>
      </c>
      <c r="G19" s="71">
        <f>F19</f>
        <v>1</v>
      </c>
      <c r="H19" s="117"/>
      <c r="I19" s="116"/>
      <c r="J19" s="133"/>
    </row>
    <row r="20" spans="3:20" ht="20.25" customHeight="1" x14ac:dyDescent="0.25">
      <c r="C20" s="133"/>
      <c r="D20" s="69" t="s">
        <v>178</v>
      </c>
      <c r="E20" s="70"/>
      <c r="F20" s="71">
        <f>IFERROR((F19*E21)+F19,"")</f>
        <v>1.1499999999999999</v>
      </c>
      <c r="G20" s="71">
        <f>IFERROR(F20,"")</f>
        <v>1.1499999999999999</v>
      </c>
      <c r="H20" s="117"/>
      <c r="I20" s="116"/>
      <c r="J20" s="133"/>
    </row>
    <row r="21" spans="3:20" ht="20.25" customHeight="1" x14ac:dyDescent="0.25">
      <c r="C21" s="133"/>
      <c r="D21" s="115" t="s">
        <v>162</v>
      </c>
      <c r="E21" s="64">
        <f>IFERROR(VLOOKUP($D$21,$M$21:$N$22,2,0),"")</f>
        <v>0.15</v>
      </c>
      <c r="F21" s="73">
        <f>IF($D$21="S /Total REG PRP Capitaux",(F18)*F16/F17,IF($D$21="Sous total REG Prp AGE",F18*F19/(F19*E21+F19),IF($D$21="Sous total REG Prp Permis",F18*F19/(F19*E21+F19))))</f>
        <v>0</v>
      </c>
      <c r="G21" s="73">
        <f>IF($D$21="S /Total REG PRP Capitaux",G18*G16/G17,IF($D$21="Sous total REG Prp AGE",G18*G19/(G19*E21+G19),IF($D$21="Sous total REG Prp Permis",G18*G19/(G19*E21+G19))))</f>
        <v>0.58458165875045676</v>
      </c>
      <c r="H21" s="117"/>
      <c r="I21" s="116"/>
      <c r="J21" s="133"/>
      <c r="M21" s="72" t="s">
        <v>162</v>
      </c>
      <c r="N21" s="64">
        <v>0.15</v>
      </c>
      <c r="O21" s="73">
        <f>IFERROR((F18*F19)/((ROUND(F20,2))),"")</f>
        <v>0</v>
      </c>
      <c r="P21" s="73">
        <f>IFERROR((G24-G22)*G18/(G19+(ROUND(G19*F21,2))),"")</f>
        <v>-34066.872143026005</v>
      </c>
    </row>
    <row r="22" spans="3:20" ht="20.25" customHeight="1" x14ac:dyDescent="0.25">
      <c r="C22" s="133"/>
      <c r="D22" s="74" t="s">
        <v>140</v>
      </c>
      <c r="E22" s="64">
        <v>0.2</v>
      </c>
      <c r="F22" s="67">
        <v>2500</v>
      </c>
      <c r="G22" s="67">
        <v>50674.559999999998</v>
      </c>
      <c r="H22" s="117"/>
      <c r="I22" s="116"/>
      <c r="J22" s="133"/>
      <c r="M22" s="72" t="s">
        <v>163</v>
      </c>
      <c r="N22" s="64">
        <v>0.25</v>
      </c>
      <c r="O22" s="73">
        <f>IFERROR((F18)*F19/(ROUND(F20,2)),"")</f>
        <v>0</v>
      </c>
      <c r="P22" s="73" t="str">
        <f>IFERROR((G23-G18)*G19/(G19+ROUND(G19*#REF!,2)),"")</f>
        <v/>
      </c>
    </row>
    <row r="23" spans="3:20" ht="23.25" customHeight="1" x14ac:dyDescent="0.25">
      <c r="C23" s="133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33"/>
      <c r="M23" s="86" t="s">
        <v>172</v>
      </c>
      <c r="N23" s="87"/>
      <c r="O23" s="88" t="e">
        <f>(F18)*F16/F17</f>
        <v>#DIV/0!</v>
      </c>
      <c r="P23" s="88" t="e">
        <f>(G18)*G16/G17</f>
        <v>#DIV/0!</v>
      </c>
      <c r="S23" s="47" t="s">
        <v>164</v>
      </c>
    </row>
    <row r="24" spans="3:20" ht="21.75" customHeight="1" thickBot="1" x14ac:dyDescent="0.3">
      <c r="C24" s="133"/>
      <c r="D24" s="114" t="str">
        <f>INDEX($M$21:$M$28,MATCH($D$21,$M$21:$M$28,0)+3)</f>
        <v>Montant Rpr Âge</v>
      </c>
      <c r="E24" s="120"/>
      <c r="F24" s="77">
        <f>IF($D$24="Montant Rpr Âge",F18-F21,IF($D$24="Montant Rpr Permis",F18-F21,IF($D$24="Montant Rpr Capitaux",F18-F21,"")))</f>
        <v>0</v>
      </c>
      <c r="G24" s="77">
        <f>IF($D$24="Montant Rpr Âge",G18-G21,IF($D$24="Montant Rpr Permis",G18-G21,IF($D$24="Montant Rpr Capitaux",G18-G21,"")))</f>
        <v>8.7687248812568508E-2</v>
      </c>
      <c r="H24" s="125">
        <f>SUM(H8:H23)</f>
        <v>13886.560000000001</v>
      </c>
      <c r="I24" s="119">
        <f>SUM(I8:I23)</f>
        <v>0</v>
      </c>
      <c r="J24" s="133"/>
      <c r="M24" s="75" t="s">
        <v>166</v>
      </c>
      <c r="N24" s="55"/>
      <c r="O24" s="89">
        <f>(F16-F22)+F18</f>
        <v>-2499</v>
      </c>
      <c r="P24" s="89">
        <f>(G16-G22)+G18</f>
        <v>-50672.887731092436</v>
      </c>
      <c r="S24" s="76">
        <f>F18*E22</f>
        <v>0</v>
      </c>
      <c r="T24" s="76">
        <f>G18*F22</f>
        <v>1680.6722689075632</v>
      </c>
    </row>
    <row r="25" spans="3:20" ht="21" customHeight="1" x14ac:dyDescent="0.25">
      <c r="C25" s="133"/>
      <c r="D25" s="114" t="str">
        <f>INDEX($M$21:$M$29,MATCH($D$21,$M$21:$M$28,0)+6)</f>
        <v>Total à payer Rpr Âge</v>
      </c>
      <c r="E25" s="120"/>
      <c r="F25" s="77">
        <f>IF($D$25="Total à payer Rpr Âge",F21-F22+F23,IF($D$25="Total à payer Rpr Permis",F21-F22+F23,IF($D$25="Total à payer Rpr Capitaux",F21-F22+F23)))</f>
        <v>-2300</v>
      </c>
      <c r="G25" s="77">
        <f>IF($D$25="Total à payer Rpr Âge",G18-G21-G22+G23,IF($D$25="Total à payer Rpr Permis",G15-G20+G21-G23,IF($D$25="Total à payer Rpr Capitaux",G16-G22+G23-G26)))</f>
        <v>-50474.472312751182</v>
      </c>
      <c r="H25" s="145"/>
      <c r="I25" s="145"/>
      <c r="J25" s="133"/>
      <c r="M25" s="75" t="s">
        <v>167</v>
      </c>
      <c r="N25" s="55"/>
      <c r="O25" s="77">
        <f>(F18-F22)+F19</f>
        <v>-2499</v>
      </c>
      <c r="P25" s="77">
        <f>(G18-G22)+G19</f>
        <v>-50672.887731092436</v>
      </c>
      <c r="S25" s="105">
        <v>2500</v>
      </c>
    </row>
    <row r="26" spans="3:20" ht="21.75" customHeight="1" thickBot="1" x14ac:dyDescent="0.3">
      <c r="C26" s="133"/>
      <c r="D26" s="83" t="s">
        <v>170</v>
      </c>
      <c r="E26" s="84"/>
      <c r="F26" s="128">
        <f>F18-F22+F23</f>
        <v>-2300</v>
      </c>
      <c r="G26" s="128">
        <f>G18-G22+G23</f>
        <v>-50473.887731092436</v>
      </c>
      <c r="H26" s="146"/>
      <c r="I26" s="146"/>
      <c r="J26" s="133"/>
      <c r="M26" s="90" t="s">
        <v>173</v>
      </c>
      <c r="N26" s="55"/>
      <c r="O26" s="89">
        <f>IFERROR(F18-F21,"")</f>
        <v>0</v>
      </c>
      <c r="P26" s="89">
        <f>IFERROR(G18-G21,"")</f>
        <v>8.7687248812568508E-2</v>
      </c>
      <c r="S26" s="105">
        <v>3000</v>
      </c>
    </row>
    <row r="27" spans="3:20" ht="18.75" x14ac:dyDescent="0.25">
      <c r="C27" s="133"/>
      <c r="D27" s="95" t="s">
        <v>171</v>
      </c>
      <c r="E27" s="96"/>
      <c r="F27" s="126"/>
      <c r="G27" s="126"/>
      <c r="H27" s="147"/>
      <c r="I27" s="146"/>
      <c r="J27" s="133"/>
      <c r="M27" s="80" t="s">
        <v>168</v>
      </c>
      <c r="N27" s="81"/>
      <c r="O27" s="82">
        <f>F18-F21+F22-F23</f>
        <v>2300</v>
      </c>
      <c r="P27" s="82">
        <f>G18-G21+G22-G23</f>
        <v>50474.647687248813</v>
      </c>
      <c r="S27" s="105">
        <v>10000</v>
      </c>
    </row>
    <row r="28" spans="3:20" ht="19.5" thickBot="1" x14ac:dyDescent="0.3">
      <c r="C28" s="133"/>
      <c r="D28" s="97"/>
      <c r="E28" s="98"/>
      <c r="F28" s="98"/>
      <c r="G28" s="98"/>
      <c r="H28" s="147"/>
      <c r="I28" s="146"/>
      <c r="J28" s="133"/>
      <c r="M28" s="80" t="s">
        <v>169</v>
      </c>
      <c r="N28" s="81"/>
      <c r="O28" s="100">
        <f>F16-F22+F23-F25</f>
        <v>1</v>
      </c>
      <c r="P28" s="100">
        <f>G16-G22+G23-G25</f>
        <v>0.91231275118479971</v>
      </c>
      <c r="S28" s="105">
        <v>50000</v>
      </c>
    </row>
    <row r="29" spans="3:20" ht="18.75" x14ac:dyDescent="0.25">
      <c r="M29" s="91" t="s">
        <v>174</v>
      </c>
      <c r="O29" s="99">
        <f>F16-F22+F23-F26</f>
        <v>1</v>
      </c>
      <c r="P29" s="99">
        <f>G16-G22+G23-G26</f>
        <v>0.32773109243862564</v>
      </c>
    </row>
  </sheetData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2:G22" xr:uid="{00000000-0002-0000-0100-000000000000}">
      <formula1>$S$24:$S$28</formula1>
    </dataValidation>
    <dataValidation type="list" allowBlank="1" showInputMessage="1" showErrorMessage="1" sqref="D21" xr:uid="{00000000-0002-0000-0100-000001000000}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C3:S21"/>
  <sheetViews>
    <sheetView workbookViewId="0">
      <selection activeCell="A8" sqref="A8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50"/>
      <c r="D4" s="152"/>
      <c r="E4" s="153"/>
      <c r="F4" s="153"/>
      <c r="G4" s="153"/>
      <c r="H4" s="153"/>
      <c r="I4" s="154"/>
      <c r="J4" s="150" t="s">
        <v>147</v>
      </c>
    </row>
    <row r="5" spans="3:19" x14ac:dyDescent="0.25">
      <c r="C5" s="151"/>
      <c r="D5" s="155"/>
      <c r="E5" s="156"/>
      <c r="F5" s="156"/>
      <c r="G5" s="156"/>
      <c r="H5" s="156"/>
      <c r="I5" s="157"/>
      <c r="J5" s="151"/>
    </row>
    <row r="6" spans="3:19" x14ac:dyDescent="0.25">
      <c r="C6" s="151"/>
      <c r="D6" s="155"/>
      <c r="E6" s="156"/>
      <c r="F6" s="156"/>
      <c r="G6" s="156"/>
      <c r="H6" s="156"/>
      <c r="I6" s="157"/>
      <c r="J6" s="151"/>
    </row>
    <row r="7" spans="3:19" ht="15.75" thickBot="1" x14ac:dyDescent="0.3">
      <c r="C7" s="151"/>
      <c r="D7" s="158"/>
      <c r="E7" s="159"/>
      <c r="F7" s="159"/>
      <c r="G7" s="159"/>
      <c r="H7" s="159"/>
      <c r="I7" s="160"/>
      <c r="J7" s="151"/>
    </row>
    <row r="8" spans="3:19" ht="15.75" thickBot="1" x14ac:dyDescent="0.3">
      <c r="C8" s="151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51"/>
    </row>
    <row r="9" spans="3:19" ht="15.75" x14ac:dyDescent="0.25">
      <c r="C9" s="151"/>
      <c r="D9" s="92" t="s">
        <v>175</v>
      </c>
      <c r="E9" s="148">
        <f>F9*100/F10-100</f>
        <v>0</v>
      </c>
      <c r="F9" s="93">
        <v>2690395.25</v>
      </c>
      <c r="G9" s="94">
        <f>F9/1.19</f>
        <v>2260836.3445378151</v>
      </c>
      <c r="H9" s="56"/>
      <c r="I9" s="57"/>
      <c r="J9" s="151"/>
    </row>
    <row r="10" spans="3:19" ht="15.75" x14ac:dyDescent="0.25">
      <c r="C10" s="151"/>
      <c r="D10" s="92" t="s">
        <v>176</v>
      </c>
      <c r="E10" s="149"/>
      <c r="F10" s="93">
        <v>2690395.25</v>
      </c>
      <c r="G10" s="94">
        <f>F10/1.19</f>
        <v>2260836.3445378151</v>
      </c>
      <c r="H10" s="56"/>
      <c r="I10" s="57"/>
      <c r="J10" s="151"/>
    </row>
    <row r="11" spans="3:19" ht="15.75" x14ac:dyDescent="0.25">
      <c r="C11" s="151"/>
      <c r="D11" s="121" t="s">
        <v>179</v>
      </c>
      <c r="E11" s="122"/>
      <c r="F11" s="93">
        <v>269039.53000000003</v>
      </c>
      <c r="G11" s="123">
        <f>F11</f>
        <v>269039.53000000003</v>
      </c>
      <c r="H11" s="104"/>
      <c r="I11" s="57"/>
      <c r="J11" s="151"/>
    </row>
    <row r="12" spans="3:19" ht="15.75" x14ac:dyDescent="0.25">
      <c r="C12" s="151"/>
      <c r="D12" s="101" t="s">
        <v>177</v>
      </c>
      <c r="E12" s="102"/>
      <c r="F12" s="103">
        <v>726406.65</v>
      </c>
      <c r="G12" s="107">
        <f>F12</f>
        <v>726406.65</v>
      </c>
      <c r="H12" s="104"/>
      <c r="I12" s="57"/>
      <c r="J12" s="151"/>
    </row>
    <row r="13" spans="3:19" ht="18.75" x14ac:dyDescent="0.25">
      <c r="C13" s="151"/>
      <c r="D13" s="143" t="s">
        <v>160</v>
      </c>
      <c r="E13" s="144"/>
      <c r="F13" s="68">
        <f>F9-(F12+F11)</f>
        <v>1694949.0699999998</v>
      </c>
      <c r="G13" s="68">
        <f>G9-(G11+G12)</f>
        <v>1265390.1645378149</v>
      </c>
      <c r="H13" s="56"/>
      <c r="I13" s="57"/>
      <c r="J13" s="151"/>
      <c r="M13" s="72" t="s">
        <v>162</v>
      </c>
      <c r="N13" s="64">
        <v>0.15</v>
      </c>
      <c r="O13" s="73">
        <f>IFERROR((F9*F10)/((ROUND(F12,2))),"")</f>
        <v>9964427.7777778637</v>
      </c>
      <c r="P13" s="73" t="str">
        <f>IFERROR((G16-G14)*G9/(G10+(ROUND(G10*F13,2))),"")</f>
        <v/>
      </c>
    </row>
    <row r="14" spans="3:19" ht="15.75" x14ac:dyDescent="0.25">
      <c r="C14" s="151"/>
      <c r="D14" s="69" t="s">
        <v>161</v>
      </c>
      <c r="E14" s="70"/>
      <c r="F14" s="71">
        <v>0</v>
      </c>
      <c r="G14" s="71">
        <f>F14</f>
        <v>0</v>
      </c>
      <c r="H14" s="56"/>
      <c r="I14" s="57"/>
      <c r="J14" s="151"/>
      <c r="M14" s="72" t="s">
        <v>163</v>
      </c>
      <c r="N14" s="64">
        <v>0.25</v>
      </c>
      <c r="O14" s="73">
        <f>IFERROR((F9)*F10/(ROUND(F12,2)),"")</f>
        <v>9964427.7777778637</v>
      </c>
      <c r="P14" s="73" t="str">
        <f>IFERROR((G15-G9)*G10/(G10+ROUND(G10*#REF!,2)),"")</f>
        <v/>
      </c>
    </row>
    <row r="15" spans="3:19" ht="15.75" x14ac:dyDescent="0.25">
      <c r="C15" s="151"/>
      <c r="D15" s="69" t="s">
        <v>178</v>
      </c>
      <c r="E15" s="70"/>
      <c r="F15" s="71" t="e">
        <f>(F14*E16)+F14</f>
        <v>#VALUE!</v>
      </c>
      <c r="G15" s="71" t="e">
        <f>F15</f>
        <v>#VALUE!</v>
      </c>
      <c r="H15" s="56"/>
      <c r="I15" s="57"/>
      <c r="J15" s="151"/>
      <c r="M15" s="86" t="s">
        <v>172</v>
      </c>
      <c r="N15" s="87"/>
      <c r="O15" s="88" t="e">
        <f>(F9)*F7/F8</f>
        <v>#VALUE!</v>
      </c>
      <c r="P15" s="88" t="e">
        <f>(G9)*G7/G8</f>
        <v>#VALUE!</v>
      </c>
    </row>
    <row r="16" spans="3:19" ht="15.75" x14ac:dyDescent="0.25">
      <c r="C16" s="151"/>
      <c r="D16" s="106" t="s">
        <v>162</v>
      </c>
      <c r="E16" s="64" t="str">
        <f>IFERROR(VLOOKUP(#REF!,#REF!,2,0),"")</f>
        <v/>
      </c>
      <c r="F16" s="73" t="e">
        <f>VLOOKUP(#REF!,#REF!,3,0)</f>
        <v>#REF!</v>
      </c>
      <c r="G16" s="73" t="e">
        <f>VLOOKUP(#REF!,#REF!,4,0)</f>
        <v>#REF!</v>
      </c>
      <c r="H16" s="56"/>
      <c r="I16" s="57"/>
      <c r="J16" s="151"/>
      <c r="M16" s="75" t="s">
        <v>166</v>
      </c>
      <c r="N16" s="55"/>
      <c r="O16" s="89">
        <f>(F7-F14)+F9</f>
        <v>2690395.25</v>
      </c>
      <c r="P16" s="89">
        <f>(G7-G14)+G9</f>
        <v>2260836.3445378151</v>
      </c>
      <c r="S16" s="47" t="s">
        <v>164</v>
      </c>
    </row>
    <row r="17" spans="3:19" ht="15.75" x14ac:dyDescent="0.25">
      <c r="C17" s="151"/>
      <c r="D17" s="74" t="s">
        <v>140</v>
      </c>
      <c r="E17" s="64">
        <v>0.05</v>
      </c>
      <c r="F17" s="67">
        <v>10000</v>
      </c>
      <c r="G17" s="67">
        <f>F17</f>
        <v>10000</v>
      </c>
      <c r="H17" s="56"/>
      <c r="I17" s="57"/>
      <c r="J17" s="151"/>
      <c r="M17" s="75" t="s">
        <v>167</v>
      </c>
      <c r="N17" s="55"/>
      <c r="O17" s="77">
        <f>(F9-F14)+F10</f>
        <v>5380790.5</v>
      </c>
      <c r="P17" s="77">
        <f>(G9-G14)+G10</f>
        <v>4521672.6890756302</v>
      </c>
      <c r="S17" s="76">
        <f>F13*E17</f>
        <v>84747.453500000003</v>
      </c>
    </row>
    <row r="18" spans="3:19" ht="15.75" x14ac:dyDescent="0.25">
      <c r="C18" s="151"/>
      <c r="D18" s="75" t="e">
        <f>INDEX(#REF!,MATCH(#REF!,#REF!,0)+3)</f>
        <v>#REF!</v>
      </c>
      <c r="E18" s="55"/>
      <c r="F18" s="77" t="e">
        <f>VLOOKUP($D18,#REF!,3,0)</f>
        <v>#REF!</v>
      </c>
      <c r="G18" s="77" t="e">
        <f>VLOOKUP($D18,#REF!,4,0)</f>
        <v>#REF!</v>
      </c>
      <c r="H18" s="78">
        <f>SUM(H9:H17)</f>
        <v>0</v>
      </c>
      <c r="I18" s="79">
        <f>SUM(I9:I17)</f>
        <v>0</v>
      </c>
      <c r="J18" s="151"/>
      <c r="M18" s="90" t="s">
        <v>173</v>
      </c>
      <c r="N18" s="55"/>
      <c r="O18" s="89">
        <f>IFERROR(F9-F13,"")</f>
        <v>995446.18000000017</v>
      </c>
      <c r="P18" s="89">
        <f>IFERROR(G9-G13,"")</f>
        <v>995446.18000000017</v>
      </c>
      <c r="S18" s="105">
        <v>2500</v>
      </c>
    </row>
    <row r="19" spans="3:19" ht="19.5" thickBot="1" x14ac:dyDescent="0.3">
      <c r="C19" s="151"/>
      <c r="D19" s="83" t="s">
        <v>170</v>
      </c>
      <c r="E19" s="84"/>
      <c r="F19" s="85">
        <f>(F13-F17)</f>
        <v>1684949.0699999998</v>
      </c>
      <c r="G19" s="85">
        <f>G13-G17</f>
        <v>1255390.1645378149</v>
      </c>
      <c r="H19" s="147"/>
      <c r="I19" s="146"/>
      <c r="J19" s="151"/>
      <c r="M19" s="80" t="s">
        <v>169</v>
      </c>
      <c r="N19" s="81"/>
      <c r="O19" s="100" t="e">
        <f>F7-F14+F15-F17</f>
        <v>#VALUE!</v>
      </c>
      <c r="P19" s="100" t="e">
        <f>G7-G14+G15-G17</f>
        <v>#VALUE!</v>
      </c>
      <c r="S19" s="105">
        <v>10000</v>
      </c>
    </row>
    <row r="20" spans="3:19" ht="18.75" x14ac:dyDescent="0.25">
      <c r="C20" s="151"/>
      <c r="D20" s="95"/>
      <c r="E20" s="96"/>
      <c r="F20" s="96"/>
      <c r="G20" s="96"/>
      <c r="H20" s="147"/>
      <c r="I20" s="146"/>
      <c r="J20" s="151"/>
      <c r="M20" s="91" t="s">
        <v>174</v>
      </c>
      <c r="O20" s="99" t="e">
        <f>F7-F14+F15-F18</f>
        <v>#VALUE!</v>
      </c>
      <c r="P20" s="99" t="e">
        <f>G7-G14+G15-G18</f>
        <v>#VALUE!</v>
      </c>
      <c r="S20" s="105">
        <v>50000</v>
      </c>
    </row>
    <row r="21" spans="3:19" ht="15.75" thickBot="1" x14ac:dyDescent="0.3">
      <c r="C21" s="151"/>
      <c r="D21" s="97"/>
      <c r="E21" s="98"/>
      <c r="F21" s="98"/>
      <c r="G21" s="98"/>
      <c r="H21" s="147"/>
      <c r="I21" s="146"/>
      <c r="J21" s="151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 xr:uid="{00000000-0002-0000-0200-000000000000}">
      <formula1>#REF!</formula1>
    </dataValidation>
    <dataValidation type="list" allowBlank="1" showInputMessage="1" showErrorMessage="1" sqref="F17" xr:uid="{00000000-0002-0000-0200-000001000000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D106"/>
  <sheetViews>
    <sheetView tabSelected="1" zoomScale="85" zoomScaleNormal="85" workbookViewId="0">
      <selection activeCell="F9" sqref="F9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86"/>
      <c r="C1" s="186"/>
      <c r="F1" s="110" t="s">
        <v>9</v>
      </c>
      <c r="G1" s="111">
        <f ca="1">TODAY()</f>
        <v>43770</v>
      </c>
    </row>
    <row r="2" spans="2:30" x14ac:dyDescent="0.25">
      <c r="B2" s="186"/>
      <c r="C2" s="186"/>
      <c r="D2" s="189" t="s">
        <v>11</v>
      </c>
      <c r="E2" s="189"/>
    </row>
    <row r="3" spans="2:30" x14ac:dyDescent="0.25">
      <c r="B3" s="186"/>
      <c r="C3" s="186"/>
      <c r="D3" s="189" t="s">
        <v>12</v>
      </c>
      <c r="E3" s="189"/>
      <c r="I3" t="s">
        <v>180</v>
      </c>
      <c r="AD3" t="s">
        <v>32</v>
      </c>
    </row>
    <row r="4" spans="2:30" ht="24" thickBot="1" x14ac:dyDescent="0.4">
      <c r="B4" s="186"/>
      <c r="C4" s="186"/>
      <c r="D4" s="190" t="s">
        <v>29</v>
      </c>
      <c r="E4" s="190"/>
      <c r="F4" s="190"/>
      <c r="AD4" s="42" t="s">
        <v>33</v>
      </c>
    </row>
    <row r="5" spans="2:30" ht="18.75" x14ac:dyDescent="0.3">
      <c r="B5" s="191" t="s">
        <v>13</v>
      </c>
      <c r="C5" s="192"/>
      <c r="D5" s="192"/>
      <c r="E5" s="192"/>
      <c r="F5" s="192"/>
      <c r="G5" s="193"/>
      <c r="AD5" s="42" t="s">
        <v>34</v>
      </c>
    </row>
    <row r="6" spans="2:30" ht="19.5" thickBot="1" x14ac:dyDescent="0.35">
      <c r="B6" s="194" t="s">
        <v>20</v>
      </c>
      <c r="C6" s="195"/>
      <c r="D6" s="195"/>
      <c r="E6" s="195"/>
      <c r="F6" s="195"/>
      <c r="G6" s="196"/>
      <c r="AD6" s="42" t="s">
        <v>35</v>
      </c>
    </row>
    <row r="8" spans="2:30" ht="15.75" x14ac:dyDescent="0.25">
      <c r="B8" s="19" t="s">
        <v>14</v>
      </c>
      <c r="C8" s="197">
        <v>250</v>
      </c>
      <c r="D8" s="197"/>
      <c r="E8" s="20" t="s">
        <v>18</v>
      </c>
      <c r="F8" s="21" t="s">
        <v>42</v>
      </c>
      <c r="G8" s="22"/>
    </row>
    <row r="9" spans="2:30" ht="15.75" x14ac:dyDescent="0.25">
      <c r="B9" s="19" t="s">
        <v>15</v>
      </c>
      <c r="C9" s="198"/>
      <c r="D9" s="198"/>
      <c r="E9" s="20" t="s">
        <v>19</v>
      </c>
      <c r="F9" s="21" t="s">
        <v>182</v>
      </c>
      <c r="G9" s="22"/>
    </row>
    <row r="10" spans="2:30" ht="15.75" x14ac:dyDescent="0.25">
      <c r="B10" s="19" t="s">
        <v>16</v>
      </c>
      <c r="C10" s="198"/>
      <c r="D10" s="198"/>
      <c r="E10" s="20"/>
      <c r="F10" s="20"/>
      <c r="G10" s="22"/>
    </row>
    <row r="11" spans="2:30" ht="15.75" x14ac:dyDescent="0.25">
      <c r="B11" s="19" t="s">
        <v>17</v>
      </c>
      <c r="C11" s="198">
        <v>1</v>
      </c>
      <c r="D11" s="198"/>
      <c r="E11" s="20"/>
      <c r="F11" s="44"/>
      <c r="G11" s="22"/>
    </row>
    <row r="12" spans="2:30" ht="15.75" thickBot="1" x14ac:dyDescent="0.3"/>
    <row r="13" spans="2:30" ht="15" customHeight="1" x14ac:dyDescent="0.25">
      <c r="B13" s="203" t="s">
        <v>142</v>
      </c>
      <c r="C13" s="204"/>
      <c r="D13" s="204"/>
      <c r="E13" s="204"/>
      <c r="F13" s="205">
        <f>E33</f>
        <v>479334.30532608693</v>
      </c>
      <c r="G13" s="206"/>
    </row>
    <row r="14" spans="2:30" ht="15" customHeight="1" x14ac:dyDescent="0.25">
      <c r="B14" s="207" t="str">
        <f>'.'!C5</f>
        <v>Quatre cent soixante-dix-neuf mille trois cent trente quatre Dinars et trente et un  cents</v>
      </c>
      <c r="C14" s="208"/>
      <c r="D14" s="208"/>
      <c r="E14" s="208"/>
      <c r="F14" s="208"/>
      <c r="G14" s="209"/>
    </row>
    <row r="15" spans="2:30" ht="15" customHeight="1" x14ac:dyDescent="0.25">
      <c r="B15" s="207"/>
      <c r="C15" s="208"/>
      <c r="D15" s="208"/>
      <c r="E15" s="208"/>
      <c r="F15" s="208"/>
      <c r="G15" s="209"/>
    </row>
    <row r="16" spans="2:30" ht="15.75" customHeight="1" x14ac:dyDescent="0.25">
      <c r="B16" s="163" t="s">
        <v>30</v>
      </c>
      <c r="C16" s="164"/>
      <c r="D16" s="164"/>
      <c r="E16" s="164"/>
      <c r="F16" s="164"/>
      <c r="G16" s="165"/>
    </row>
    <row r="17" spans="2:7" ht="20.25" customHeight="1" thickBot="1" x14ac:dyDescent="0.3">
      <c r="B17" s="108" t="s">
        <v>31</v>
      </c>
      <c r="C17" s="109" t="s">
        <v>35</v>
      </c>
      <c r="D17" s="166" t="s">
        <v>36</v>
      </c>
      <c r="E17" s="166"/>
      <c r="F17" s="166"/>
      <c r="G17" s="167"/>
    </row>
    <row r="18" spans="2:7" ht="16.5" thickBot="1" x14ac:dyDescent="0.3">
      <c r="B18" s="23"/>
      <c r="C18" s="168" t="s">
        <v>8</v>
      </c>
      <c r="D18" s="169"/>
      <c r="E18" s="170">
        <v>30000</v>
      </c>
      <c r="F18" s="171"/>
      <c r="G18" s="24"/>
    </row>
    <row r="19" spans="2:7" ht="16.5" thickBot="1" x14ac:dyDescent="0.3">
      <c r="B19" s="23"/>
      <c r="C19" s="168" t="s">
        <v>0</v>
      </c>
      <c r="D19" s="169"/>
      <c r="E19" s="170">
        <v>12000</v>
      </c>
      <c r="F19" s="171"/>
      <c r="G19" s="24"/>
    </row>
    <row r="20" spans="2:7" ht="16.5" thickBot="1" x14ac:dyDescent="0.3">
      <c r="B20" s="23"/>
      <c r="C20" s="168" t="s">
        <v>3</v>
      </c>
      <c r="D20" s="169"/>
      <c r="E20" s="170">
        <v>667575</v>
      </c>
      <c r="F20" s="171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68" t="s">
        <v>4</v>
      </c>
      <c r="D22" s="169"/>
      <c r="E22" s="170">
        <f>E18+E19+E20</f>
        <v>709575</v>
      </c>
      <c r="F22" s="171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68" t="s">
        <v>5</v>
      </c>
      <c r="D24" s="169"/>
      <c r="E24" s="170">
        <v>95258.4</v>
      </c>
      <c r="F24" s="171"/>
      <c r="G24" s="24"/>
    </row>
    <row r="25" spans="2:7" ht="16.5" thickBot="1" x14ac:dyDescent="0.3">
      <c r="B25" s="23"/>
      <c r="C25" s="210" t="s">
        <v>6</v>
      </c>
      <c r="D25" s="211"/>
      <c r="E25" s="172">
        <v>0</v>
      </c>
      <c r="F25" s="173"/>
      <c r="G25" s="24"/>
    </row>
    <row r="26" spans="2:7" ht="16.5" thickBot="1" x14ac:dyDescent="0.3">
      <c r="B26" s="23"/>
      <c r="C26" s="168" t="s">
        <v>37</v>
      </c>
      <c r="D26" s="169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68" t="s">
        <v>4</v>
      </c>
      <c r="D28" s="199"/>
      <c r="E28" s="170">
        <v>0</v>
      </c>
      <c r="F28" s="171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70">
        <v>1526</v>
      </c>
      <c r="F30" s="171"/>
      <c r="G30" s="24"/>
    </row>
    <row r="31" spans="2:7" ht="16.5" thickBot="1" x14ac:dyDescent="0.3">
      <c r="B31" s="23"/>
      <c r="C31" s="200" t="s">
        <v>141</v>
      </c>
      <c r="D31" s="201"/>
      <c r="E31" s="212">
        <v>55054.042500000003</v>
      </c>
      <c r="F31" s="213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214">
        <v>479334.30532608693</v>
      </c>
      <c r="F33" s="215"/>
      <c r="G33" s="24"/>
    </row>
    <row r="34" spans="1:8" ht="16.5" thickBot="1" x14ac:dyDescent="0.3">
      <c r="A34" s="1"/>
      <c r="B34" s="23"/>
      <c r="C34" s="33"/>
      <c r="D34" s="34"/>
      <c r="E34" s="216"/>
      <c r="F34" s="217"/>
      <c r="G34" s="24"/>
      <c r="H34" s="1"/>
    </row>
    <row r="35" spans="1:8" ht="15.75" x14ac:dyDescent="0.25">
      <c r="A35" s="1"/>
      <c r="B35" s="23"/>
      <c r="C35" s="25"/>
      <c r="D35" s="174"/>
      <c r="E35" s="174"/>
      <c r="F35" s="174"/>
      <c r="G35" s="175"/>
      <c r="H35" s="1"/>
    </row>
    <row r="36" spans="1:8" ht="15.75" x14ac:dyDescent="0.25">
      <c r="A36" s="1"/>
      <c r="B36" s="187" t="s">
        <v>10</v>
      </c>
      <c r="C36" s="188"/>
      <c r="D36" s="174"/>
      <c r="E36" s="174"/>
      <c r="F36" s="174"/>
      <c r="G36" s="175"/>
      <c r="H36" s="1"/>
    </row>
    <row r="37" spans="1:8" ht="15.75" x14ac:dyDescent="0.25">
      <c r="A37" s="1"/>
      <c r="B37" s="23"/>
      <c r="C37" s="25"/>
      <c r="D37" s="174"/>
      <c r="E37" s="174"/>
      <c r="F37" s="174"/>
      <c r="G37" s="175"/>
      <c r="H37" s="1"/>
    </row>
    <row r="38" spans="1:8" ht="15.75" x14ac:dyDescent="0.25">
      <c r="A38" s="1"/>
      <c r="B38" s="23"/>
      <c r="C38" s="25"/>
      <c r="D38" s="174"/>
      <c r="E38" s="174"/>
      <c r="F38" s="174"/>
      <c r="G38" s="175"/>
      <c r="H38" s="1"/>
    </row>
    <row r="39" spans="1:8" ht="16.5" thickBot="1" x14ac:dyDescent="0.3">
      <c r="A39" s="1"/>
      <c r="B39" s="41"/>
      <c r="C39" s="35"/>
      <c r="D39" s="202"/>
      <c r="E39" s="202"/>
      <c r="F39" s="202"/>
      <c r="G39" s="180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161" t="s">
        <v>21</v>
      </c>
      <c r="C41" s="162"/>
      <c r="D41" s="112" t="s">
        <v>22</v>
      </c>
      <c r="E41" s="112" t="s">
        <v>23</v>
      </c>
      <c r="F41" s="161" t="s">
        <v>24</v>
      </c>
      <c r="G41" s="162"/>
    </row>
    <row r="42" spans="1:8" x14ac:dyDescent="0.25">
      <c r="B42" s="176"/>
      <c r="C42" s="177"/>
      <c r="D42" s="181"/>
      <c r="E42" s="181"/>
      <c r="F42" s="176"/>
      <c r="G42" s="177"/>
    </row>
    <row r="43" spans="1:8" x14ac:dyDescent="0.25">
      <c r="B43" s="178"/>
      <c r="C43" s="175"/>
      <c r="D43" s="182"/>
      <c r="E43" s="182"/>
      <c r="F43" s="178"/>
      <c r="G43" s="175"/>
    </row>
    <row r="44" spans="1:8" x14ac:dyDescent="0.25">
      <c r="B44" s="178"/>
      <c r="C44" s="175"/>
      <c r="D44" s="182"/>
      <c r="E44" s="182"/>
      <c r="F44" s="178"/>
      <c r="G44" s="175"/>
    </row>
    <row r="45" spans="1:8" x14ac:dyDescent="0.25">
      <c r="B45" s="178"/>
      <c r="C45" s="175"/>
      <c r="D45" s="182"/>
      <c r="E45" s="182"/>
      <c r="F45" s="178"/>
      <c r="G45" s="175"/>
    </row>
    <row r="46" spans="1:8" ht="15.75" thickBot="1" x14ac:dyDescent="0.3">
      <c r="B46" s="179"/>
      <c r="C46" s="180"/>
      <c r="D46" s="183"/>
      <c r="E46" s="183"/>
      <c r="F46" s="179"/>
      <c r="G46" s="180"/>
    </row>
    <row r="47" spans="1:8" ht="16.5" thickBot="1" x14ac:dyDescent="0.3">
      <c r="B47" s="184" t="s">
        <v>28</v>
      </c>
      <c r="C47" s="185"/>
      <c r="D47" s="113" t="s">
        <v>25</v>
      </c>
      <c r="E47" s="37" t="s">
        <v>26</v>
      </c>
      <c r="F47" s="184" t="s">
        <v>27</v>
      </c>
      <c r="G47" s="185"/>
    </row>
    <row r="48" spans="1:8" x14ac:dyDescent="0.25">
      <c r="B48" s="176"/>
      <c r="C48" s="177"/>
      <c r="D48" s="181"/>
      <c r="E48" s="181"/>
      <c r="F48" s="176"/>
      <c r="G48" s="177"/>
    </row>
    <row r="49" spans="1:8" x14ac:dyDescent="0.25">
      <c r="B49" s="178"/>
      <c r="C49" s="175"/>
      <c r="D49" s="182"/>
      <c r="E49" s="182"/>
      <c r="F49" s="178"/>
      <c r="G49" s="175"/>
    </row>
    <row r="50" spans="1:8" x14ac:dyDescent="0.25">
      <c r="B50" s="178"/>
      <c r="C50" s="175"/>
      <c r="D50" s="182"/>
      <c r="E50" s="182"/>
      <c r="F50" s="178"/>
      <c r="G50" s="175"/>
    </row>
    <row r="51" spans="1:8" x14ac:dyDescent="0.25">
      <c r="B51" s="178"/>
      <c r="C51" s="175"/>
      <c r="D51" s="182"/>
      <c r="E51" s="182"/>
      <c r="F51" s="178"/>
      <c r="G51" s="175"/>
    </row>
    <row r="52" spans="1:8" x14ac:dyDescent="0.25">
      <c r="B52" s="178"/>
      <c r="C52" s="175"/>
      <c r="D52" s="182"/>
      <c r="E52" s="182"/>
      <c r="F52" s="178"/>
      <c r="G52" s="175"/>
    </row>
    <row r="53" spans="1:8" s="3" customFormat="1" ht="15.75" thickBot="1" x14ac:dyDescent="0.3">
      <c r="A53" s="17">
        <v>11</v>
      </c>
      <c r="B53" s="179"/>
      <c r="C53" s="180"/>
      <c r="D53" s="183"/>
      <c r="E53" s="183"/>
      <c r="F53" s="179"/>
      <c r="G53" s="180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 xr:uid="{00000000-0002-0000-0300-000000000000}">
      <formula1>$AD$3:$AD$6</formula1>
    </dataValidation>
    <dataValidation type="list" allowBlank="1" showInputMessage="1" showErrorMessage="1" sqref="E20:F20" xr:uid="{00000000-0002-0000-0300-000001000000}">
      <formula1>Fourniture</formula1>
    </dataValidation>
    <dataValidation type="list" allowBlank="1" showInputMessage="1" showErrorMessage="1" errorTitle="Choisir dans la liste" sqref="AD3" xr:uid="{00000000-0002-0000-0300-000002000000}">
      <formula1>$B$4:$B$6</formula1>
    </dataValidation>
    <dataValidation type="list" allowBlank="1" showInputMessage="1" showErrorMessage="1" sqref="F9" xr:uid="{B872E91D-C982-4C72-8629-7BA7911855B8}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8" name="Option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G53"/>
  <sheetViews>
    <sheetView workbookViewId="0">
      <selection activeCell="J20" sqref="J20:J21"/>
    </sheetView>
  </sheetViews>
  <sheetFormatPr baseColWidth="10" defaultRowHeight="15" x14ac:dyDescent="0.25"/>
  <sheetData>
    <row r="1" spans="2:7" x14ac:dyDescent="0.25">
      <c r="B1" s="186"/>
      <c r="C1" s="186"/>
      <c r="D1" s="18"/>
      <c r="E1" s="18"/>
      <c r="F1" s="110" t="s">
        <v>9</v>
      </c>
      <c r="G1" s="111">
        <f ca="1">TODAY()</f>
        <v>43770</v>
      </c>
    </row>
    <row r="2" spans="2:7" x14ac:dyDescent="0.25">
      <c r="B2" s="186"/>
      <c r="C2" s="186"/>
      <c r="D2" s="189" t="s">
        <v>11</v>
      </c>
      <c r="E2" s="189"/>
      <c r="F2" s="18"/>
    </row>
    <row r="3" spans="2:7" x14ac:dyDescent="0.25">
      <c r="B3" s="186"/>
      <c r="C3" s="186"/>
      <c r="D3" s="189" t="s">
        <v>12</v>
      </c>
      <c r="E3" s="189"/>
      <c r="F3" s="18"/>
    </row>
    <row r="4" spans="2:7" ht="24" thickBot="1" x14ac:dyDescent="0.4">
      <c r="B4" s="186"/>
      <c r="C4" s="186"/>
      <c r="D4" s="190" t="s">
        <v>29</v>
      </c>
      <c r="E4" s="190"/>
      <c r="F4" s="190"/>
    </row>
    <row r="5" spans="2:7" ht="18.75" x14ac:dyDescent="0.3">
      <c r="B5" s="191" t="s">
        <v>13</v>
      </c>
      <c r="C5" s="192"/>
      <c r="D5" s="192"/>
      <c r="E5" s="192"/>
      <c r="F5" s="192"/>
      <c r="G5" s="193"/>
    </row>
    <row r="6" spans="2:7" ht="19.5" thickBot="1" x14ac:dyDescent="0.35">
      <c r="B6" s="194" t="s">
        <v>20</v>
      </c>
      <c r="C6" s="195"/>
      <c r="D6" s="195"/>
      <c r="E6" s="195"/>
      <c r="F6" s="195"/>
      <c r="G6" s="196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197">
        <v>250</v>
      </c>
      <c r="D8" s="197"/>
      <c r="E8" s="131" t="s">
        <v>18</v>
      </c>
      <c r="F8" s="21" t="s">
        <v>91</v>
      </c>
      <c r="G8" s="22"/>
    </row>
    <row r="9" spans="2:7" ht="15.75" x14ac:dyDescent="0.25">
      <c r="B9" s="19" t="s">
        <v>15</v>
      </c>
      <c r="C9" s="198"/>
      <c r="D9" s="198"/>
      <c r="E9" s="131" t="s">
        <v>19</v>
      </c>
      <c r="F9" s="21"/>
      <c r="G9" s="22"/>
    </row>
    <row r="10" spans="2:7" ht="15.75" x14ac:dyDescent="0.25">
      <c r="B10" s="19" t="s">
        <v>16</v>
      </c>
      <c r="C10" s="198"/>
      <c r="D10" s="198"/>
      <c r="E10" s="131"/>
      <c r="F10" s="131"/>
      <c r="G10" s="22"/>
    </row>
    <row r="11" spans="2:7" ht="15.75" x14ac:dyDescent="0.25">
      <c r="B11" s="19" t="s">
        <v>17</v>
      </c>
      <c r="C11" s="198"/>
      <c r="D11" s="198"/>
      <c r="E11" s="131"/>
      <c r="F11" s="131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203" t="s">
        <v>142</v>
      </c>
      <c r="C13" s="204"/>
      <c r="D13" s="204"/>
      <c r="E13" s="204"/>
      <c r="F13" s="205">
        <f>E33</f>
        <v>18321.25</v>
      </c>
      <c r="G13" s="206"/>
    </row>
    <row r="14" spans="2:7" x14ac:dyDescent="0.25">
      <c r="B14" s="207">
        <f>'.'!C58</f>
        <v>0</v>
      </c>
      <c r="C14" s="208"/>
      <c r="D14" s="208"/>
      <c r="E14" s="208"/>
      <c r="F14" s="208"/>
      <c r="G14" s="209"/>
    </row>
    <row r="15" spans="2:7" x14ac:dyDescent="0.25">
      <c r="B15" s="207"/>
      <c r="C15" s="208"/>
      <c r="D15" s="208"/>
      <c r="E15" s="208"/>
      <c r="F15" s="208"/>
      <c r="G15" s="209"/>
    </row>
    <row r="16" spans="2:7" ht="18.75" x14ac:dyDescent="0.25">
      <c r="B16" s="163" t="s">
        <v>30</v>
      </c>
      <c r="C16" s="164"/>
      <c r="D16" s="164"/>
      <c r="E16" s="164"/>
      <c r="F16" s="164"/>
      <c r="G16" s="165"/>
    </row>
    <row r="17" spans="2:7" ht="38.25" thickBot="1" x14ac:dyDescent="0.3">
      <c r="B17" s="108" t="s">
        <v>31</v>
      </c>
      <c r="C17" s="109" t="s">
        <v>35</v>
      </c>
      <c r="D17" s="166" t="s">
        <v>36</v>
      </c>
      <c r="E17" s="166"/>
      <c r="F17" s="166"/>
      <c r="G17" s="167"/>
    </row>
    <row r="18" spans="2:7" ht="16.5" thickBot="1" x14ac:dyDescent="0.3">
      <c r="B18" s="23"/>
      <c r="C18" s="168" t="s">
        <v>8</v>
      </c>
      <c r="D18" s="169"/>
      <c r="E18" s="170">
        <v>5000</v>
      </c>
      <c r="F18" s="171"/>
      <c r="G18" s="24"/>
    </row>
    <row r="19" spans="2:7" ht="16.5" thickBot="1" x14ac:dyDescent="0.3">
      <c r="B19" s="23"/>
      <c r="C19" s="168" t="s">
        <v>0</v>
      </c>
      <c r="D19" s="169"/>
      <c r="E19" s="170">
        <v>5000</v>
      </c>
      <c r="F19" s="171"/>
      <c r="G19" s="24"/>
    </row>
    <row r="20" spans="2:7" ht="16.5" thickBot="1" x14ac:dyDescent="0.3">
      <c r="B20" s="23"/>
      <c r="C20" s="168" t="s">
        <v>3</v>
      </c>
      <c r="D20" s="169"/>
      <c r="E20" s="170">
        <v>10000</v>
      </c>
      <c r="F20" s="171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68" t="s">
        <v>4</v>
      </c>
      <c r="D22" s="169"/>
      <c r="E22" s="170">
        <f>E18+E19+E20</f>
        <v>20000</v>
      </c>
      <c r="F22" s="171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68" t="s">
        <v>5</v>
      </c>
      <c r="D24" s="169"/>
      <c r="E24" s="170">
        <v>1500</v>
      </c>
      <c r="F24" s="171"/>
      <c r="G24" s="24"/>
    </row>
    <row r="25" spans="2:7" ht="16.5" thickBot="1" x14ac:dyDescent="0.3">
      <c r="B25" s="23"/>
      <c r="C25" s="210" t="s">
        <v>6</v>
      </c>
      <c r="D25" s="211"/>
      <c r="E25" s="172">
        <v>25</v>
      </c>
      <c r="F25" s="173"/>
      <c r="G25" s="24"/>
    </row>
    <row r="26" spans="2:7" ht="16.5" thickBot="1" x14ac:dyDescent="0.3">
      <c r="B26" s="23"/>
      <c r="C26" s="168" t="s">
        <v>37</v>
      </c>
      <c r="D26" s="169"/>
      <c r="E26" s="45"/>
      <c r="F26" s="46"/>
      <c r="G26" s="24"/>
    </row>
    <row r="27" spans="2:7" ht="16.5" thickBot="1" x14ac:dyDescent="0.3">
      <c r="B27" s="23"/>
      <c r="C27" s="131"/>
      <c r="D27" s="131"/>
      <c r="E27" s="28"/>
      <c r="F27" s="28"/>
      <c r="G27" s="24"/>
    </row>
    <row r="28" spans="2:7" ht="16.5" thickBot="1" x14ac:dyDescent="0.3">
      <c r="B28" s="23"/>
      <c r="C28" s="168" t="s">
        <v>4</v>
      </c>
      <c r="D28" s="199"/>
      <c r="E28" s="170">
        <v>0</v>
      </c>
      <c r="F28" s="171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29" t="s">
        <v>1</v>
      </c>
      <c r="D30" s="130"/>
      <c r="E30" s="170">
        <v>2500</v>
      </c>
      <c r="F30" s="171"/>
      <c r="G30" s="24"/>
    </row>
    <row r="31" spans="2:7" ht="16.5" thickBot="1" x14ac:dyDescent="0.3">
      <c r="B31" s="23"/>
      <c r="C31" s="200" t="s">
        <v>141</v>
      </c>
      <c r="D31" s="201"/>
      <c r="E31" s="212">
        <v>200</v>
      </c>
      <c r="F31" s="213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214">
        <v>18321.25</v>
      </c>
      <c r="F33" s="215"/>
      <c r="G33" s="24"/>
    </row>
    <row r="34" spans="1:7" ht="16.5" thickBot="1" x14ac:dyDescent="0.3">
      <c r="A34" s="1"/>
      <c r="B34" s="23"/>
      <c r="C34" s="33"/>
      <c r="D34" s="34"/>
      <c r="E34" s="216"/>
      <c r="F34" s="217"/>
      <c r="G34" s="24"/>
    </row>
    <row r="35" spans="1:7" ht="15.75" x14ac:dyDescent="0.25">
      <c r="A35" s="1"/>
      <c r="B35" s="23"/>
      <c r="C35" s="25"/>
      <c r="D35" s="174"/>
      <c r="E35" s="174"/>
      <c r="F35" s="174"/>
      <c r="G35" s="175"/>
    </row>
    <row r="36" spans="1:7" ht="15.75" x14ac:dyDescent="0.25">
      <c r="A36" s="1"/>
      <c r="B36" s="187" t="s">
        <v>10</v>
      </c>
      <c r="C36" s="188"/>
      <c r="D36" s="174"/>
      <c r="E36" s="174"/>
      <c r="F36" s="174"/>
      <c r="G36" s="175"/>
    </row>
    <row r="37" spans="1:7" ht="15.75" x14ac:dyDescent="0.25">
      <c r="A37" s="1"/>
      <c r="B37" s="23"/>
      <c r="C37" s="25"/>
      <c r="D37" s="174"/>
      <c r="E37" s="174"/>
      <c r="F37" s="174"/>
      <c r="G37" s="175"/>
    </row>
    <row r="38" spans="1:7" ht="15.75" x14ac:dyDescent="0.25">
      <c r="A38" s="1"/>
      <c r="B38" s="23"/>
      <c r="C38" s="25"/>
      <c r="D38" s="174"/>
      <c r="E38" s="174"/>
      <c r="F38" s="174"/>
      <c r="G38" s="175"/>
    </row>
    <row r="39" spans="1:7" ht="16.5" thickBot="1" x14ac:dyDescent="0.3">
      <c r="A39" s="1"/>
      <c r="B39" s="41"/>
      <c r="C39" s="35"/>
      <c r="D39" s="202"/>
      <c r="E39" s="202"/>
      <c r="F39" s="202"/>
      <c r="G39" s="180"/>
    </row>
    <row r="40" spans="1:7" ht="16.5" thickBot="1" x14ac:dyDescent="0.3">
      <c r="B40" s="22"/>
      <c r="C40" s="131"/>
      <c r="D40" s="35"/>
      <c r="E40" s="35"/>
      <c r="F40" s="35"/>
      <c r="G40" s="36"/>
    </row>
    <row r="41" spans="1:7" ht="16.5" thickBot="1" x14ac:dyDescent="0.3">
      <c r="B41" s="161" t="s">
        <v>21</v>
      </c>
      <c r="C41" s="162"/>
      <c r="D41" s="112" t="s">
        <v>22</v>
      </c>
      <c r="E41" s="112" t="s">
        <v>23</v>
      </c>
      <c r="F41" s="161" t="s">
        <v>24</v>
      </c>
      <c r="G41" s="162"/>
    </row>
    <row r="42" spans="1:7" x14ac:dyDescent="0.25">
      <c r="B42" s="176"/>
      <c r="C42" s="177"/>
      <c r="D42" s="181"/>
      <c r="E42" s="181"/>
      <c r="F42" s="176"/>
      <c r="G42" s="177"/>
    </row>
    <row r="43" spans="1:7" x14ac:dyDescent="0.25">
      <c r="B43" s="178"/>
      <c r="C43" s="175"/>
      <c r="D43" s="182"/>
      <c r="E43" s="182"/>
      <c r="F43" s="178"/>
      <c r="G43" s="175"/>
    </row>
    <row r="44" spans="1:7" x14ac:dyDescent="0.25">
      <c r="B44" s="178"/>
      <c r="C44" s="175"/>
      <c r="D44" s="182"/>
      <c r="E44" s="182"/>
      <c r="F44" s="178"/>
      <c r="G44" s="175"/>
    </row>
    <row r="45" spans="1:7" x14ac:dyDescent="0.25">
      <c r="B45" s="178"/>
      <c r="C45" s="175"/>
      <c r="D45" s="182"/>
      <c r="E45" s="182"/>
      <c r="F45" s="178"/>
      <c r="G45" s="175"/>
    </row>
    <row r="46" spans="1:7" ht="15.75" thickBot="1" x14ac:dyDescent="0.3">
      <c r="B46" s="179"/>
      <c r="C46" s="180"/>
      <c r="D46" s="183"/>
      <c r="E46" s="183"/>
      <c r="F46" s="179"/>
      <c r="G46" s="180"/>
    </row>
    <row r="47" spans="1:7" ht="16.5" thickBot="1" x14ac:dyDescent="0.3">
      <c r="B47" s="184" t="s">
        <v>28</v>
      </c>
      <c r="C47" s="185"/>
      <c r="D47" s="113" t="s">
        <v>25</v>
      </c>
      <c r="E47" s="37" t="s">
        <v>26</v>
      </c>
      <c r="F47" s="184" t="s">
        <v>27</v>
      </c>
      <c r="G47" s="185"/>
    </row>
    <row r="48" spans="1:7" x14ac:dyDescent="0.25">
      <c r="B48" s="176"/>
      <c r="C48" s="177"/>
      <c r="D48" s="181"/>
      <c r="E48" s="181"/>
      <c r="F48" s="176"/>
      <c r="G48" s="177"/>
    </row>
    <row r="49" spans="1:7" x14ac:dyDescent="0.25">
      <c r="B49" s="178"/>
      <c r="C49" s="175"/>
      <c r="D49" s="182"/>
      <c r="E49" s="182"/>
      <c r="F49" s="178"/>
      <c r="G49" s="175"/>
    </row>
    <row r="50" spans="1:7" x14ac:dyDescent="0.25">
      <c r="B50" s="178"/>
      <c r="C50" s="175"/>
      <c r="D50" s="182"/>
      <c r="E50" s="182"/>
      <c r="F50" s="178"/>
      <c r="G50" s="175"/>
    </row>
    <row r="51" spans="1:7" x14ac:dyDescent="0.25">
      <c r="B51" s="178"/>
      <c r="C51" s="175"/>
      <c r="D51" s="182"/>
      <c r="E51" s="182"/>
      <c r="F51" s="178"/>
      <c r="G51" s="175"/>
    </row>
    <row r="52" spans="1:7" x14ac:dyDescent="0.25">
      <c r="B52" s="178"/>
      <c r="C52" s="175"/>
      <c r="D52" s="182"/>
      <c r="E52" s="182"/>
      <c r="F52" s="178"/>
      <c r="G52" s="175"/>
    </row>
    <row r="53" spans="1:7" ht="15.75" thickBot="1" x14ac:dyDescent="0.3">
      <c r="A53" s="17">
        <v>11</v>
      </c>
      <c r="B53" s="179"/>
      <c r="C53" s="180"/>
      <c r="D53" s="183"/>
      <c r="E53" s="183"/>
      <c r="F53" s="179"/>
      <c r="G53" s="180"/>
    </row>
  </sheetData>
  <mergeCells count="52">
    <mergeCell ref="B47:C47"/>
    <mergeCell ref="F47:G47"/>
    <mergeCell ref="B48:C53"/>
    <mergeCell ref="D48:D53"/>
    <mergeCell ref="E48:E53"/>
    <mergeCell ref="F48:G53"/>
    <mergeCell ref="D38:G38"/>
    <mergeCell ref="D39:G39"/>
    <mergeCell ref="B41:C41"/>
    <mergeCell ref="F41:G41"/>
    <mergeCell ref="B42:C46"/>
    <mergeCell ref="D42:D46"/>
    <mergeCell ref="E42:E46"/>
    <mergeCell ref="F42:G46"/>
    <mergeCell ref="E33:F34"/>
    <mergeCell ref="D35:G35"/>
    <mergeCell ref="B36:C36"/>
    <mergeCell ref="D36:G36"/>
    <mergeCell ref="D37:G37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C18:D18"/>
    <mergeCell ref="E18:F18"/>
    <mergeCell ref="C19:D19"/>
    <mergeCell ref="E19:F19"/>
    <mergeCell ref="C20:D20"/>
    <mergeCell ref="E20:F20"/>
    <mergeCell ref="B6:G6"/>
    <mergeCell ref="C8:D8"/>
    <mergeCell ref="C9:D9"/>
    <mergeCell ref="C10:D10"/>
    <mergeCell ref="C11:D11"/>
    <mergeCell ref="B13:E13"/>
    <mergeCell ref="F13:G13"/>
    <mergeCell ref="B14:G15"/>
    <mergeCell ref="B16:G16"/>
    <mergeCell ref="D17:G17"/>
    <mergeCell ref="B1:C4"/>
    <mergeCell ref="D2:E2"/>
    <mergeCell ref="D3:E3"/>
    <mergeCell ref="D4:F4"/>
    <mergeCell ref="B5:G5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 xr:uid="{00000000-0002-0000-0400-000000000000}">
      <formula1>codeagence</formula1>
    </dataValidation>
    <dataValidation type="list" allowBlank="1" showInputMessage="1" showErrorMessage="1" sqref="E20:F20" xr:uid="{00000000-0002-0000-0400-000001000000}">
      <formula1>Fourniture</formula1>
    </dataValidation>
    <dataValidation type="list" allowBlank="1" showInputMessage="1" showErrorMessage="1" errorTitle="Choisir dans la liste" sqref="C17" xr:uid="{00000000-0002-0000-0400-000002000000}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 t="str">
        <f>Modèle_Sinistre!$F$9</f>
        <v/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>04242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Modèle_Sinistre!$F$8</f>
        <v>DR - Annaba</v>
      </c>
      <c r="F3" s="13" t="str">
        <f t="array" ref="F3">IF(ROW()-1&gt;COUNTIF($B$1:$B$262,$C$3),"",INDEX($A$1:$A$262,SMALL(IF($B$1:$B$262=$C$3,ROW($A$1:$A$262),""),ROW()-1)))</f>
        <v>04242.1</v>
      </c>
      <c r="H3" s="12" t="s">
        <v>54</v>
      </c>
    </row>
    <row r="4" spans="1:9" x14ac:dyDescent="0.25">
      <c r="A4" s="11" t="s">
        <v>44</v>
      </c>
      <c r="B4" s="12" t="s">
        <v>42</v>
      </c>
      <c r="F4" s="13" t="str">
        <f t="array" ref="F4">IF(ROW()-1&gt;COUNTIF($B$1:$B$262,$C$3),"",INDEX($A$1:$A$262,SMALL(IF($B$1:$B$262=$C$3,ROW($A$1:$A$262),""),ROW()-1)))</f>
        <v>04242.2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12053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12053/1</v>
      </c>
      <c r="H6" s="12" t="s">
        <v>98</v>
      </c>
    </row>
    <row r="7" spans="1:9" x14ac:dyDescent="0.25">
      <c r="A7" s="11" t="s">
        <v>46</v>
      </c>
      <c r="B7" s="12" t="s">
        <v>42</v>
      </c>
      <c r="F7" s="13" t="str">
        <f t="array" ref="F7">IF(ROW()-1&gt;COUNTIF($B$1:$B$262,$C$3),"",INDEX($A$1:$A$262,SMALL(IF($B$1:$B$262=$C$3,ROW($A$1:$A$262),""),ROW()-1)))</f>
        <v>12053.2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12185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21060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21085</v>
      </c>
    </row>
    <row r="11" spans="1:9" x14ac:dyDescent="0.25">
      <c r="A11" s="11" t="s">
        <v>47</v>
      </c>
      <c r="B11" s="12" t="s">
        <v>42</v>
      </c>
      <c r="F11" s="13" t="str">
        <f t="array" ref="F11">IF(ROW()-1&gt;COUNTIF($B$1:$B$262,$C$3),"",INDEX($A$1:$A$262,SMALL(IF($B$1:$B$262=$C$3,ROW($A$1:$A$262),""),ROW()-1)))</f>
        <v>21085.2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21177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>
        <f t="array" ref="F13">IF(ROW()-1&gt;COUNTIF($B$1:$B$262,$C$3),"",INDEX($A$1:$A$262,SMALL(IF($B$1:$B$262=$C$3,ROW($A$1:$A$262),""),ROW()-1)))</f>
        <v>23036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23652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23658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23179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23203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23252</v>
      </c>
    </row>
    <row r="19" spans="1:6" x14ac:dyDescent="0.25">
      <c r="A19" s="11" t="s">
        <v>48</v>
      </c>
      <c r="B19" s="12" t="s">
        <v>42</v>
      </c>
      <c r="F19" s="13" t="str">
        <f t="array" ref="F19">IF(ROW()-1&gt;COUNTIF($B$1:$B$262,$C$3),"",INDEX($A$1:$A$262,SMALL(IF($B$1:$B$262=$C$3,ROW($A$1:$A$262),""),ROW()-1)))</f>
        <v>23252.1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23277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23549</v>
      </c>
    </row>
    <row r="22" spans="1:6" x14ac:dyDescent="0.25">
      <c r="A22" s="11" t="s">
        <v>49</v>
      </c>
      <c r="B22" s="12" t="s">
        <v>42</v>
      </c>
      <c r="F22" s="13" t="str">
        <f t="array" ref="F22">IF(ROW()-1&gt;COUNTIF($B$1:$B$262,$C$3),"",INDEX($A$1:$A$262,SMALL(IF($B$1:$B$262=$C$3,ROW($A$1:$A$262),""),ROW()-1)))</f>
        <v>23549.1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23719</v>
      </c>
    </row>
    <row r="24" spans="1:6" x14ac:dyDescent="0.25">
      <c r="A24" s="11">
        <v>23279</v>
      </c>
      <c r="B24" s="12" t="s">
        <v>42</v>
      </c>
      <c r="F24" s="13">
        <f t="array" ref="F24">IF(ROW()-1&gt;COUNTIF($B$1:$B$262,$C$3),"",INDEX($A$1:$A$262,SMALL(IF($B$1:$B$262=$C$3,ROW($A$1:$A$262),""),ROW()-1)))</f>
        <v>23279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23302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24065</v>
      </c>
    </row>
    <row r="27" spans="1:6" x14ac:dyDescent="0.25">
      <c r="A27" s="11" t="s">
        <v>50</v>
      </c>
      <c r="B27" s="12" t="s">
        <v>42</v>
      </c>
      <c r="F27" s="13" t="str">
        <f t="array" ref="F27">IF(ROW()-1&gt;COUNTIF($B$1:$B$262,$C$3),"",INDEX($A$1:$A$262,SMALL(IF($B$1:$B$262=$C$3,ROW($A$1:$A$262),""),ROW()-1)))</f>
        <v>24065.1</v>
      </c>
    </row>
    <row r="28" spans="1:6" x14ac:dyDescent="0.25">
      <c r="A28" s="11">
        <v>24129</v>
      </c>
      <c r="B28" s="12" t="s">
        <v>42</v>
      </c>
      <c r="F28" s="13">
        <f t="array" ref="F28">IF(ROW()-1&gt;COUNTIF($B$1:$B$262,$C$3),"",INDEX($A$1:$A$262,SMALL(IF($B$1:$B$262=$C$3,ROW($A$1:$A$262),""),ROW()-1)))</f>
        <v>24129</v>
      </c>
    </row>
    <row r="29" spans="1:6" x14ac:dyDescent="0.25">
      <c r="A29" s="11" t="s">
        <v>51</v>
      </c>
      <c r="B29" s="12" t="s">
        <v>42</v>
      </c>
      <c r="F29" s="13" t="str">
        <f t="array" ref="F29">IF(ROW()-1&gt;COUNTIF($B$1:$B$262,$C$3),"",INDEX($A$1:$A$262,SMALL(IF($B$1:$B$262=$C$3,ROW($A$1:$A$262),""),ROW()-1)))</f>
        <v>24129.1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24192</v>
      </c>
    </row>
    <row r="31" spans="1:6" x14ac:dyDescent="0.25">
      <c r="A31" s="11" t="s">
        <v>52</v>
      </c>
      <c r="B31" s="12" t="s">
        <v>42</v>
      </c>
      <c r="F31" s="13" t="str">
        <f t="array" ref="F31">IF(ROW()-1&gt;COUNTIF($B$1:$B$262,$C$3),"",INDEX($A$1:$A$262,SMALL(IF($B$1:$B$262=$C$3,ROW($A$1:$A$262),""),ROW()-1)))</f>
        <v>24192.1</v>
      </c>
    </row>
    <row r="32" spans="1:6" x14ac:dyDescent="0.25">
      <c r="A32" s="11">
        <v>24282</v>
      </c>
      <c r="B32" s="12" t="s">
        <v>42</v>
      </c>
      <c r="F32" s="13">
        <f t="array" ref="F32">IF(ROW()-1&gt;COUNTIF($B$1:$B$262,$C$3),"",INDEX($A$1:$A$262,SMALL(IF($B$1:$B$262=$C$3,ROW($A$1:$A$262),""),ROW()-1)))</f>
        <v>24282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24287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39037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40664</v>
      </c>
    </row>
    <row r="36" spans="1:6" x14ac:dyDescent="0.25">
      <c r="A36" s="11">
        <v>41029</v>
      </c>
      <c r="B36" s="12" t="s">
        <v>42</v>
      </c>
      <c r="F36" s="13">
        <f t="array" ref="F36">IF(ROW()-1&gt;COUNTIF($B$1:$B$262,$C$3),"",INDEX($A$1:$A$262,SMALL(IF($B$1:$B$262=$C$3,ROW($A$1:$A$262),""),ROW()-1)))</f>
        <v>41029</v>
      </c>
    </row>
    <row r="37" spans="1:6" x14ac:dyDescent="0.25">
      <c r="A37" s="11">
        <v>41707</v>
      </c>
      <c r="B37" s="12" t="s">
        <v>42</v>
      </c>
      <c r="F37" s="13">
        <f t="array" ref="F37">IF(ROW()-1&gt;COUNTIF($B$1:$B$262,$C$3),"",INDEX($A$1:$A$262,SMALL(IF($B$1:$B$262=$C$3,ROW($A$1:$A$262),""),ROW()-1)))</f>
        <v>41707</v>
      </c>
    </row>
    <row r="38" spans="1:6" x14ac:dyDescent="0.25">
      <c r="A38" s="11">
        <v>41248</v>
      </c>
      <c r="B38" s="12" t="s">
        <v>42</v>
      </c>
      <c r="F38" s="13">
        <f t="array" ref="F38">IF(ROW()-1&gt;COUNTIF($B$1:$B$262,$C$3),"",INDEX($A$1:$A$262,SMALL(IF($B$1:$B$262=$C$3,ROW($A$1:$A$262),""),ROW()-1)))</f>
        <v>41248</v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 xr:uid="{00000000-0002-0000-0600-000000000000}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:I222"/>
  <sheetViews>
    <sheetView showZeros="0" workbookViewId="0">
      <selection activeCell="L34" sqref="L34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.</vt:lpstr>
      <vt:lpstr>Base_Sinistre</vt:lpstr>
      <vt:lpstr>Base_Epave</vt:lpstr>
      <vt:lpstr>Modèle_Sinistre</vt:lpstr>
      <vt:lpstr>Modèle_Epave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Yves</cp:lastModifiedBy>
  <cp:lastPrinted>2019-10-06T12:51:57Z</cp:lastPrinted>
  <dcterms:created xsi:type="dcterms:W3CDTF">2018-11-07T08:15:07Z</dcterms:created>
  <dcterms:modified xsi:type="dcterms:W3CDTF">2019-11-01T21:10:45Z</dcterms:modified>
</cp:coreProperties>
</file>