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25" windowWidth="15480" windowHeight="10995" tabRatio="529"/>
  </bookViews>
  <sheets>
    <sheet name="Crédit foncier" sheetId="38" r:id="rId1"/>
  </sheets>
  <externalReferences>
    <externalReference r:id="rId2"/>
  </externalReferences>
  <definedNames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>#REF!</definedName>
    <definedName name="maandenF">#REF!</definedName>
    <definedName name="mensF">#REF!</definedName>
    <definedName name="nettorvtF">#REF!</definedName>
    <definedName name="UitstelF">#REF!</definedName>
    <definedName name="_xlnm.Print_Area" localSheetId="0">'Crédit foncier'!$A$1:$AB$161</definedName>
  </definedNames>
  <calcPr calcId="125725"/>
</workbook>
</file>

<file path=xl/calcChain.xml><?xml version="1.0" encoding="utf-8"?>
<calcChain xmlns="http://schemas.openxmlformats.org/spreadsheetml/2006/main">
  <c r="M32" i="38"/>
  <c r="M38" l="1"/>
  <c r="M39"/>
  <c r="M40"/>
  <c r="M41"/>
  <c r="M42"/>
  <c r="K30"/>
  <c r="K33"/>
  <c r="K32"/>
  <c r="M37" l="1"/>
  <c r="M36"/>
  <c r="K42"/>
  <c r="K41"/>
  <c r="K40"/>
  <c r="K39"/>
  <c r="K37"/>
  <c r="K36"/>
  <c r="M30"/>
  <c r="M29"/>
  <c r="M28"/>
  <c r="M27"/>
  <c r="K31"/>
  <c r="K29"/>
  <c r="K28"/>
  <c r="K27"/>
  <c r="AA68"/>
  <c r="AC67"/>
  <c r="AC65"/>
  <c r="AC64"/>
  <c r="AC81"/>
  <c r="AC78"/>
  <c r="AC82" s="1"/>
  <c r="M96"/>
  <c r="O95"/>
  <c r="O93"/>
  <c r="O92"/>
  <c r="M90"/>
  <c r="O90" s="1"/>
  <c r="M82"/>
  <c r="O81"/>
  <c r="O79"/>
  <c r="O78"/>
  <c r="M76"/>
  <c r="O76" s="1"/>
  <c r="M48"/>
  <c r="U38"/>
  <c r="W38"/>
  <c r="Y38"/>
  <c r="AC38"/>
  <c r="AE38"/>
  <c r="AG38"/>
  <c r="O96" l="1"/>
  <c r="AC76"/>
  <c r="O82"/>
  <c r="AC68"/>
  <c r="K34"/>
  <c r="K35"/>
  <c r="O23"/>
  <c r="K23"/>
  <c r="E23"/>
  <c r="M68" l="1"/>
  <c r="O67"/>
  <c r="O65"/>
  <c r="I43" l="1"/>
  <c r="G43"/>
  <c r="E43"/>
  <c r="AH48" l="1"/>
  <c r="AA10" l="1"/>
  <c r="AA9"/>
  <c r="AA38" s="1"/>
  <c r="AA11" l="1"/>
  <c r="O64"/>
  <c r="O68" s="1"/>
  <c r="K48" l="1"/>
  <c r="Y170" l="1"/>
  <c r="Y169"/>
  <c r="Y168"/>
  <c r="Y167"/>
  <c r="Y166"/>
  <c r="Y165"/>
  <c r="Z165" s="1"/>
  <c r="Z166" l="1"/>
  <c r="Z167" s="1"/>
  <c r="Z168" s="1"/>
  <c r="Z169" s="1"/>
  <c r="Z170" s="1"/>
  <c r="M49" l="1"/>
  <c r="M31" l="1"/>
  <c r="W22"/>
  <c r="U21"/>
  <c r="U20"/>
  <c r="U19"/>
  <c r="U18"/>
  <c r="U17"/>
  <c r="U16"/>
  <c r="U15"/>
  <c r="W21" l="1"/>
  <c r="W18"/>
  <c r="W16"/>
  <c r="W15"/>
  <c r="M43" l="1"/>
  <c r="M45" s="1"/>
  <c r="K43"/>
  <c r="W19"/>
  <c r="M62" l="1"/>
  <c r="K49"/>
  <c r="K45"/>
  <c r="S8"/>
  <c r="O62" l="1"/>
  <c r="W20"/>
  <c r="W17"/>
  <c r="S9"/>
  <c r="S11" l="1"/>
  <c r="AG49"/>
  <c r="AE49"/>
  <c r="Y49"/>
  <c r="W49"/>
  <c r="U49"/>
  <c r="AC49"/>
  <c r="AA49"/>
  <c r="S49"/>
  <c r="W23"/>
  <c r="S38" s="1"/>
  <c r="AA54" l="1"/>
  <c r="S54"/>
  <c r="AG54"/>
  <c r="Y54"/>
  <c r="AE54"/>
  <c r="W54"/>
  <c r="AC54"/>
  <c r="U54"/>
  <c r="S40"/>
  <c r="AG40" s="1"/>
  <c r="W30"/>
  <c r="AG30"/>
  <c r="U30"/>
  <c r="AE30"/>
  <c r="Y30"/>
  <c r="S29"/>
  <c r="U33"/>
  <c r="Y33"/>
  <c r="AC30"/>
  <c r="AA30"/>
  <c r="S30"/>
  <c r="AG33"/>
  <c r="AC33"/>
  <c r="W33"/>
  <c r="S33"/>
  <c r="AE33"/>
  <c r="AA33"/>
  <c r="U29"/>
  <c r="AG29"/>
  <c r="AE29"/>
  <c r="Y29"/>
  <c r="W29"/>
  <c r="AA29"/>
  <c r="AC29"/>
  <c r="AC31"/>
  <c r="AA31"/>
  <c r="S31"/>
  <c r="AE40" l="1"/>
  <c r="AC40"/>
  <c r="U40"/>
  <c r="AA40"/>
  <c r="W40"/>
  <c r="Y40"/>
  <c r="AA165"/>
  <c r="AA166"/>
  <c r="AA168"/>
  <c r="AA164"/>
  <c r="AA167"/>
  <c r="AA169" l="1"/>
  <c r="AG44"/>
  <c r="Y44"/>
  <c r="AC44"/>
  <c r="U44"/>
  <c r="S44"/>
  <c r="W44"/>
  <c r="AE44"/>
  <c r="AE31"/>
  <c r="AA44"/>
  <c r="Z171"/>
  <c r="AA170" s="1"/>
  <c r="AG31"/>
  <c r="Y150"/>
  <c r="Z163"/>
  <c r="AA162" s="1"/>
  <c r="Y31"/>
  <c r="W31"/>
  <c r="Y161"/>
  <c r="U31"/>
  <c r="Y162"/>
  <c r="Y151"/>
  <c r="Z155"/>
  <c r="AA154" s="1"/>
  <c r="Y159"/>
  <c r="Y160"/>
  <c r="Y154"/>
  <c r="Y153"/>
  <c r="Y157"/>
  <c r="Z157" s="1"/>
  <c r="Y149"/>
  <c r="Z149" s="1"/>
  <c r="AA148" s="1"/>
  <c r="Y152"/>
  <c r="Y158"/>
  <c r="Z150" l="1"/>
  <c r="AA149" s="1"/>
  <c r="AA156"/>
  <c r="Z158"/>
  <c r="Z151" l="1"/>
  <c r="AA150" s="1"/>
  <c r="Z159"/>
  <c r="AA157"/>
  <c r="Z152" l="1"/>
  <c r="AA151" s="1"/>
  <c r="AA158"/>
  <c r="Z160"/>
  <c r="Z153" l="1"/>
  <c r="Z154" s="1"/>
  <c r="AA153" s="1"/>
  <c r="Z161"/>
  <c r="AA159"/>
  <c r="AA152" l="1"/>
  <c r="S32" s="1"/>
  <c r="AA160"/>
  <c r="Z162"/>
  <c r="AA161" s="1"/>
  <c r="AG32" l="1"/>
  <c r="AG34" s="1"/>
  <c r="S34"/>
  <c r="AE32"/>
  <c r="AE34" s="1"/>
  <c r="AC32"/>
  <c r="AC34" s="1"/>
  <c r="Y32"/>
  <c r="Y34" s="1"/>
  <c r="W32"/>
  <c r="W34" s="1"/>
  <c r="U32"/>
  <c r="U34" s="1"/>
  <c r="AA32"/>
  <c r="AA34" s="1"/>
  <c r="S39"/>
  <c r="AE39" s="1"/>
  <c r="U39" l="1"/>
  <c r="AC39"/>
  <c r="Y39"/>
  <c r="AA39"/>
  <c r="S41"/>
  <c r="AG39"/>
  <c r="W39"/>
  <c r="U41" l="1"/>
  <c r="Y41"/>
  <c r="AE41"/>
  <c r="AE43" s="1"/>
  <c r="AE45" s="1"/>
  <c r="S43"/>
  <c r="AG41"/>
  <c r="AC41"/>
  <c r="W41"/>
  <c r="AA41"/>
  <c r="AE52" l="1"/>
  <c r="AE53" s="1"/>
  <c r="AE55" s="1"/>
  <c r="AE47"/>
  <c r="S45"/>
  <c r="AA43"/>
  <c r="AA45" s="1"/>
  <c r="AG43"/>
  <c r="W43"/>
  <c r="Y43"/>
  <c r="AC43"/>
  <c r="U43"/>
  <c r="AA52" l="1"/>
  <c r="AA53" s="1"/>
  <c r="AA55" s="1"/>
  <c r="S52"/>
  <c r="S53" s="1"/>
  <c r="S55" s="1"/>
  <c r="AA62"/>
  <c r="AC62" s="1"/>
  <c r="AE48"/>
  <c r="AE50" s="1"/>
  <c r="S47"/>
  <c r="W45"/>
  <c r="AC45"/>
  <c r="AA47"/>
  <c r="Y45"/>
  <c r="U45"/>
  <c r="AG45"/>
  <c r="Y47" l="1"/>
  <c r="Y48" s="1"/>
  <c r="Y50" s="1"/>
  <c r="Y52"/>
  <c r="Y53" s="1"/>
  <c r="Y55" s="1"/>
  <c r="AG47"/>
  <c r="AG48" s="1"/>
  <c r="AG50" s="1"/>
  <c r="AG52"/>
  <c r="AG53" s="1"/>
  <c r="AG55" s="1"/>
  <c r="AC47"/>
  <c r="AC48" s="1"/>
  <c r="AC50" s="1"/>
  <c r="AC52"/>
  <c r="AC53" s="1"/>
  <c r="AC55" s="1"/>
  <c r="U47"/>
  <c r="U48" s="1"/>
  <c r="U50" s="1"/>
  <c r="U52"/>
  <c r="U53" s="1"/>
  <c r="U55" s="1"/>
  <c r="W47"/>
  <c r="W48" s="1"/>
  <c r="W50" s="1"/>
  <c r="W52"/>
  <c r="W53" s="1"/>
  <c r="W55" s="1"/>
  <c r="S48"/>
  <c r="S50" s="1"/>
  <c r="AA48"/>
  <c r="AA50" s="1"/>
</calcChain>
</file>

<file path=xl/sharedStrings.xml><?xml version="1.0" encoding="utf-8"?>
<sst xmlns="http://schemas.openxmlformats.org/spreadsheetml/2006/main" count="289" uniqueCount="154">
  <si>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</si>
  <si>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</si>
  <si>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</si>
  <si>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</si>
  <si>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</si>
  <si>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</si>
  <si>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</si>
  <si>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NS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</si>
  <si>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</si>
  <si>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</si>
  <si>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</si>
  <si>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</si>
  <si>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</si>
  <si>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</si>
  <si>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</si>
  <si>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</si>
  <si>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</si>
  <si>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</si>
  <si>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</si>
  <si>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</si>
  <si>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</si>
  <si>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</si>
  <si>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</si>
  <si>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</si>
  <si>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</si>
  <si>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</si>
  <si>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</si>
  <si>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</si>
  <si>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</si>
  <si>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</si>
  <si>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</si>
  <si>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</si>
  <si>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</si>
  <si>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</si>
  <si>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</si>
  <si>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</si>
  <si>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</si>
  <si>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</si>
  <si>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</si>
  <si>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</si>
  <si>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</si>
  <si>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</si>
  <si>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</si>
  <si>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</si>
  <si>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</si>
  <si>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</si>
  <si>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</si>
  <si>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</si>
  <si>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</si>
  <si>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</si>
  <si>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 xml:space="preserve">Maladie/invalidité </t>
  </si>
  <si>
    <t xml:space="preserve">Pensions </t>
  </si>
  <si>
    <t>Total chèque repas par mois</t>
  </si>
  <si>
    <t>Valeurs locative existant</t>
  </si>
  <si>
    <t>Valeurs locative future</t>
  </si>
  <si>
    <t>Pension alimentaire payée</t>
  </si>
  <si>
    <t>Crédits en cours à racheter</t>
  </si>
  <si>
    <t>Crédits en cours non rachetés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</si>
  <si>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</si>
  <si>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</si>
  <si>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</si>
  <si>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</si>
  <si>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</si>
  <si>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</si>
  <si>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</si>
  <si>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</si>
  <si>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</si>
  <si>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</si>
  <si>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</si>
  <si>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</si>
  <si>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</si>
  <si>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</si>
  <si>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</si>
  <si>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</si>
  <si>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</si>
  <si>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</si>
  <si>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</si>
  <si>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Montant achat bien/ construction / travaux</t>
  </si>
  <si>
    <t>Tx annuel</t>
  </si>
  <si>
    <t>Mensualité</t>
  </si>
  <si>
    <t>Taux annuel</t>
  </si>
  <si>
    <t>Montant original prêt</t>
  </si>
  <si>
    <t>Solde actuel</t>
  </si>
  <si>
    <t>Taux dans le temps</t>
  </si>
  <si>
    <t>Cap 3</t>
  </si>
  <si>
    <t>Future charge du prêt taux variable</t>
  </si>
  <si>
    <t>Solde alimentaire</t>
  </si>
  <si>
    <t>Total revenus</t>
  </si>
  <si>
    <t>Durée - mois</t>
  </si>
  <si>
    <t>10 ans - 120 mois</t>
  </si>
  <si>
    <t>12 ans - 144 mois</t>
  </si>
  <si>
    <t>15 ans - 180 mois</t>
  </si>
  <si>
    <t>18 ans - 216 mois</t>
  </si>
  <si>
    <t>20 ans - 240 mois</t>
  </si>
  <si>
    <t>25 ans - 300 mois</t>
  </si>
  <si>
    <t>30 ans - 360 mois</t>
  </si>
  <si>
    <t>35 ans - 420 mois</t>
  </si>
  <si>
    <t>40a ns - 480 mois</t>
  </si>
  <si>
    <t>Remboursement maximum</t>
  </si>
  <si>
    <t>Montant crédit</t>
  </si>
  <si>
    <t>R'boursement</t>
  </si>
  <si>
    <t>Fixe</t>
  </si>
  <si>
    <t>Autres positif</t>
  </si>
  <si>
    <t>Autres négatif</t>
  </si>
  <si>
    <t>Nbr d'années</t>
  </si>
  <si>
    <t>Candidat emprunteur</t>
  </si>
  <si>
    <t>Nbr d'enfants &lt; 15 ans - Allocations</t>
  </si>
  <si>
    <t>Pens. alim. reçues enfants &lt; 15 ans</t>
  </si>
  <si>
    <t>Simulation crédit habitation</t>
  </si>
  <si>
    <t>Gage (Habitation à financer)</t>
  </si>
  <si>
    <t>Revenus / dépenses</t>
  </si>
  <si>
    <t>1/1/1</t>
  </si>
  <si>
    <t>3/3/3</t>
  </si>
  <si>
    <t>5/5/5</t>
  </si>
  <si>
    <t>10/5/5</t>
  </si>
  <si>
    <t>80% - 100%</t>
  </si>
  <si>
    <t>&lt; 80%</t>
  </si>
  <si>
    <t>100 - 118%</t>
  </si>
  <si>
    <t>Crédit foncier   Taux fixe</t>
  </si>
  <si>
    <t>Elantis   10/5/5   Cap 2</t>
  </si>
  <si>
    <t>Crédit foncier   1/1/1   Cap 3</t>
  </si>
  <si>
    <t>Elantis   3/3/3   Cap 2</t>
  </si>
  <si>
    <t>Elantis   5/5/5   Cap 2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</si>
  <si>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</si>
  <si>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</si>
  <si>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</si>
  <si>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</si>
  <si>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</si>
  <si>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</si>
  <si>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t>630 mois pour cohabitant</t>
  </si>
  <si>
    <t>1000 mois pour chef de famille</t>
  </si>
  <si>
    <t>850 mois pour un isolé</t>
  </si>
  <si>
    <t>RT</t>
  </si>
  <si>
    <t>RT= revenu travail</t>
  </si>
  <si>
    <t>Enoncé</t>
  </si>
  <si>
    <r>
      <rPr>
        <b/>
        <sz val="11"/>
        <color theme="1"/>
        <rFont val="Times New Roman"/>
        <family val="1"/>
      </rPr>
      <t>Crédit foncier</t>
    </r>
    <r>
      <rPr>
        <sz val="11"/>
        <color theme="1"/>
        <rFont val="Times New Roman"/>
        <family val="1"/>
      </rPr>
      <t xml:space="preserve"> - Frais de dossier</t>
    </r>
  </si>
  <si>
    <r>
      <rPr>
        <b/>
        <sz val="11"/>
        <color theme="1"/>
        <rFont val="Times New Roman"/>
        <family val="1"/>
      </rPr>
      <t>Elantis</t>
    </r>
    <r>
      <rPr>
        <sz val="11"/>
        <color theme="1"/>
        <rFont val="Times New Roman"/>
        <family val="1"/>
      </rPr>
      <t xml:space="preserve"> - Frais de dossier</t>
    </r>
  </si>
  <si>
    <t>E114 = chef de famille</t>
  </si>
  <si>
    <t>0 ou 100</t>
  </si>
  <si>
    <t>E115 et G115 = les revenus de chômage pourraient être un complément à un revenu de travail</t>
  </si>
  <si>
    <t>Même principe</t>
  </si>
  <si>
    <t>Si cohabitant a un RT, chef de famille maximum 630 même si revenu chômage plus élevé</t>
  </si>
  <si>
    <t>E111 = si emprunteur Isolé</t>
  </si>
  <si>
    <t>850 ou 630</t>
  </si>
  <si>
    <t>Pour cohabitant maximum 630 si chef de famille RT</t>
  </si>
  <si>
    <t>Colonne E = soit chef de famille, soit isolé</t>
  </si>
  <si>
    <t>Colonne G = cohabitant</t>
  </si>
  <si>
    <t>E112 = si l'emprunteur est isolé 850, si il est cohabitant 630</t>
  </si>
  <si>
    <r>
      <t xml:space="preserve">Considérer le montant perçu avec un </t>
    </r>
    <r>
      <rPr>
        <sz val="11"/>
        <color rgb="FFFF0000"/>
        <rFont val="Calibri"/>
        <family val="2"/>
        <scheme val="minor"/>
      </rPr>
      <t>maximum</t>
    </r>
    <r>
      <rPr>
        <sz val="11"/>
        <color theme="3"/>
        <rFont val="Calibri"/>
        <family val="2"/>
        <scheme val="minor"/>
      </rPr>
      <t xml:space="preserve"> de:</t>
    </r>
  </si>
  <si>
    <t>Les résultats sont a afficher dans la colonne M</t>
  </si>
  <si>
    <t>G 107 = Etant au chômage on ne sait pas emprunter plus que ce qu'on touche comme allocations, chef de famille RT</t>
  </si>
  <si>
    <t>Idem et étant au chômage on ne sait pas plus emprunter que ce qu'on touche comme allocation</t>
  </si>
  <si>
    <t>E109 = chef de famille, cohabitant aussi chômage mais on on se base sur les allocations du chef de famille</t>
  </si>
  <si>
    <t>Idem, E110 = chef de famille, Les 100 du cohabitant sont peur-être un complément à un RT (RT dans autre cellule)</t>
  </si>
</sst>
</file>

<file path=xl/styles.xml><?xml version="1.0" encoding="utf-8"?>
<styleSheet xmlns="http://schemas.openxmlformats.org/spreadsheetml/2006/main">
  <numFmts count="11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0.0000%"/>
    <numFmt numFmtId="168" formatCode="#,##0.00\ _€"/>
    <numFmt numFmtId="169" formatCode="0.000%"/>
    <numFmt numFmtId="170" formatCode="0.000"/>
    <numFmt numFmtId="171" formatCode="d/mm/yyyy;@"/>
    <numFmt numFmtId="172" formatCode="#,##0.00\ &quot;F&quot;;[Red]\-#,##0.00\ &quot;F&quot;"/>
    <numFmt numFmtId="173" formatCode="#,##0.00\ [$€-1];[Red]\-#,##0.00\ [$€-1]"/>
    <numFmt numFmtId="174" formatCode="#,##0_ ;[Red]\-#,##0\ 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theme="3"/>
      <name val="Times New Roman"/>
      <family val="1"/>
    </font>
    <font>
      <sz val="11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1"/>
      <color theme="3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C00000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Times New Roman"/>
      <family val="1"/>
    </font>
    <font>
      <b/>
      <sz val="11"/>
      <color rgb="FFFFFF00"/>
      <name val="Times New Roman"/>
      <family val="1"/>
    </font>
    <font>
      <sz val="11"/>
      <color theme="5" tint="-0.499984740745262"/>
      <name val="Times New Roman"/>
      <family val="1"/>
    </font>
    <font>
      <b/>
      <sz val="11"/>
      <color theme="5" tint="-0.499984740745262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6" tint="-0.499984740745262"/>
      <name val="Times New Roman"/>
      <family val="1"/>
    </font>
    <font>
      <sz val="11"/>
      <color rgb="FF000000"/>
      <name val="Times New Roman"/>
      <family val="1"/>
    </font>
    <font>
      <sz val="11"/>
      <color theme="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25">
    <xf numFmtId="0" fontId="0" fillId="0" borderId="0" xfId="0"/>
    <xf numFmtId="0" fontId="6" fillId="4" borderId="0" xfId="0" applyFont="1" applyFill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7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9" fillId="4" borderId="0" xfId="0" applyFont="1" applyFill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10" fillId="4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11" fillId="10" borderId="2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168" fontId="6" fillId="4" borderId="0" xfId="0" applyNumberFormat="1" applyFont="1" applyFill="1" applyBorder="1" applyAlignment="1" applyProtection="1">
      <alignment horizontal="center" vertical="center"/>
      <protection locked="0"/>
    </xf>
    <xf numFmtId="168" fontId="12" fillId="8" borderId="2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>
      <alignment horizontal="center" vertical="center"/>
    </xf>
    <xf numFmtId="0" fontId="6" fillId="4" borderId="15" xfId="0" applyFont="1" applyFill="1" applyBorder="1" applyAlignment="1" applyProtection="1">
      <alignment vertical="center"/>
      <protection locked="0"/>
    </xf>
    <xf numFmtId="0" fontId="6" fillId="4" borderId="33" xfId="0" applyFont="1" applyFill="1" applyBorder="1" applyAlignment="1" applyProtection="1">
      <alignment horizontal="center" vertical="center"/>
      <protection locked="0"/>
    </xf>
    <xf numFmtId="0" fontId="6" fillId="4" borderId="3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8" fillId="4" borderId="15" xfId="2" applyFont="1" applyFill="1" applyBorder="1" applyAlignment="1">
      <alignment vertical="center"/>
    </xf>
    <xf numFmtId="164" fontId="13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6" fillId="4" borderId="19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166" fontId="8" fillId="4" borderId="15" xfId="0" applyNumberFormat="1" applyFont="1" applyFill="1" applyBorder="1" applyAlignment="1">
      <alignment horizontal="center" vertical="center"/>
    </xf>
    <xf numFmtId="49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30" xfId="0" applyFont="1" applyFill="1" applyBorder="1" applyAlignment="1" applyProtection="1">
      <alignment vertical="center"/>
      <protection locked="0"/>
    </xf>
    <xf numFmtId="0" fontId="6" fillId="4" borderId="31" xfId="0" applyFont="1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16" xfId="0" applyFont="1" applyFill="1" applyBorder="1" applyAlignment="1" applyProtection="1">
      <alignment vertical="center"/>
      <protection locked="0"/>
    </xf>
    <xf numFmtId="164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28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4" borderId="29" xfId="0" applyFont="1" applyFill="1" applyBorder="1" applyAlignment="1">
      <alignment vertical="center"/>
    </xf>
    <xf numFmtId="166" fontId="8" fillId="4" borderId="16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 applyProtection="1">
      <alignment horizontal="center" vertical="center"/>
      <protection locked="0"/>
    </xf>
    <xf numFmtId="0" fontId="6" fillId="4" borderId="3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6" fillId="4" borderId="27" xfId="0" applyFont="1" applyFill="1" applyBorder="1" applyAlignment="1">
      <alignment vertical="center"/>
    </xf>
    <xf numFmtId="10" fontId="8" fillId="4" borderId="16" xfId="0" applyNumberFormat="1" applyFont="1" applyFill="1" applyBorder="1" applyAlignment="1">
      <alignment horizontal="center" vertical="center"/>
    </xf>
    <xf numFmtId="168" fontId="6" fillId="4" borderId="0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  <protection locked="0"/>
    </xf>
    <xf numFmtId="0" fontId="6" fillId="4" borderId="32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vertical="center"/>
      <protection locked="0"/>
    </xf>
    <xf numFmtId="164" fontId="13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21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6" fillId="4" borderId="22" xfId="0" applyFont="1" applyFill="1" applyBorder="1" applyAlignment="1">
      <alignment vertical="center"/>
    </xf>
    <xf numFmtId="164" fontId="8" fillId="4" borderId="16" xfId="0" applyNumberFormat="1" applyFont="1" applyFill="1" applyBorder="1" applyAlignment="1" applyProtection="1">
      <alignment horizontal="center" vertical="center"/>
      <protection locked="0"/>
    </xf>
    <xf numFmtId="168" fontId="6" fillId="4" borderId="0" xfId="0" applyNumberFormat="1" applyFont="1" applyFill="1" applyBorder="1" applyAlignment="1" applyProtection="1">
      <alignment horizontal="center" vertical="center"/>
    </xf>
    <xf numFmtId="0" fontId="6" fillId="4" borderId="28" xfId="0" applyFont="1" applyFill="1" applyBorder="1" applyAlignment="1" applyProtection="1">
      <alignment horizontal="center"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29" xfId="0" applyFont="1" applyFill="1" applyBorder="1" applyAlignment="1" applyProtection="1">
      <alignment horizontal="center" vertical="center"/>
      <protection locked="0"/>
    </xf>
    <xf numFmtId="0" fontId="8" fillId="4" borderId="17" xfId="0" applyFont="1" applyFill="1" applyBorder="1" applyAlignment="1" applyProtection="1">
      <alignment vertical="center"/>
      <protection locked="0"/>
    </xf>
    <xf numFmtId="164" fontId="13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4" borderId="23" xfId="0" applyFont="1" applyFill="1" applyBorder="1" applyAlignment="1">
      <alignment vertical="center"/>
    </xf>
    <xf numFmtId="0" fontId="6" fillId="4" borderId="24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/>
    </xf>
    <xf numFmtId="168" fontId="8" fillId="4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6" fillId="4" borderId="10" xfId="0" applyFont="1" applyFill="1" applyBorder="1" applyAlignment="1" applyProtection="1">
      <alignment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168" fontId="8" fillId="4" borderId="0" xfId="0" applyNumberFormat="1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>
      <alignment vertical="center"/>
    </xf>
    <xf numFmtId="164" fontId="14" fillId="4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3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164" fontId="8" fillId="4" borderId="2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0" fontId="12" fillId="8" borderId="2" xfId="0" applyFont="1" applyFill="1" applyBorder="1" applyAlignment="1" applyProtection="1">
      <alignment vertical="center"/>
      <protection locked="0"/>
    </xf>
    <xf numFmtId="168" fontId="8" fillId="4" borderId="0" xfId="0" applyNumberFormat="1" applyFont="1" applyFill="1" applyBorder="1" applyAlignment="1" applyProtection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12" fillId="8" borderId="2" xfId="0" applyFont="1" applyFill="1" applyBorder="1" applyAlignment="1" applyProtection="1">
      <alignment horizontal="left" vertical="center"/>
      <protection locked="0"/>
    </xf>
    <xf numFmtId="4" fontId="12" fillId="8" borderId="2" xfId="0" applyNumberFormat="1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/>
      <protection locked="0"/>
    </xf>
    <xf numFmtId="168" fontId="12" fillId="8" borderId="2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>
      <alignment vertical="center"/>
    </xf>
    <xf numFmtId="0" fontId="17" fillId="4" borderId="0" xfId="0" applyFont="1" applyFill="1" applyBorder="1" applyAlignment="1">
      <alignment vertical="center"/>
    </xf>
    <xf numFmtId="164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4" fontId="6" fillId="0" borderId="0" xfId="0" applyNumberFormat="1" applyFont="1" applyFill="1" applyBorder="1" applyAlignment="1" applyProtection="1">
      <alignment horizontal="center" vertical="center"/>
      <protection locked="0"/>
    </xf>
    <xf numFmtId="168" fontId="16" fillId="0" borderId="0" xfId="0" applyNumberFormat="1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164" fontId="6" fillId="0" borderId="16" xfId="0" applyNumberFormat="1" applyFont="1" applyFill="1" applyBorder="1" applyAlignment="1">
      <alignment horizontal="center" vertical="center"/>
    </xf>
    <xf numFmtId="164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14" fillId="4" borderId="15" xfId="0" applyFont="1" applyFill="1" applyBorder="1" applyAlignment="1" applyProtection="1">
      <alignment horizontal="left" vertical="center"/>
      <protection locked="0"/>
    </xf>
    <xf numFmtId="164" fontId="6" fillId="4" borderId="15" xfId="0" applyNumberFormat="1" applyFont="1" applyFill="1" applyBorder="1" applyAlignment="1" applyProtection="1">
      <alignment horizontal="center" vertical="center"/>
      <protection locked="0"/>
    </xf>
    <xf numFmtId="168" fontId="16" fillId="4" borderId="15" xfId="0" applyNumberFormat="1" applyFont="1" applyFill="1" applyBorder="1" applyAlignment="1" applyProtection="1">
      <alignment horizontal="center" vertical="center"/>
    </xf>
    <xf numFmtId="10" fontId="6" fillId="4" borderId="15" xfId="0" applyNumberFormat="1" applyFont="1" applyFill="1" applyBorder="1" applyAlignment="1" applyProtection="1">
      <alignment horizontal="center" vertical="center"/>
      <protection locked="0"/>
    </xf>
    <xf numFmtId="168" fontId="6" fillId="4" borderId="15" xfId="0" applyNumberFormat="1" applyFont="1" applyFill="1" applyBorder="1" applyAlignment="1" applyProtection="1">
      <alignment horizontal="center" vertical="center"/>
      <protection locked="0"/>
    </xf>
    <xf numFmtId="171" fontId="6" fillId="4" borderId="15" xfId="0" applyNumberFormat="1" applyFont="1" applyFill="1" applyBorder="1" applyAlignment="1" applyProtection="1">
      <alignment horizontal="center" vertical="center"/>
      <protection locked="0"/>
    </xf>
    <xf numFmtId="0" fontId="14" fillId="4" borderId="16" xfId="0" applyFont="1" applyFill="1" applyBorder="1" applyAlignment="1" applyProtection="1">
      <alignment horizontal="left" vertical="center"/>
      <protection locked="0"/>
    </xf>
    <xf numFmtId="168" fontId="16" fillId="4" borderId="16" xfId="0" applyNumberFormat="1" applyFont="1" applyFill="1" applyBorder="1" applyAlignment="1" applyProtection="1">
      <alignment horizontal="center" vertical="center"/>
    </xf>
    <xf numFmtId="10" fontId="6" fillId="4" borderId="16" xfId="0" applyNumberFormat="1" applyFont="1" applyFill="1" applyBorder="1" applyAlignment="1" applyProtection="1">
      <alignment horizontal="center" vertical="center"/>
      <protection locked="0"/>
    </xf>
    <xf numFmtId="168" fontId="6" fillId="4" borderId="16" xfId="0" applyNumberFormat="1" applyFont="1" applyFill="1" applyBorder="1" applyAlignment="1" applyProtection="1">
      <alignment horizontal="center" vertical="center"/>
      <protection locked="0"/>
    </xf>
    <xf numFmtId="171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>
      <alignment horizontal="left" vertical="center"/>
    </xf>
    <xf numFmtId="164" fontId="6" fillId="0" borderId="17" xfId="0" applyNumberFormat="1" applyFont="1" applyFill="1" applyBorder="1" applyAlignment="1" applyProtection="1">
      <alignment horizontal="center" vertical="center"/>
      <protection locked="0"/>
    </xf>
    <xf numFmtId="0" fontId="14" fillId="4" borderId="17" xfId="0" applyFont="1" applyFill="1" applyBorder="1" applyAlignment="1" applyProtection="1">
      <alignment horizontal="left" vertical="center"/>
      <protection locked="0"/>
    </xf>
    <xf numFmtId="164" fontId="6" fillId="4" borderId="17" xfId="0" applyNumberFormat="1" applyFont="1" applyFill="1" applyBorder="1" applyAlignment="1" applyProtection="1">
      <alignment horizontal="center" vertical="center"/>
      <protection locked="0"/>
    </xf>
    <xf numFmtId="168" fontId="16" fillId="4" borderId="17" xfId="0" applyNumberFormat="1" applyFont="1" applyFill="1" applyBorder="1" applyAlignment="1" applyProtection="1">
      <alignment horizontal="center" vertical="center"/>
    </xf>
    <xf numFmtId="10" fontId="6" fillId="4" borderId="17" xfId="0" applyNumberFormat="1" applyFont="1" applyFill="1" applyBorder="1" applyAlignment="1" applyProtection="1">
      <alignment horizontal="center" vertical="center"/>
      <protection locked="0"/>
    </xf>
    <xf numFmtId="168" fontId="6" fillId="4" borderId="17" xfId="0" applyNumberFormat="1" applyFont="1" applyFill="1" applyBorder="1" applyAlignment="1" applyProtection="1">
      <alignment horizontal="center" vertical="center"/>
      <protection locked="0"/>
    </xf>
    <xf numFmtId="171" fontId="6" fillId="4" borderId="17" xfId="0" applyNumberFormat="1" applyFont="1" applyFill="1" applyBorder="1" applyAlignment="1" applyProtection="1">
      <alignment horizontal="center" vertical="center"/>
      <protection locked="0"/>
    </xf>
    <xf numFmtId="164" fontId="6" fillId="0" borderId="1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 applyProtection="1">
      <alignment horizontal="left" vertical="center"/>
      <protection locked="0"/>
    </xf>
    <xf numFmtId="4" fontId="6" fillId="0" borderId="2" xfId="0" applyNumberFormat="1" applyFont="1" applyFill="1" applyBorder="1" applyAlignment="1" applyProtection="1">
      <alignment horizontal="center" vertical="center"/>
      <protection locked="0"/>
    </xf>
    <xf numFmtId="168" fontId="16" fillId="4" borderId="0" xfId="0" applyNumberFormat="1" applyFont="1" applyFill="1" applyBorder="1" applyAlignment="1" applyProtection="1">
      <alignment horizontal="center" vertical="center"/>
    </xf>
    <xf numFmtId="164" fontId="6" fillId="0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left" vertical="center"/>
    </xf>
    <xf numFmtId="168" fontId="6" fillId="0" borderId="0" xfId="0" applyNumberFormat="1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 applyProtection="1">
      <alignment horizontal="center" vertical="center"/>
      <protection locked="0"/>
    </xf>
    <xf numFmtId="166" fontId="13" fillId="4" borderId="2" xfId="0" applyNumberFormat="1" applyFont="1" applyFill="1" applyBorder="1" applyAlignment="1">
      <alignment horizontal="center" vertical="center"/>
    </xf>
    <xf numFmtId="0" fontId="12" fillId="12" borderId="2" xfId="0" applyFont="1" applyFill="1" applyBorder="1" applyAlignment="1" applyProtection="1">
      <alignment horizontal="center" vertical="center"/>
      <protection locked="0"/>
    </xf>
    <xf numFmtId="168" fontId="18" fillId="4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8" fillId="4" borderId="15" xfId="0" applyFont="1" applyFill="1" applyBorder="1" applyAlignment="1" applyProtection="1">
      <alignment horizontal="left" vertical="center"/>
      <protection locked="0"/>
    </xf>
    <xf numFmtId="168" fontId="6" fillId="13" borderId="15" xfId="0" applyNumberFormat="1" applyFont="1" applyFill="1" applyBorder="1" applyAlignment="1" applyProtection="1">
      <alignment horizontal="center" vertical="center"/>
      <protection locked="0"/>
    </xf>
    <xf numFmtId="168" fontId="8" fillId="4" borderId="0" xfId="0" applyNumberFormat="1" applyFont="1" applyFill="1" applyBorder="1" applyAlignment="1" applyProtection="1">
      <alignment horizontal="left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0" fontId="12" fillId="12" borderId="2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168" fontId="12" fillId="6" borderId="2" xfId="0" applyNumberFormat="1" applyFont="1" applyFill="1" applyBorder="1" applyAlignment="1" applyProtection="1">
      <alignment horizontal="center" vertical="center"/>
      <protection locked="0"/>
    </xf>
    <xf numFmtId="168" fontId="12" fillId="7" borderId="2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167" fontId="8" fillId="4" borderId="0" xfId="0" applyNumberFormat="1" applyFont="1" applyFill="1" applyBorder="1" applyAlignment="1" applyProtection="1">
      <alignment horizontal="center" vertical="center"/>
      <protection locked="0"/>
    </xf>
    <xf numFmtId="168" fontId="12" fillId="5" borderId="2" xfId="0" applyNumberFormat="1" applyFont="1" applyFill="1" applyBorder="1" applyAlignment="1" applyProtection="1">
      <alignment horizontal="center" vertical="center"/>
      <protection locked="0"/>
    </xf>
    <xf numFmtId="0" fontId="12" fillId="5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left" vertical="center"/>
      <protection locked="0"/>
    </xf>
    <xf numFmtId="168" fontId="6" fillId="13" borderId="16" xfId="0" applyNumberFormat="1" applyFont="1" applyFill="1" applyBorder="1" applyAlignment="1" applyProtection="1">
      <alignment horizontal="center" vertical="center"/>
      <protection locked="0"/>
    </xf>
    <xf numFmtId="168" fontId="8" fillId="0" borderId="0" xfId="0" applyNumberFormat="1" applyFont="1" applyFill="1" applyBorder="1" applyAlignment="1" applyProtection="1">
      <alignment horizontal="center" vertical="center"/>
      <protection locked="0"/>
    </xf>
    <xf numFmtId="168" fontId="19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5" xfId="4" applyFont="1" applyFill="1" applyBorder="1" applyAlignment="1">
      <alignment horizontal="left" vertical="center"/>
    </xf>
    <xf numFmtId="10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6" xfId="4" applyFont="1" applyFill="1" applyBorder="1" applyAlignment="1">
      <alignment horizontal="left" vertical="center"/>
    </xf>
    <xf numFmtId="166" fontId="8" fillId="4" borderId="16" xfId="0" applyNumberFormat="1" applyFont="1" applyFill="1" applyBorder="1" applyAlignment="1" applyProtection="1">
      <alignment horizontal="center" vertical="center"/>
      <protection locked="0"/>
    </xf>
    <xf numFmtId="168" fontId="20" fillId="4" borderId="0" xfId="0" applyNumberFormat="1" applyFont="1" applyFill="1" applyBorder="1" applyAlignment="1" applyProtection="1">
      <alignment horizontal="center" vertical="center"/>
      <protection locked="0"/>
    </xf>
    <xf numFmtId="168" fontId="8" fillId="4" borderId="16" xfId="0" applyNumberFormat="1" applyFont="1" applyFill="1" applyBorder="1" applyAlignment="1">
      <alignment horizontal="center" vertical="center"/>
    </xf>
    <xf numFmtId="168" fontId="8" fillId="4" borderId="0" xfId="0" applyNumberFormat="1" applyFont="1" applyFill="1" applyBorder="1" applyAlignment="1">
      <alignment horizontal="center" vertical="center"/>
    </xf>
    <xf numFmtId="168" fontId="8" fillId="4" borderId="16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3" fillId="4" borderId="0" xfId="0" applyFont="1" applyFill="1" applyBorder="1" applyAlignment="1" applyProtection="1">
      <alignment vertical="center"/>
      <protection locked="0"/>
    </xf>
    <xf numFmtId="0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17" xfId="4" applyFont="1" applyFill="1" applyBorder="1" applyAlignment="1">
      <alignment horizontal="left" vertical="center"/>
    </xf>
    <xf numFmtId="168" fontId="8" fillId="4" borderId="17" xfId="0" applyNumberFormat="1" applyFont="1" applyFill="1" applyBorder="1" applyAlignment="1" applyProtection="1">
      <alignment horizontal="center" vertical="center"/>
    </xf>
    <xf numFmtId="49" fontId="6" fillId="13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0" xfId="4" applyFont="1" applyFill="1" applyBorder="1" applyAlignment="1">
      <alignment horizontal="left" vertical="center"/>
    </xf>
    <xf numFmtId="0" fontId="8" fillId="4" borderId="0" xfId="0" applyFont="1" applyFill="1" applyAlignment="1" applyProtection="1">
      <alignment horizontal="center" vertical="center"/>
      <protection locked="0"/>
    </xf>
    <xf numFmtId="0" fontId="12" fillId="12" borderId="2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165" fontId="8" fillId="4" borderId="0" xfId="1" applyFont="1" applyFill="1" applyBorder="1" applyAlignment="1" applyProtection="1">
      <alignment horizontal="center" vertical="center"/>
      <protection locked="0"/>
    </xf>
    <xf numFmtId="0" fontId="8" fillId="4" borderId="15" xfId="3" applyFont="1" applyFill="1" applyBorder="1" applyAlignment="1">
      <alignment horizontal="left" vertical="center"/>
    </xf>
    <xf numFmtId="166" fontId="8" fillId="4" borderId="15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</xf>
    <xf numFmtId="0" fontId="8" fillId="4" borderId="16" xfId="3" applyFont="1" applyFill="1" applyBorder="1" applyAlignment="1">
      <alignment horizontal="left" vertical="center"/>
    </xf>
    <xf numFmtId="166" fontId="8" fillId="4" borderId="16" xfId="0" applyNumberFormat="1" applyFont="1" applyFill="1" applyBorder="1" applyAlignment="1" applyProtection="1">
      <alignment horizontal="center" vertical="center"/>
    </xf>
    <xf numFmtId="168" fontId="7" fillId="4" borderId="0" xfId="0" applyNumberFormat="1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>
      <alignment horizontal="left" vertical="center"/>
    </xf>
    <xf numFmtId="166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4" borderId="36" xfId="0" applyFont="1" applyFill="1" applyBorder="1" applyAlignment="1" applyProtection="1">
      <alignment vertical="center"/>
      <protection locked="0"/>
    </xf>
    <xf numFmtId="168" fontId="6" fillId="13" borderId="36" xfId="0" applyNumberFormat="1" applyFont="1" applyFill="1" applyBorder="1" applyAlignment="1" applyProtection="1">
      <alignment horizontal="center" vertical="center"/>
      <protection locked="0"/>
    </xf>
    <xf numFmtId="168" fontId="6" fillId="13" borderId="9" xfId="0" applyNumberFormat="1" applyFont="1" applyFill="1" applyBorder="1" applyAlignment="1" applyProtection="1">
      <alignment horizontal="center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>
      <alignment horizontal="left" vertical="center"/>
    </xf>
    <xf numFmtId="168" fontId="6" fillId="4" borderId="0" xfId="0" applyNumberFormat="1" applyFont="1" applyFill="1" applyAlignment="1">
      <alignment vertical="center"/>
    </xf>
    <xf numFmtId="0" fontId="8" fillId="4" borderId="2" xfId="0" applyFont="1" applyFill="1" applyBorder="1" applyAlignment="1" applyProtection="1">
      <alignment vertical="center"/>
      <protection locked="0"/>
    </xf>
    <xf numFmtId="168" fontId="14" fillId="4" borderId="2" xfId="0" applyNumberFormat="1" applyFont="1" applyFill="1" applyBorder="1" applyAlignment="1" applyProtection="1">
      <alignment horizontal="center" vertical="center"/>
      <protection locked="0"/>
    </xf>
    <xf numFmtId="168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>
      <alignment horizontal="left" vertical="center"/>
    </xf>
    <xf numFmtId="0" fontId="21" fillId="4" borderId="0" xfId="0" applyFont="1" applyFill="1" applyAlignment="1" applyProtection="1">
      <alignment vertical="center"/>
      <protection locked="0"/>
    </xf>
    <xf numFmtId="0" fontId="6" fillId="4" borderId="2" xfId="0" applyFont="1" applyFill="1" applyBorder="1" applyAlignment="1">
      <alignment vertical="center"/>
    </xf>
    <xf numFmtId="166" fontId="6" fillId="4" borderId="2" xfId="0" applyNumberFormat="1" applyFont="1" applyFill="1" applyBorder="1" applyAlignment="1">
      <alignment horizontal="center" vertical="center"/>
    </xf>
    <xf numFmtId="166" fontId="8" fillId="4" borderId="17" xfId="0" applyNumberFormat="1" applyFont="1" applyFill="1" applyBorder="1" applyAlignment="1" applyProtection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49" fontId="16" fillId="9" borderId="2" xfId="0" applyNumberFormat="1" applyFont="1" applyFill="1" applyBorder="1" applyAlignment="1">
      <alignment horizontal="center" vertical="center"/>
    </xf>
    <xf numFmtId="49" fontId="16" fillId="11" borderId="2" xfId="0" applyNumberFormat="1" applyFont="1" applyFill="1" applyBorder="1" applyAlignment="1">
      <alignment horizontal="center" vertical="center"/>
    </xf>
    <xf numFmtId="49" fontId="16" fillId="11" borderId="2" xfId="0" applyNumberFormat="1" applyFont="1" applyFill="1" applyBorder="1" applyAlignment="1" applyProtection="1">
      <alignment horizontal="center" vertical="center"/>
      <protection locked="0"/>
    </xf>
    <xf numFmtId="49" fontId="16" fillId="9" borderId="2" xfId="0" applyNumberFormat="1" applyFont="1" applyFill="1" applyBorder="1" applyAlignment="1" applyProtection="1">
      <alignment horizontal="center" vertical="center"/>
      <protection locked="0"/>
    </xf>
    <xf numFmtId="173" fontId="22" fillId="4" borderId="0" xfId="0" applyNumberFormat="1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/>
    </xf>
    <xf numFmtId="9" fontId="6" fillId="4" borderId="0" xfId="0" applyNumberFormat="1" applyFont="1" applyFill="1" applyBorder="1" applyAlignment="1" applyProtection="1">
      <alignment horizontal="center" vertical="center"/>
    </xf>
    <xf numFmtId="0" fontId="8" fillId="4" borderId="15" xfId="0" applyFont="1" applyFill="1" applyBorder="1" applyAlignment="1" applyProtection="1">
      <alignment vertical="center"/>
      <protection locked="0"/>
    </xf>
    <xf numFmtId="166" fontId="6" fillId="4" borderId="15" xfId="0" applyNumberFormat="1" applyFont="1" applyFill="1" applyBorder="1" applyAlignment="1" applyProtection="1">
      <alignment horizontal="center" vertical="center"/>
      <protection locked="0"/>
    </xf>
    <xf numFmtId="166" fontId="7" fillId="4" borderId="15" xfId="0" applyNumberFormat="1" applyFont="1" applyFill="1" applyBorder="1" applyAlignment="1" applyProtection="1">
      <alignment horizontal="center" vertical="center"/>
      <protection locked="0"/>
    </xf>
    <xf numFmtId="173" fontId="7" fillId="4" borderId="15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left" vertical="center"/>
    </xf>
    <xf numFmtId="9" fontId="7" fillId="4" borderId="0" xfId="0" applyNumberFormat="1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vertical="center"/>
      <protection locked="0"/>
    </xf>
    <xf numFmtId="166" fontId="6" fillId="4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Alignment="1" applyProtection="1">
      <alignment horizontal="left" vertical="center"/>
      <protection locked="0"/>
    </xf>
    <xf numFmtId="0" fontId="6" fillId="4" borderId="17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center" vertical="center"/>
      <protection locked="0"/>
    </xf>
    <xf numFmtId="10" fontId="7" fillId="4" borderId="17" xfId="0" applyNumberFormat="1" applyFont="1" applyFill="1" applyBorder="1" applyAlignment="1" applyProtection="1">
      <alignment horizontal="center" vertical="center"/>
    </xf>
    <xf numFmtId="9" fontId="8" fillId="4" borderId="0" xfId="0" applyNumberFormat="1" applyFont="1" applyFill="1" applyBorder="1" applyAlignment="1" applyProtection="1">
      <alignment horizontal="center" vertical="center"/>
    </xf>
    <xf numFmtId="10" fontId="8" fillId="4" borderId="0" xfId="0" applyNumberFormat="1" applyFont="1" applyFill="1" applyBorder="1" applyAlignment="1" applyProtection="1">
      <alignment horizontal="center" vertical="center"/>
    </xf>
    <xf numFmtId="10" fontId="8" fillId="4" borderId="0" xfId="0" applyNumberFormat="1" applyFont="1" applyFill="1" applyBorder="1" applyAlignment="1" applyProtection="1">
      <alignment horizontal="center" vertical="center"/>
      <protection locked="0"/>
    </xf>
    <xf numFmtId="10" fontId="7" fillId="4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49" fontId="8" fillId="9" borderId="2" xfId="0" applyNumberFormat="1" applyFont="1" applyFill="1" applyBorder="1" applyAlignment="1" applyProtection="1">
      <alignment horizontal="center" vertical="center"/>
      <protection locked="0"/>
    </xf>
    <xf numFmtId="164" fontId="8" fillId="4" borderId="0" xfId="0" applyNumberFormat="1" applyFont="1" applyFill="1" applyBorder="1" applyAlignment="1" applyProtection="1">
      <alignment horizontal="center" vertical="center"/>
    </xf>
    <xf numFmtId="0" fontId="8" fillId="9" borderId="2" xfId="0" applyFont="1" applyFill="1" applyBorder="1" applyAlignment="1" applyProtection="1">
      <alignment horizontal="center" vertical="center"/>
      <protection locked="0"/>
    </xf>
    <xf numFmtId="0" fontId="16" fillId="4" borderId="0" xfId="0" applyNumberFormat="1" applyFont="1" applyFill="1" applyBorder="1" applyAlignment="1">
      <alignment horizontal="center"/>
    </xf>
    <xf numFmtId="0" fontId="6" fillId="4" borderId="0" xfId="0" applyFont="1" applyFill="1" applyBorder="1" applyAlignment="1">
      <alignment horizontal="left"/>
    </xf>
    <xf numFmtId="167" fontId="6" fillId="4" borderId="0" xfId="0" applyNumberFormat="1" applyFont="1" applyFill="1" applyBorder="1" applyAlignment="1" applyProtection="1">
      <alignment horizontal="center" vertical="center"/>
      <protection locked="0"/>
    </xf>
    <xf numFmtId="49" fontId="8" fillId="11" borderId="2" xfId="0" applyNumberFormat="1" applyFont="1" applyFill="1" applyBorder="1" applyAlignment="1" applyProtection="1">
      <alignment horizontal="center" vertical="center"/>
      <protection locked="0"/>
    </xf>
    <xf numFmtId="0" fontId="8" fillId="11" borderId="2" xfId="0" applyFont="1" applyFill="1" applyBorder="1" applyAlignment="1" applyProtection="1">
      <alignment horizontal="center" vertical="center"/>
      <protection locked="0"/>
    </xf>
    <xf numFmtId="167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 applyProtection="1">
      <alignment vertical="center"/>
      <protection locked="0"/>
    </xf>
    <xf numFmtId="10" fontId="8" fillId="4" borderId="0" xfId="0" applyNumberFormat="1" applyFont="1" applyFill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protection locked="0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horizontal="right" vertical="center"/>
    </xf>
    <xf numFmtId="167" fontId="8" fillId="9" borderId="2" xfId="0" applyNumberFormat="1" applyFont="1" applyFill="1" applyBorder="1" applyAlignment="1" applyProtection="1">
      <alignment horizontal="center" vertical="center"/>
      <protection locked="0"/>
    </xf>
    <xf numFmtId="0" fontId="8" fillId="9" borderId="2" xfId="0" applyFont="1" applyFill="1" applyBorder="1" applyAlignment="1">
      <alignment horizontal="center" vertical="center"/>
    </xf>
    <xf numFmtId="0" fontId="12" fillId="11" borderId="2" xfId="0" applyFont="1" applyFill="1" applyBorder="1" applyAlignment="1" applyProtection="1">
      <alignment horizontal="center" vertical="center"/>
      <protection locked="0"/>
    </xf>
    <xf numFmtId="167" fontId="8" fillId="11" borderId="2" xfId="0" applyNumberFormat="1" applyFont="1" applyFill="1" applyBorder="1" applyAlignment="1" applyProtection="1">
      <alignment horizontal="center" vertical="center"/>
      <protection locked="0"/>
    </xf>
    <xf numFmtId="0" fontId="8" fillId="11" borderId="2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6" fillId="4" borderId="15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left" vertical="center"/>
    </xf>
    <xf numFmtId="168" fontId="6" fillId="4" borderId="2" xfId="0" applyNumberFormat="1" applyFont="1" applyFill="1" applyBorder="1" applyAlignment="1" applyProtection="1">
      <alignment horizontal="center" vertical="center"/>
      <protection locked="0"/>
    </xf>
    <xf numFmtId="0" fontId="16" fillId="4" borderId="16" xfId="0" applyFont="1" applyFill="1" applyBorder="1" applyAlignment="1" applyProtection="1">
      <alignment horizontal="center" vertical="center"/>
      <protection locked="0"/>
    </xf>
    <xf numFmtId="10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NumberFormat="1" applyFont="1" applyFill="1" applyBorder="1" applyAlignment="1">
      <alignment horizontal="left" vertical="center"/>
    </xf>
    <xf numFmtId="172" fontId="16" fillId="4" borderId="0" xfId="0" applyNumberFormat="1" applyFont="1" applyFill="1" applyBorder="1" applyAlignment="1">
      <alignment horizontal="right" vertical="center"/>
    </xf>
    <xf numFmtId="0" fontId="6" fillId="4" borderId="15" xfId="0" applyNumberFormat="1" applyFont="1" applyFill="1" applyBorder="1" applyAlignment="1">
      <alignment horizontal="left" vertical="center"/>
    </xf>
    <xf numFmtId="0" fontId="14" fillId="4" borderId="0" xfId="0" applyFont="1" applyFill="1" applyBorder="1" applyAlignment="1">
      <alignment vertical="center"/>
    </xf>
    <xf numFmtId="9" fontId="14" fillId="4" borderId="0" xfId="0" applyNumberFormat="1" applyFont="1" applyFill="1" applyBorder="1" applyAlignment="1" applyProtection="1">
      <alignment horizontal="center" vertical="center"/>
    </xf>
    <xf numFmtId="9" fontId="23" fillId="4" borderId="0" xfId="0" applyNumberFormat="1" applyFont="1" applyFill="1" applyBorder="1" applyAlignment="1" applyProtection="1">
      <alignment horizontal="center" vertical="center"/>
    </xf>
    <xf numFmtId="10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 applyProtection="1">
      <alignment horizontal="center" vertical="center"/>
      <protection locked="0"/>
    </xf>
    <xf numFmtId="0" fontId="6" fillId="4" borderId="15" xfId="0" applyNumberFormat="1" applyFont="1" applyFill="1" applyBorder="1" applyAlignment="1">
      <alignment horizontal="center" vertical="center"/>
    </xf>
    <xf numFmtId="172" fontId="6" fillId="4" borderId="17" xfId="0" applyNumberFormat="1" applyFont="1" applyFill="1" applyBorder="1" applyAlignment="1">
      <alignment horizontal="left" vertical="center"/>
    </xf>
    <xf numFmtId="168" fontId="7" fillId="4" borderId="17" xfId="0" applyNumberFormat="1" applyFont="1" applyFill="1" applyBorder="1" applyAlignment="1">
      <alignment horizontal="center" vertical="center"/>
    </xf>
    <xf numFmtId="49" fontId="8" fillId="4" borderId="0" xfId="0" applyNumberFormat="1" applyFont="1" applyFill="1" applyBorder="1" applyAlignment="1">
      <alignment horizontal="center" vertical="center"/>
    </xf>
    <xf numFmtId="0" fontId="16" fillId="4" borderId="17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Border="1" applyAlignment="1" applyProtection="1">
      <alignment horizontal="center" vertical="center"/>
      <protection locked="0"/>
    </xf>
    <xf numFmtId="166" fontId="6" fillId="4" borderId="2" xfId="0" applyNumberFormat="1" applyFont="1" applyFill="1" applyBorder="1" applyAlignment="1" applyProtection="1">
      <alignment horizontal="center" vertical="center"/>
      <protection locked="0"/>
    </xf>
    <xf numFmtId="173" fontId="6" fillId="4" borderId="0" xfId="0" applyNumberFormat="1" applyFont="1" applyFill="1" applyBorder="1" applyAlignment="1">
      <alignment horizontal="center" vertical="center"/>
    </xf>
    <xf numFmtId="174" fontId="6" fillId="4" borderId="15" xfId="0" applyNumberFormat="1" applyFont="1" applyFill="1" applyBorder="1" applyAlignment="1">
      <alignment horizontal="center" vertical="center"/>
    </xf>
    <xf numFmtId="173" fontId="7" fillId="4" borderId="17" xfId="0" applyNumberFormat="1" applyFont="1" applyFill="1" applyBorder="1" applyAlignment="1">
      <alignment horizontal="center" vertical="center"/>
    </xf>
    <xf numFmtId="168" fontId="6" fillId="14" borderId="16" xfId="0" applyNumberFormat="1" applyFont="1" applyFill="1" applyBorder="1" applyAlignment="1" applyProtection="1">
      <alignment horizontal="center" vertical="center"/>
      <protection locked="0"/>
    </xf>
    <xf numFmtId="168" fontId="6" fillId="12" borderId="16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left" vertical="center"/>
      <protection locked="0"/>
    </xf>
    <xf numFmtId="0" fontId="14" fillId="4" borderId="0" xfId="0" applyFont="1" applyFill="1" applyBorder="1" applyAlignment="1" applyProtection="1">
      <alignment horizontal="center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164" fontId="14" fillId="4" borderId="0" xfId="0" applyNumberFormat="1" applyFont="1" applyFill="1" applyBorder="1" applyAlignment="1" applyProtection="1">
      <alignment horizontal="center" vertical="center"/>
    </xf>
    <xf numFmtId="170" fontId="8" fillId="4" borderId="1" xfId="0" applyNumberFormat="1" applyFont="1" applyFill="1" applyBorder="1" applyAlignment="1" applyProtection="1">
      <alignment horizontal="right"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165" fontId="14" fillId="4" borderId="0" xfId="1" applyFont="1" applyFill="1" applyBorder="1" applyAlignment="1" applyProtection="1">
      <alignment vertical="center"/>
      <protection locked="0"/>
    </xf>
    <xf numFmtId="168" fontId="8" fillId="4" borderId="1" xfId="0" applyNumberFormat="1" applyFont="1" applyFill="1" applyBorder="1" applyAlignment="1">
      <alignment horizontal="left" vertical="center"/>
    </xf>
    <xf numFmtId="1" fontId="8" fillId="4" borderId="1" xfId="0" applyNumberFormat="1" applyFont="1" applyFill="1" applyBorder="1" applyAlignment="1">
      <alignment horizontal="right" vertical="center"/>
    </xf>
    <xf numFmtId="1" fontId="8" fillId="4" borderId="1" xfId="2" applyNumberFormat="1" applyFont="1" applyFill="1" applyBorder="1" applyAlignment="1">
      <alignment horizontal="right" vertical="center"/>
    </xf>
    <xf numFmtId="169" fontId="8" fillId="4" borderId="1" xfId="2" applyNumberFormat="1" applyFont="1" applyFill="1" applyBorder="1" applyAlignment="1">
      <alignment horizontal="right" vertical="center"/>
    </xf>
    <xf numFmtId="0" fontId="6" fillId="0" borderId="1" xfId="0" applyFont="1" applyBorder="1"/>
    <xf numFmtId="168" fontId="8" fillId="4" borderId="1" xfId="0" applyNumberFormat="1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10" fontId="6" fillId="4" borderId="0" xfId="0" applyNumberFormat="1" applyFont="1" applyFill="1" applyBorder="1" applyAlignment="1" applyProtection="1">
      <alignment horizontal="center" vertical="center"/>
    </xf>
    <xf numFmtId="168" fontId="8" fillId="4" borderId="1" xfId="0" applyNumberFormat="1" applyFont="1" applyFill="1" applyBorder="1" applyAlignment="1" applyProtection="1">
      <alignment horizontal="right" vertical="center"/>
      <protection locked="0"/>
    </xf>
    <xf numFmtId="168" fontId="8" fillId="4" borderId="1" xfId="2" applyNumberFormat="1" applyFont="1" applyFill="1" applyBorder="1" applyAlignment="1">
      <alignment horizontal="right" vertical="center"/>
    </xf>
    <xf numFmtId="168" fontId="8" fillId="4" borderId="1" xfId="0" applyNumberFormat="1" applyFont="1" applyFill="1" applyBorder="1" applyAlignment="1" applyProtection="1">
      <alignment horizontal="left" vertical="center"/>
      <protection locked="0"/>
    </xf>
    <xf numFmtId="168" fontId="8" fillId="4" borderId="1" xfId="0" applyNumberFormat="1" applyFont="1" applyFill="1" applyBorder="1" applyAlignment="1" applyProtection="1">
      <alignment vertical="center"/>
      <protection locked="0"/>
    </xf>
    <xf numFmtId="167" fontId="8" fillId="4" borderId="1" xfId="2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 applyProtection="1">
      <alignment horizontal="right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169" fontId="24" fillId="4" borderId="1" xfId="0" applyNumberFormat="1" applyFont="1" applyFill="1" applyBorder="1" applyAlignment="1">
      <alignment horizontal="right" vertical="center"/>
    </xf>
    <xf numFmtId="0" fontId="14" fillId="4" borderId="0" xfId="0" applyFont="1" applyFill="1" applyAlignment="1" applyProtection="1">
      <alignment vertical="center"/>
      <protection locked="0"/>
    </xf>
    <xf numFmtId="1" fontId="8" fillId="4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  <protection locked="0"/>
    </xf>
    <xf numFmtId="0" fontId="6" fillId="4" borderId="4" xfId="0" applyFont="1" applyFill="1" applyBorder="1" applyAlignment="1" applyProtection="1">
      <alignment vertical="center"/>
      <protection locked="0"/>
    </xf>
    <xf numFmtId="0" fontId="6" fillId="4" borderId="5" xfId="0" applyFont="1" applyFill="1" applyBorder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22" fillId="4" borderId="37" xfId="0" applyFont="1" applyFill="1" applyBorder="1" applyAlignment="1" applyProtection="1">
      <alignment vertical="center"/>
      <protection locked="0"/>
    </xf>
    <xf numFmtId="167" fontId="8" fillId="9" borderId="3" xfId="0" applyNumberFormat="1" applyFont="1" applyFill="1" applyBorder="1" applyAlignment="1" applyProtection="1">
      <alignment horizontal="center" vertical="center"/>
      <protection locked="0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12" fillId="8" borderId="3" xfId="0" applyFont="1" applyFill="1" applyBorder="1" applyAlignment="1" applyProtection="1">
      <alignment horizontal="center" vertical="center"/>
      <protection locked="0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2" fillId="8" borderId="3" xfId="0" applyFont="1" applyFill="1" applyBorder="1" applyAlignment="1" applyProtection="1">
      <alignment horizontal="left" vertical="center"/>
      <protection locked="0"/>
    </xf>
    <xf numFmtId="0" fontId="6" fillId="8" borderId="4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168" fontId="6" fillId="10" borderId="16" xfId="0" applyNumberFormat="1" applyFont="1" applyFill="1" applyBorder="1" applyAlignment="1" applyProtection="1">
      <alignment horizontal="center" vertical="center"/>
      <protection locked="0"/>
    </xf>
    <xf numFmtId="168" fontId="6" fillId="15" borderId="16" xfId="0" applyNumberFormat="1" applyFont="1" applyFill="1" applyBorder="1" applyAlignment="1" applyProtection="1">
      <alignment horizontal="center" vertical="center"/>
      <protection locked="0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95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rgb="FF00B050"/>
      </font>
    </dxf>
    <dxf>
      <numFmt numFmtId="175" formatCode=";;;"/>
    </dxf>
  </dxfs>
  <tableStyles count="0" defaultTableStyle="TableStyleMedium9" defaultPivotStyle="PivotStyleLight16"/>
  <colors>
    <mruColors>
      <color rgb="FF00CC00"/>
      <color rgb="FFFF99FF"/>
      <color rgb="FFE63A5F"/>
      <color rgb="FFFFFF00"/>
      <color rgb="FFFFFF66"/>
      <color rgb="FFFF33CC"/>
      <color rgb="FFFFCC66"/>
      <color rgb="FFC2D69A"/>
      <color rgb="FFFAFEC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TMVP24YN/067_Simulateur%20de%20Mensualit&#233;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V276"/>
  <sheetViews>
    <sheetView showZeros="0" tabSelected="1" zoomScale="80" zoomScaleNormal="80" zoomScaleSheetLayoutView="100" workbookViewId="0">
      <pane ySplit="26" topLeftCell="A42" activePane="bottomLeft" state="frozen"/>
      <selection pane="bottomLeft" activeCell="I128" sqref="I128"/>
    </sheetView>
  </sheetViews>
  <sheetFormatPr baseColWidth="10" defaultRowHeight="20.100000000000001" customHeight="1"/>
  <cols>
    <col min="1" max="1" width="0.140625" style="11" customWidth="1"/>
    <col min="2" max="2" width="1.5703125" style="1" customWidth="1"/>
    <col min="3" max="3" width="34.42578125" style="11" bestFit="1" customWidth="1"/>
    <col min="4" max="4" width="1.7109375" style="1" customWidth="1"/>
    <col min="5" max="5" width="13.28515625" style="11" customWidth="1"/>
    <col min="6" max="6" width="1.7109375" style="11" customWidth="1"/>
    <col min="7" max="7" width="13.28515625" style="11" customWidth="1"/>
    <col min="8" max="8" width="1.7109375" style="1" customWidth="1"/>
    <col min="9" max="9" width="13.28515625" style="11" customWidth="1"/>
    <col min="10" max="10" width="1.7109375" style="11" customWidth="1"/>
    <col min="11" max="11" width="15.28515625" style="11" bestFit="1" customWidth="1"/>
    <col min="12" max="12" width="1.7109375" style="1" customWidth="1"/>
    <col min="13" max="13" width="13.28515625" style="11" customWidth="1"/>
    <col min="14" max="14" width="1.7109375" style="11" customWidth="1"/>
    <col min="15" max="15" width="13.28515625" style="11" customWidth="1"/>
    <col min="16" max="16" width="5.28515625" style="1" customWidth="1"/>
    <col min="17" max="17" width="50" style="11" hidden="1" customWidth="1"/>
    <col min="18" max="18" width="1.7109375" style="12" hidden="1" customWidth="1"/>
    <col min="19" max="19" width="13.28515625" style="11" hidden="1" customWidth="1"/>
    <col min="20" max="20" width="1.7109375" style="1" hidden="1" customWidth="1"/>
    <col min="21" max="21" width="13.28515625" style="11" hidden="1" customWidth="1"/>
    <col min="22" max="22" width="1.7109375" style="1" hidden="1" customWidth="1"/>
    <col min="23" max="23" width="13.28515625" style="11" hidden="1" customWidth="1"/>
    <col min="24" max="24" width="1.7109375" style="1" hidden="1" customWidth="1"/>
    <col min="25" max="25" width="13.28515625" style="11" hidden="1" customWidth="1"/>
    <col min="26" max="26" width="1.7109375" style="11" hidden="1" customWidth="1"/>
    <col min="27" max="27" width="13.28515625" style="11" hidden="1" customWidth="1"/>
    <col min="28" max="28" width="1.7109375" style="11" hidden="1" customWidth="1"/>
    <col min="29" max="29" width="13.28515625" style="11" hidden="1" customWidth="1"/>
    <col min="30" max="30" width="1.7109375" style="11" hidden="1" customWidth="1"/>
    <col min="31" max="31" width="13.28515625" style="11" hidden="1" customWidth="1"/>
    <col min="32" max="32" width="1.7109375" style="11" hidden="1" customWidth="1"/>
    <col min="33" max="33" width="13.28515625" style="11" hidden="1" customWidth="1"/>
    <col min="34" max="34" width="0.85546875" style="1" hidden="1" customWidth="1"/>
    <col min="35" max="35" width="0" style="1" hidden="1" customWidth="1"/>
    <col min="36" max="36" width="0.85546875" style="11" customWidth="1"/>
    <col min="37" max="37" width="13.7109375" style="11" customWidth="1"/>
    <col min="38" max="38" width="16.28515625" style="11" customWidth="1"/>
    <col min="39" max="39" width="15.5703125" style="11" customWidth="1"/>
    <col min="40" max="40" width="0.85546875" style="11" customWidth="1"/>
    <col min="41" max="41" width="13.7109375" style="11" customWidth="1"/>
    <col min="42" max="42" width="0.85546875" style="11" customWidth="1"/>
    <col min="43" max="43" width="13.7109375" style="11" customWidth="1"/>
    <col min="44" max="44" width="0.85546875" style="11" customWidth="1"/>
    <col min="45" max="45" width="13.7109375" style="11" customWidth="1"/>
    <col min="46" max="16384" width="11.42578125" style="11"/>
  </cols>
  <sheetData>
    <row r="1" spans="1:46" s="10" customFormat="1" ht="20.100000000000001" customHeight="1">
      <c r="A1" s="3"/>
      <c r="B1" s="3"/>
      <c r="Q1" s="11"/>
      <c r="R1" s="12"/>
      <c r="S1" s="11"/>
      <c r="T1" s="1"/>
      <c r="U1" s="11"/>
      <c r="V1" s="1"/>
      <c r="W1" s="11"/>
      <c r="X1" s="1"/>
      <c r="Y1" s="11"/>
      <c r="Z1" s="11"/>
      <c r="AA1" s="11"/>
      <c r="AB1" s="11"/>
      <c r="AC1" s="11"/>
      <c r="AD1" s="11"/>
      <c r="AE1" s="11"/>
      <c r="AF1" s="11"/>
      <c r="AG1" s="11"/>
      <c r="AH1" s="1"/>
      <c r="AI1" s="1"/>
    </row>
    <row r="2" spans="1:46" ht="30" hidden="1" customHeight="1" thickBot="1">
      <c r="C2" s="13" t="s">
        <v>108</v>
      </c>
      <c r="D2" s="14"/>
      <c r="E2" s="15"/>
      <c r="F2" s="16"/>
      <c r="G2" s="16"/>
      <c r="H2" s="16"/>
      <c r="I2" s="16"/>
      <c r="J2" s="14"/>
      <c r="K2" s="15"/>
      <c r="L2" s="16"/>
      <c r="M2" s="16"/>
      <c r="N2" s="16"/>
      <c r="O2" s="16"/>
      <c r="P2" s="14"/>
      <c r="AJ2" s="1"/>
      <c r="AK2" s="1"/>
      <c r="AL2" s="1"/>
      <c r="AM2" s="1"/>
      <c r="AN2" s="1"/>
      <c r="AO2" s="1"/>
      <c r="AP2" s="1"/>
      <c r="AQ2" s="1"/>
      <c r="AR2" s="1"/>
    </row>
    <row r="3" spans="1:46" ht="20.100000000000001" hidden="1" customHeight="1" thickBot="1">
      <c r="C3" s="17"/>
      <c r="E3" s="1"/>
      <c r="F3" s="2"/>
      <c r="G3" s="1"/>
      <c r="H3" s="2"/>
      <c r="I3" s="2"/>
      <c r="J3" s="2"/>
      <c r="K3" s="2"/>
      <c r="L3" s="2"/>
      <c r="M3" s="2"/>
      <c r="N3" s="2"/>
      <c r="O3" s="2"/>
      <c r="P3" s="2"/>
      <c r="Q3" s="1"/>
      <c r="S3" s="1"/>
      <c r="U3" s="1"/>
      <c r="W3" s="1"/>
      <c r="Y3" s="1"/>
      <c r="Z3" s="1"/>
      <c r="AA3" s="1"/>
      <c r="AB3" s="1"/>
      <c r="AC3" s="1"/>
      <c r="AD3" s="1"/>
      <c r="AE3" s="1"/>
      <c r="AF3" s="1"/>
      <c r="AG3" s="1"/>
      <c r="AH3" s="10"/>
      <c r="AI3" s="10"/>
      <c r="AJ3" s="1"/>
      <c r="AK3" s="1"/>
      <c r="AL3" s="1"/>
      <c r="AM3" s="1"/>
      <c r="AN3" s="1"/>
      <c r="AO3" s="1"/>
      <c r="AP3" s="1"/>
      <c r="AQ3" s="1"/>
      <c r="AR3" s="1"/>
    </row>
    <row r="4" spans="1:46" ht="30" hidden="1" customHeight="1" thickBot="1">
      <c r="C4" s="18" t="s">
        <v>105</v>
      </c>
      <c r="D4" s="19"/>
      <c r="E4" s="310" t="s">
        <v>42</v>
      </c>
      <c r="F4" s="318"/>
      <c r="G4" s="319"/>
      <c r="H4" s="20"/>
      <c r="I4" s="310" t="s">
        <v>43</v>
      </c>
      <c r="J4" s="318"/>
      <c r="K4" s="319"/>
      <c r="L4" s="20"/>
      <c r="M4" s="310" t="s">
        <v>109</v>
      </c>
      <c r="N4" s="311"/>
      <c r="O4" s="312"/>
      <c r="P4" s="20"/>
      <c r="Q4" s="18" t="s">
        <v>59</v>
      </c>
      <c r="R4" s="1"/>
      <c r="S4" s="21" t="s">
        <v>70</v>
      </c>
      <c r="U4" s="1"/>
      <c r="W4" s="310" t="s">
        <v>58</v>
      </c>
      <c r="X4" s="313"/>
      <c r="Y4" s="314"/>
      <c r="AA4" s="21" t="s">
        <v>70</v>
      </c>
      <c r="AC4" s="1"/>
      <c r="AD4" s="1"/>
      <c r="AE4" s="1"/>
      <c r="AF4" s="1"/>
      <c r="AG4" s="1"/>
      <c r="AH4" s="11"/>
      <c r="AJ4" s="1"/>
      <c r="AK4" s="1"/>
      <c r="AL4" s="1"/>
      <c r="AM4" s="1"/>
      <c r="AN4" s="1"/>
      <c r="AO4" s="1"/>
      <c r="AP4" s="1"/>
      <c r="AQ4" s="1"/>
      <c r="AR4" s="1"/>
    </row>
    <row r="5" spans="1:46" ht="9.9499999999999993" hidden="1" customHeight="1" thickBot="1">
      <c r="C5" s="22"/>
      <c r="D5" s="19"/>
      <c r="E5" s="23"/>
      <c r="F5" s="24"/>
      <c r="G5" s="24"/>
      <c r="H5" s="20"/>
      <c r="I5" s="23"/>
      <c r="J5" s="24"/>
      <c r="K5" s="24"/>
      <c r="L5" s="20"/>
      <c r="M5" s="23"/>
      <c r="N5" s="24"/>
      <c r="O5" s="24"/>
      <c r="P5" s="20"/>
      <c r="R5" s="1"/>
      <c r="U5" s="1"/>
      <c r="W5" s="1"/>
      <c r="Y5" s="1"/>
      <c r="Z5" s="1"/>
      <c r="AA5" s="1"/>
      <c r="AB5" s="1"/>
      <c r="AC5" s="1"/>
      <c r="AD5" s="1"/>
      <c r="AE5" s="1"/>
      <c r="AF5" s="1"/>
      <c r="AG5" s="1"/>
      <c r="AH5" s="11"/>
      <c r="AJ5" s="1"/>
      <c r="AK5" s="1"/>
      <c r="AL5" s="1"/>
      <c r="AM5" s="1"/>
      <c r="AN5" s="1"/>
      <c r="AO5" s="1"/>
      <c r="AP5" s="1"/>
      <c r="AQ5" s="1"/>
      <c r="AR5" s="1"/>
    </row>
    <row r="6" spans="1:46" ht="20.100000000000001" hidden="1" customHeight="1">
      <c r="C6" s="25" t="s">
        <v>16</v>
      </c>
      <c r="D6" s="19"/>
      <c r="E6" s="26"/>
      <c r="F6" s="27"/>
      <c r="G6" s="28"/>
      <c r="H6" s="20"/>
      <c r="I6" s="26"/>
      <c r="J6" s="27"/>
      <c r="K6" s="28"/>
      <c r="L6" s="20"/>
      <c r="M6" s="15"/>
      <c r="N6" s="15"/>
      <c r="O6" s="15"/>
      <c r="P6" s="20"/>
      <c r="Q6" s="29" t="s">
        <v>38</v>
      </c>
      <c r="R6" s="19"/>
      <c r="S6" s="30">
        <v>100000</v>
      </c>
      <c r="U6" s="1"/>
      <c r="W6" s="31" t="s">
        <v>81</v>
      </c>
      <c r="X6" s="32"/>
      <c r="Y6" s="33"/>
      <c r="Z6" s="1"/>
      <c r="AA6" s="34"/>
      <c r="AB6" s="1"/>
      <c r="AC6" s="1"/>
      <c r="AD6" s="1"/>
      <c r="AE6" s="1"/>
      <c r="AF6" s="35"/>
      <c r="AG6" s="1"/>
      <c r="AH6" s="11"/>
      <c r="AJ6" s="1"/>
      <c r="AK6" s="1"/>
      <c r="AL6" s="1"/>
      <c r="AM6" s="1"/>
      <c r="AN6" s="1"/>
      <c r="AO6" s="1"/>
      <c r="AP6" s="1"/>
      <c r="AQ6" s="1"/>
      <c r="AR6" s="1"/>
    </row>
    <row r="7" spans="1:46" ht="20.100000000000001" hidden="1" customHeight="1" thickBot="1">
      <c r="C7" s="36" t="s">
        <v>17</v>
      </c>
      <c r="D7" s="19"/>
      <c r="E7" s="37"/>
      <c r="F7" s="38"/>
      <c r="G7" s="39"/>
      <c r="H7" s="20"/>
      <c r="I7" s="37"/>
      <c r="J7" s="38"/>
      <c r="K7" s="39"/>
      <c r="L7" s="20"/>
      <c r="M7" s="15"/>
      <c r="N7" s="15"/>
      <c r="O7" s="15"/>
      <c r="P7" s="20"/>
      <c r="Q7" s="40" t="s">
        <v>72</v>
      </c>
      <c r="R7" s="2"/>
      <c r="S7" s="41"/>
      <c r="U7" s="1"/>
      <c r="W7" s="42" t="s">
        <v>82</v>
      </c>
      <c r="X7" s="43"/>
      <c r="Y7" s="44"/>
      <c r="Z7" s="1"/>
      <c r="AA7" s="45"/>
      <c r="AB7" s="1"/>
      <c r="AC7" s="1"/>
      <c r="AD7" s="1"/>
      <c r="AE7" s="1"/>
      <c r="AF7" s="35"/>
      <c r="AG7" s="1"/>
      <c r="AH7" s="11"/>
      <c r="AJ7" s="1"/>
      <c r="AK7" s="1"/>
      <c r="AL7" s="1"/>
      <c r="AM7" s="1"/>
      <c r="AN7" s="1"/>
      <c r="AO7" s="1"/>
      <c r="AP7" s="1"/>
      <c r="AQ7" s="1"/>
      <c r="AR7" s="1"/>
    </row>
    <row r="8" spans="1:46" ht="20.100000000000001" hidden="1" customHeight="1">
      <c r="C8" s="36" t="s">
        <v>44</v>
      </c>
      <c r="D8" s="19"/>
      <c r="E8" s="37"/>
      <c r="F8" s="38"/>
      <c r="G8" s="39"/>
      <c r="H8" s="20"/>
      <c r="I8" s="37"/>
      <c r="J8" s="38"/>
      <c r="K8" s="39"/>
      <c r="L8" s="20"/>
      <c r="M8" s="26"/>
      <c r="N8" s="46"/>
      <c r="O8" s="47"/>
      <c r="P8" s="20"/>
      <c r="Q8" s="40" t="s">
        <v>27</v>
      </c>
      <c r="R8" s="2"/>
      <c r="S8" s="41">
        <f>S7*21%</f>
        <v>0</v>
      </c>
      <c r="U8" s="1"/>
      <c r="W8" s="48" t="s">
        <v>83</v>
      </c>
      <c r="X8" s="49"/>
      <c r="Y8" s="50"/>
      <c r="Z8" s="1"/>
      <c r="AA8" s="51"/>
      <c r="AB8" s="1"/>
      <c r="AC8" s="1"/>
      <c r="AD8" s="1"/>
      <c r="AE8" s="1"/>
      <c r="AF8" s="52"/>
      <c r="AG8" s="1"/>
      <c r="AH8" s="11"/>
      <c r="AJ8" s="1"/>
      <c r="AK8" s="1"/>
      <c r="AL8" s="1"/>
      <c r="AM8" s="1"/>
      <c r="AN8" s="1"/>
      <c r="AO8" s="1"/>
      <c r="AP8" s="1"/>
      <c r="AQ8" s="1"/>
      <c r="AR8" s="1"/>
    </row>
    <row r="9" spans="1:46" ht="20.100000000000001" hidden="1" customHeight="1">
      <c r="C9" s="36" t="s">
        <v>45</v>
      </c>
      <c r="D9" s="6"/>
      <c r="E9" s="37"/>
      <c r="F9" s="38"/>
      <c r="G9" s="39"/>
      <c r="H9" s="20"/>
      <c r="I9" s="37"/>
      <c r="J9" s="38"/>
      <c r="K9" s="39"/>
      <c r="L9" s="20"/>
      <c r="M9" s="37"/>
      <c r="N9" s="53"/>
      <c r="O9" s="54"/>
      <c r="P9" s="20"/>
      <c r="Q9" s="55" t="s">
        <v>25</v>
      </c>
      <c r="R9" s="2"/>
      <c r="S9" s="56">
        <f>S7+S8</f>
        <v>0</v>
      </c>
      <c r="U9" s="1"/>
      <c r="W9" s="57" t="s">
        <v>34</v>
      </c>
      <c r="X9" s="58"/>
      <c r="Y9" s="59"/>
      <c r="Z9" s="1"/>
      <c r="AA9" s="60">
        <f>AA7*AA8*3/12</f>
        <v>0</v>
      </c>
      <c r="AB9" s="1"/>
      <c r="AC9" s="1"/>
      <c r="AD9" s="1"/>
      <c r="AE9" s="1"/>
      <c r="AF9" s="61"/>
      <c r="AG9" s="1"/>
      <c r="AH9" s="1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20.100000000000001" hidden="1" customHeight="1" thickBot="1">
      <c r="C10" s="36" t="s">
        <v>46</v>
      </c>
      <c r="D10" s="19"/>
      <c r="E10" s="37"/>
      <c r="F10" s="38"/>
      <c r="G10" s="39"/>
      <c r="H10" s="20"/>
      <c r="I10" s="37"/>
      <c r="J10" s="38"/>
      <c r="K10" s="39"/>
      <c r="L10" s="20"/>
      <c r="M10" s="62"/>
      <c r="N10" s="63"/>
      <c r="O10" s="64"/>
      <c r="P10" s="20"/>
      <c r="Q10" s="65" t="s">
        <v>5</v>
      </c>
      <c r="R10" s="2"/>
      <c r="S10" s="66"/>
      <c r="U10" s="1"/>
      <c r="W10" s="67" t="s">
        <v>35</v>
      </c>
      <c r="X10" s="68"/>
      <c r="Y10" s="69"/>
      <c r="Z10" s="1"/>
      <c r="AA10" s="70" t="str">
        <f>IF(AA6="","",CHOOSE(MATCH(AA6,AE$149:AE$165,1),AF151,AF152,AF153,AF154,AF155,AF156,AF157,AF158,AF159,AF160,AF161,AF162,AF163,AF164,AF165,AF166))</f>
        <v/>
      </c>
      <c r="AB10" s="1"/>
      <c r="AC10" s="1"/>
      <c r="AD10" s="1"/>
      <c r="AE10" s="1"/>
      <c r="AF10" s="61"/>
      <c r="AG10" s="1"/>
      <c r="AH10" s="1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20.100000000000001" hidden="1" customHeight="1" thickBot="1">
      <c r="C11" s="71" t="s">
        <v>47</v>
      </c>
      <c r="D11" s="19"/>
      <c r="E11" s="72"/>
      <c r="F11" s="73"/>
      <c r="G11" s="74"/>
      <c r="H11" s="20"/>
      <c r="I11" s="72"/>
      <c r="J11" s="73"/>
      <c r="K11" s="74"/>
      <c r="L11" s="20"/>
      <c r="M11" s="72"/>
      <c r="N11" s="75"/>
      <c r="O11" s="76"/>
      <c r="P11" s="77"/>
      <c r="Q11" s="78" t="s">
        <v>71</v>
      </c>
      <c r="R11" s="2"/>
      <c r="S11" s="79">
        <f>SUM(S6:S9)-S10</f>
        <v>100000</v>
      </c>
      <c r="W11" s="80" t="s">
        <v>36</v>
      </c>
      <c r="X11" s="81"/>
      <c r="Y11" s="82"/>
      <c r="Z11" s="1"/>
      <c r="AA11" s="83">
        <f>SUM(AA7:AA10)</f>
        <v>0</v>
      </c>
      <c r="AB11" s="1"/>
      <c r="AC11" s="1"/>
      <c r="AD11" s="1"/>
      <c r="AE11" s="1"/>
      <c r="AF11" s="61"/>
      <c r="AG11" s="1"/>
      <c r="AH11" s="6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20.100000000000001" hidden="1" customHeight="1" thickBot="1">
      <c r="C12" s="2"/>
      <c r="D12" s="19"/>
      <c r="E12" s="15"/>
      <c r="F12" s="84"/>
      <c r="G12" s="84"/>
      <c r="H12" s="77"/>
      <c r="I12" s="15"/>
      <c r="J12" s="84"/>
      <c r="K12" s="84"/>
      <c r="L12" s="77"/>
      <c r="M12" s="15"/>
      <c r="N12" s="15"/>
      <c r="O12" s="15"/>
      <c r="P12" s="20"/>
      <c r="R12" s="1"/>
      <c r="U12" s="1"/>
      <c r="W12" s="85"/>
      <c r="Y12" s="1"/>
      <c r="Z12" s="1"/>
      <c r="AA12" s="1"/>
      <c r="AB12" s="1"/>
      <c r="AC12" s="1"/>
      <c r="AD12" s="1"/>
      <c r="AE12" s="1"/>
      <c r="AF12" s="1"/>
      <c r="AG12" s="1"/>
      <c r="AH12" s="6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30" hidden="1" customHeight="1" thickBot="1">
      <c r="C13" s="86" t="s">
        <v>76</v>
      </c>
      <c r="D13" s="19"/>
      <c r="E13" s="15"/>
      <c r="F13" s="84"/>
      <c r="G13" s="84"/>
      <c r="H13" s="20"/>
      <c r="I13" s="15"/>
      <c r="J13" s="84"/>
      <c r="K13" s="84"/>
      <c r="L13" s="20"/>
      <c r="M13" s="15"/>
      <c r="N13" s="15"/>
      <c r="O13" s="15"/>
      <c r="P13" s="87"/>
      <c r="Q13" s="88" t="s">
        <v>60</v>
      </c>
      <c r="R13" s="2"/>
      <c r="S13" s="18" t="s">
        <v>63</v>
      </c>
      <c r="U13" s="18" t="s">
        <v>61</v>
      </c>
      <c r="W13" s="18" t="s">
        <v>62</v>
      </c>
      <c r="Y13" s="1"/>
      <c r="Z13" s="1"/>
      <c r="AA13" s="1"/>
      <c r="AB13" s="1"/>
      <c r="AC13" s="1"/>
      <c r="AD13" s="1"/>
      <c r="AE13" s="1"/>
      <c r="AF13" s="1"/>
      <c r="AG13" s="1"/>
      <c r="AH13" s="6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9.9499999999999993" hidden="1" customHeight="1" thickBot="1">
      <c r="C14" s="2"/>
      <c r="D14" s="89"/>
      <c r="E14" s="15"/>
      <c r="F14" s="84"/>
      <c r="G14" s="84"/>
      <c r="H14" s="87"/>
      <c r="I14" s="15"/>
      <c r="J14" s="84"/>
      <c r="K14" s="84"/>
      <c r="L14" s="87"/>
      <c r="M14" s="15"/>
      <c r="N14" s="15"/>
      <c r="O14" s="15"/>
      <c r="P14" s="20"/>
      <c r="Q14" s="90"/>
      <c r="R14" s="2"/>
      <c r="S14" s="91"/>
      <c r="Y14" s="1"/>
      <c r="Z14" s="1"/>
      <c r="AA14" s="1"/>
      <c r="AB14" s="1"/>
      <c r="AC14" s="1"/>
      <c r="AD14" s="1"/>
      <c r="AE14" s="1"/>
      <c r="AF14" s="1"/>
      <c r="AG14" s="1"/>
      <c r="AH14" s="20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20.100000000000001" hidden="1" customHeight="1" thickBot="1">
      <c r="C15" s="92" t="s">
        <v>75</v>
      </c>
      <c r="D15" s="89"/>
      <c r="E15" s="18" t="s">
        <v>123</v>
      </c>
      <c r="F15" s="89"/>
      <c r="G15" s="93" t="s">
        <v>48</v>
      </c>
      <c r="H15" s="20"/>
      <c r="I15" s="21" t="s">
        <v>49</v>
      </c>
      <c r="J15" s="94"/>
      <c r="K15" s="95" t="s">
        <v>100</v>
      </c>
      <c r="L15" s="20"/>
      <c r="M15" s="95" t="s">
        <v>73</v>
      </c>
      <c r="N15" s="94"/>
      <c r="O15" s="95" t="s">
        <v>74</v>
      </c>
      <c r="P15" s="20"/>
      <c r="Q15" s="96" t="s">
        <v>64</v>
      </c>
      <c r="R15" s="97"/>
      <c r="S15" s="98"/>
      <c r="U15" s="98">
        <f t="shared" ref="U15:U21" si="0">S15*21%</f>
        <v>0</v>
      </c>
      <c r="W15" s="98">
        <f t="shared" ref="W15:W21" si="1">S15+U15</f>
        <v>0</v>
      </c>
      <c r="Y15" s="1"/>
      <c r="Z15" s="1"/>
      <c r="AA15" s="99"/>
      <c r="AB15" s="1"/>
      <c r="AC15" s="1"/>
      <c r="AD15" s="1"/>
      <c r="AE15" s="1"/>
      <c r="AF15" s="1"/>
      <c r="AG15" s="1"/>
      <c r="AH15" s="20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20.100000000000001" hidden="1" customHeight="1" thickBot="1">
      <c r="C16" s="100"/>
      <c r="D16" s="89"/>
      <c r="E16" s="101"/>
      <c r="F16" s="20"/>
      <c r="G16" s="102"/>
      <c r="H16" s="20"/>
      <c r="I16" s="94"/>
      <c r="J16" s="20"/>
      <c r="K16" s="94"/>
      <c r="L16" s="20"/>
      <c r="M16" s="20"/>
      <c r="N16" s="20"/>
      <c r="O16" s="20"/>
      <c r="P16" s="20"/>
      <c r="Q16" s="103" t="s">
        <v>65</v>
      </c>
      <c r="R16" s="104"/>
      <c r="S16" s="105"/>
      <c r="U16" s="106">
        <f t="shared" si="0"/>
        <v>0</v>
      </c>
      <c r="W16" s="106">
        <f t="shared" si="1"/>
        <v>0</v>
      </c>
      <c r="Y16" s="1"/>
      <c r="Z16" s="1"/>
      <c r="AA16" s="1"/>
      <c r="AB16" s="1"/>
      <c r="AC16" s="1"/>
      <c r="AD16" s="1"/>
      <c r="AE16" s="1"/>
      <c r="AF16" s="1"/>
      <c r="AG16" s="1"/>
      <c r="AH16" s="20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3:46" ht="20.100000000000001" hidden="1" customHeight="1">
      <c r="C17" s="107"/>
      <c r="D17" s="89"/>
      <c r="E17" s="108"/>
      <c r="F17" s="20"/>
      <c r="G17" s="109"/>
      <c r="H17" s="20"/>
      <c r="I17" s="110"/>
      <c r="J17" s="20"/>
      <c r="K17" s="111"/>
      <c r="L17" s="20"/>
      <c r="M17" s="112"/>
      <c r="N17" s="20"/>
      <c r="O17" s="108"/>
      <c r="P17" s="20"/>
      <c r="Q17" s="103" t="s">
        <v>66</v>
      </c>
      <c r="R17" s="104"/>
      <c r="S17" s="105"/>
      <c r="U17" s="106">
        <f t="shared" si="0"/>
        <v>0</v>
      </c>
      <c r="W17" s="106">
        <f t="shared" si="1"/>
        <v>0</v>
      </c>
      <c r="Y17" s="1"/>
      <c r="Z17" s="1"/>
      <c r="AA17" s="1"/>
      <c r="AB17" s="1"/>
      <c r="AC17" s="1"/>
      <c r="AD17" s="1"/>
      <c r="AE17" s="1"/>
      <c r="AF17" s="1"/>
      <c r="AG17" s="1"/>
      <c r="AH17" s="20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3:46" ht="20.100000000000001" hidden="1" customHeight="1">
      <c r="C18" s="113"/>
      <c r="D18" s="89"/>
      <c r="E18" s="41"/>
      <c r="F18" s="20"/>
      <c r="G18" s="114"/>
      <c r="H18" s="20"/>
      <c r="I18" s="115"/>
      <c r="J18" s="20"/>
      <c r="K18" s="116"/>
      <c r="L18" s="20"/>
      <c r="M18" s="117"/>
      <c r="N18" s="20"/>
      <c r="O18" s="41"/>
      <c r="P18" s="20"/>
      <c r="Q18" s="103" t="s">
        <v>67</v>
      </c>
      <c r="R18" s="104"/>
      <c r="S18" s="105"/>
      <c r="U18" s="106">
        <f t="shared" si="0"/>
        <v>0</v>
      </c>
      <c r="W18" s="106">
        <f t="shared" si="1"/>
        <v>0</v>
      </c>
      <c r="Y18" s="1"/>
      <c r="Z18" s="1"/>
      <c r="AA18" s="1"/>
      <c r="AB18" s="1"/>
      <c r="AC18" s="1"/>
      <c r="AD18" s="1"/>
      <c r="AE18" s="1"/>
      <c r="AF18" s="1"/>
      <c r="AG18" s="1"/>
      <c r="AH18" s="20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3:46" ht="20.100000000000001" hidden="1" customHeight="1">
      <c r="C19" s="113"/>
      <c r="D19" s="89"/>
      <c r="E19" s="41"/>
      <c r="F19" s="20"/>
      <c r="G19" s="114"/>
      <c r="H19" s="20"/>
      <c r="I19" s="115"/>
      <c r="J19" s="20"/>
      <c r="K19" s="116"/>
      <c r="L19" s="20"/>
      <c r="M19" s="117"/>
      <c r="N19" s="20"/>
      <c r="O19" s="41"/>
      <c r="P19" s="20"/>
      <c r="Q19" s="118" t="s">
        <v>29</v>
      </c>
      <c r="R19" s="104"/>
      <c r="S19" s="105"/>
      <c r="U19" s="106">
        <f t="shared" si="0"/>
        <v>0</v>
      </c>
      <c r="W19" s="106">
        <f t="shared" si="1"/>
        <v>0</v>
      </c>
      <c r="Y19" s="1"/>
      <c r="Z19" s="1"/>
      <c r="AA19" s="1"/>
      <c r="AB19" s="1"/>
      <c r="AC19" s="1"/>
      <c r="AD19" s="1"/>
      <c r="AE19" s="1"/>
      <c r="AF19" s="1"/>
      <c r="AG19" s="1"/>
      <c r="AH19" s="20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 ht="20.100000000000001" hidden="1" customHeight="1">
      <c r="C20" s="113"/>
      <c r="D20" s="89"/>
      <c r="E20" s="41"/>
      <c r="F20" s="20"/>
      <c r="G20" s="114"/>
      <c r="H20" s="20"/>
      <c r="I20" s="115"/>
      <c r="J20" s="20"/>
      <c r="K20" s="116"/>
      <c r="L20" s="20"/>
      <c r="M20" s="117"/>
      <c r="N20" s="20"/>
      <c r="O20" s="41"/>
      <c r="P20" s="20"/>
      <c r="Q20" s="118" t="s">
        <v>68</v>
      </c>
      <c r="R20" s="104"/>
      <c r="S20" s="105"/>
      <c r="U20" s="106">
        <f t="shared" si="0"/>
        <v>0</v>
      </c>
      <c r="W20" s="106">
        <f t="shared" si="1"/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20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3:46" ht="20.100000000000001" hidden="1" customHeight="1" thickBot="1">
      <c r="C21" s="113"/>
      <c r="D21" s="89"/>
      <c r="E21" s="41"/>
      <c r="F21" s="20"/>
      <c r="G21" s="114"/>
      <c r="H21" s="20"/>
      <c r="I21" s="115"/>
      <c r="J21" s="20"/>
      <c r="K21" s="116"/>
      <c r="L21" s="20"/>
      <c r="M21" s="117"/>
      <c r="N21" s="20"/>
      <c r="O21" s="41"/>
      <c r="P21" s="20"/>
      <c r="Q21" s="103" t="s">
        <v>69</v>
      </c>
      <c r="R21" s="104"/>
      <c r="S21" s="105"/>
      <c r="U21" s="119">
        <f t="shared" si="0"/>
        <v>0</v>
      </c>
      <c r="W21" s="106">
        <f t="shared" si="1"/>
        <v>0</v>
      </c>
      <c r="Y21" s="1"/>
      <c r="Z21" s="1"/>
      <c r="AA21" s="1"/>
      <c r="AB21" s="1"/>
      <c r="AC21" s="1"/>
      <c r="AD21" s="1"/>
      <c r="AE21" s="1"/>
      <c r="AF21" s="1"/>
      <c r="AG21" s="1"/>
      <c r="AH21" s="20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spans="3:46" ht="20.100000000000001" hidden="1" customHeight="1" thickBot="1">
      <c r="C22" s="120"/>
      <c r="D22" s="89"/>
      <c r="E22" s="121"/>
      <c r="F22" s="20"/>
      <c r="G22" s="122"/>
      <c r="H22" s="20"/>
      <c r="I22" s="123"/>
      <c r="J22" s="20"/>
      <c r="K22" s="124"/>
      <c r="L22" s="20"/>
      <c r="M22" s="125"/>
      <c r="N22" s="20"/>
      <c r="O22" s="121"/>
      <c r="P22" s="20"/>
      <c r="Q22" s="65" t="s">
        <v>5</v>
      </c>
      <c r="R22" s="104"/>
      <c r="S22" s="126"/>
      <c r="U22" s="127"/>
      <c r="W22" s="119">
        <f>S22</f>
        <v>0</v>
      </c>
      <c r="Y22" s="1"/>
      <c r="Z22" s="1"/>
      <c r="AA22" s="1"/>
      <c r="AB22" s="1"/>
      <c r="AC22" s="1"/>
      <c r="AD22" s="1"/>
      <c r="AE22" s="1"/>
      <c r="AF22" s="1"/>
      <c r="AG22" s="1"/>
      <c r="AH22" s="20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spans="3:46" ht="20.100000000000001" hidden="1" customHeight="1" thickBot="1">
      <c r="C23" s="128"/>
      <c r="D23" s="89"/>
      <c r="E23" s="129">
        <f>SUM(E17:E22)</f>
        <v>0</v>
      </c>
      <c r="F23" s="20"/>
      <c r="G23" s="130"/>
      <c r="H23" s="20"/>
      <c r="I23" s="20"/>
      <c r="J23" s="20"/>
      <c r="K23" s="131">
        <f>SUM(K17:K22)</f>
        <v>0</v>
      </c>
      <c r="L23" s="20"/>
      <c r="M23" s="20"/>
      <c r="N23" s="20"/>
      <c r="O23" s="131">
        <f>SUM(O17:O22)</f>
        <v>0</v>
      </c>
      <c r="P23" s="20"/>
      <c r="Q23" s="132" t="s">
        <v>26</v>
      </c>
      <c r="R23" s="104"/>
      <c r="S23" s="52"/>
      <c r="U23" s="1"/>
      <c r="W23" s="79">
        <f>SUM(W15:W21)-W22</f>
        <v>0</v>
      </c>
      <c r="Y23" s="1"/>
      <c r="Z23" s="1"/>
      <c r="AA23" s="1"/>
      <c r="AB23" s="1"/>
      <c r="AC23" s="1"/>
      <c r="AD23" s="1"/>
      <c r="AE23" s="1"/>
      <c r="AF23" s="1"/>
      <c r="AG23" s="1"/>
      <c r="AH23" s="20"/>
      <c r="AK23" s="1"/>
      <c r="AL23" s="1"/>
      <c r="AM23" s="1"/>
      <c r="AN23" s="1"/>
      <c r="AO23" s="1"/>
      <c r="AP23" s="1"/>
      <c r="AQ23" s="1"/>
      <c r="AR23" s="1"/>
      <c r="AS23" s="1"/>
      <c r="AT23" s="1"/>
    </row>
    <row r="24" spans="3:46" ht="20.100000000000001" customHeight="1" thickBot="1">
      <c r="C24" s="128"/>
      <c r="D24" s="89"/>
      <c r="E24" s="133"/>
      <c r="F24" s="20"/>
      <c r="G24" s="130"/>
      <c r="H24" s="20"/>
      <c r="I24" s="20"/>
      <c r="J24" s="20"/>
      <c r="K24" s="20"/>
      <c r="L24" s="20"/>
      <c r="M24" s="20"/>
      <c r="N24" s="20"/>
      <c r="O24" s="20"/>
      <c r="P24" s="20"/>
      <c r="Q24" s="134"/>
      <c r="R24" s="104"/>
      <c r="S24" s="135"/>
      <c r="U24" s="1"/>
      <c r="W24" s="136"/>
      <c r="Y24" s="1"/>
      <c r="Z24" s="1"/>
      <c r="AA24" s="1"/>
      <c r="AB24" s="1"/>
      <c r="AC24" s="1"/>
      <c r="AD24" s="1"/>
      <c r="AE24" s="1"/>
      <c r="AF24" s="1"/>
      <c r="AG24" s="1"/>
      <c r="AH24" s="20"/>
      <c r="AK24" s="1"/>
      <c r="AL24" s="1"/>
      <c r="AM24" s="1"/>
      <c r="AN24" s="1"/>
      <c r="AO24" s="1"/>
      <c r="AP24" s="1"/>
      <c r="AQ24" s="1"/>
      <c r="AR24" s="1"/>
      <c r="AS24" s="1"/>
      <c r="AT24" s="1"/>
    </row>
    <row r="25" spans="3:46" ht="20.100000000000001" customHeight="1" thickBot="1">
      <c r="C25" s="18" t="s">
        <v>11</v>
      </c>
      <c r="D25" s="89"/>
      <c r="E25" s="320" t="s">
        <v>110</v>
      </c>
      <c r="F25" s="321"/>
      <c r="G25" s="322"/>
      <c r="H25" s="24"/>
      <c r="I25" s="24"/>
      <c r="J25" s="20"/>
      <c r="K25" s="137" t="s">
        <v>126</v>
      </c>
      <c r="L25" s="16"/>
      <c r="M25" s="137" t="s">
        <v>127</v>
      </c>
      <c r="N25" s="24"/>
      <c r="O25" s="24"/>
      <c r="P25" s="20"/>
      <c r="Q25" s="138" t="s">
        <v>15</v>
      </c>
      <c r="S25" s="315" t="s">
        <v>14</v>
      </c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  <c r="AG25" s="317"/>
      <c r="AH25" s="20"/>
      <c r="AK25" s="1"/>
      <c r="AL25" s="1"/>
      <c r="AM25" s="1"/>
      <c r="AN25" s="1"/>
      <c r="AO25" s="1"/>
      <c r="AP25" s="1"/>
      <c r="AQ25" s="1"/>
      <c r="AR25" s="1"/>
      <c r="AS25" s="1"/>
      <c r="AT25" s="1"/>
    </row>
    <row r="26" spans="3:46" ht="9.9499999999999993" customHeight="1" thickBot="1">
      <c r="C26" s="100"/>
      <c r="D26" s="89"/>
      <c r="E26" s="19"/>
      <c r="F26" s="20"/>
      <c r="G26" s="139"/>
      <c r="H26" s="20"/>
      <c r="I26" s="94"/>
      <c r="J26" s="20"/>
      <c r="K26" s="140"/>
      <c r="L26" s="20"/>
      <c r="M26" s="20"/>
      <c r="N26" s="20"/>
      <c r="O26" s="20"/>
      <c r="P26" s="20"/>
      <c r="Q26" s="141"/>
      <c r="S26" s="127"/>
      <c r="T26" s="84"/>
      <c r="U26" s="142"/>
      <c r="V26" s="84"/>
      <c r="W26" s="127"/>
      <c r="X26" s="84"/>
      <c r="Y26" s="142"/>
      <c r="Z26" s="84"/>
      <c r="AA26" s="84"/>
      <c r="AB26" s="143"/>
      <c r="AC26" s="2"/>
      <c r="AD26" s="2"/>
      <c r="AE26" s="2"/>
      <c r="AF26" s="2"/>
      <c r="AG26" s="2"/>
      <c r="AH26" s="20"/>
      <c r="AK26" s="1"/>
      <c r="AL26" s="1"/>
      <c r="AM26" s="1"/>
      <c r="AN26" s="1"/>
      <c r="AO26" s="1"/>
      <c r="AP26" s="1"/>
      <c r="AQ26" s="1"/>
      <c r="AR26" s="1"/>
      <c r="AS26" s="1"/>
      <c r="AT26" s="1"/>
    </row>
    <row r="27" spans="3:46" ht="20.100000000000001" customHeight="1" thickBot="1">
      <c r="C27" s="144" t="s">
        <v>2</v>
      </c>
      <c r="E27" s="145"/>
      <c r="F27" s="20"/>
      <c r="G27" s="145"/>
      <c r="H27" s="146"/>
      <c r="I27" s="147"/>
      <c r="J27" s="146"/>
      <c r="K27" s="145">
        <f>(E27+G27)*1.1392</f>
        <v>0</v>
      </c>
      <c r="L27" s="20"/>
      <c r="M27" s="111">
        <f t="shared" ref="M27" si="2">(G27+I27)*1.1392</f>
        <v>0</v>
      </c>
      <c r="N27" s="19"/>
      <c r="O27" s="147"/>
      <c r="P27" s="20"/>
      <c r="Q27" s="148" t="s">
        <v>124</v>
      </c>
      <c r="R27" s="149"/>
      <c r="S27" s="150" t="s">
        <v>37</v>
      </c>
      <c r="T27" s="77"/>
      <c r="U27" s="150" t="s">
        <v>39</v>
      </c>
      <c r="V27" s="77"/>
      <c r="W27" s="151" t="s">
        <v>8</v>
      </c>
      <c r="X27" s="152"/>
      <c r="Y27" s="151" t="s">
        <v>8</v>
      </c>
      <c r="Z27" s="153"/>
      <c r="AA27" s="154" t="s">
        <v>9</v>
      </c>
      <c r="AC27" s="155" t="s">
        <v>9</v>
      </c>
      <c r="AD27" s="156"/>
      <c r="AE27" s="155" t="s">
        <v>9</v>
      </c>
      <c r="AF27" s="156"/>
      <c r="AG27" s="155" t="s">
        <v>9</v>
      </c>
      <c r="AH27" s="20"/>
      <c r="AK27" s="1"/>
      <c r="AL27" s="1"/>
      <c r="AM27" s="1"/>
      <c r="AN27" s="1"/>
      <c r="AO27" s="1"/>
      <c r="AP27" s="1"/>
      <c r="AQ27" s="1"/>
      <c r="AR27" s="1"/>
      <c r="AS27" s="1"/>
      <c r="AT27" s="1"/>
    </row>
    <row r="28" spans="3:46" ht="20.100000000000001" customHeight="1" thickBot="1">
      <c r="C28" s="157" t="s">
        <v>1</v>
      </c>
      <c r="E28" s="158"/>
      <c r="F28" s="146"/>
      <c r="G28" s="158"/>
      <c r="H28" s="19"/>
      <c r="I28" s="147"/>
      <c r="J28" s="19"/>
      <c r="K28" s="158">
        <f>(E28+G28)*1.1255</f>
        <v>0</v>
      </c>
      <c r="L28" s="20"/>
      <c r="M28" s="116">
        <f t="shared" ref="M28" si="3">(G28+I28)*1.1255</f>
        <v>0</v>
      </c>
      <c r="N28" s="19"/>
      <c r="O28" s="147"/>
      <c r="P28" s="20"/>
      <c r="Q28" s="134"/>
      <c r="R28" s="149"/>
      <c r="S28" s="159"/>
      <c r="T28" s="77"/>
      <c r="U28" s="159"/>
      <c r="V28" s="77"/>
      <c r="W28" s="159"/>
      <c r="X28" s="152"/>
      <c r="Y28" s="159"/>
      <c r="Z28" s="153"/>
      <c r="AA28" s="77"/>
      <c r="AB28" s="1"/>
      <c r="AC28" s="12"/>
      <c r="AD28" s="12"/>
      <c r="AE28" s="12"/>
      <c r="AF28" s="12"/>
      <c r="AG28" s="12"/>
      <c r="AH28" s="20"/>
      <c r="AK28" s="1"/>
      <c r="AL28" s="1"/>
      <c r="AM28" s="1"/>
      <c r="AN28" s="1"/>
      <c r="AO28" s="1"/>
      <c r="AP28" s="1"/>
      <c r="AQ28" s="1"/>
      <c r="AR28" s="1"/>
      <c r="AS28" s="1"/>
      <c r="AT28" s="1"/>
    </row>
    <row r="29" spans="3:46" ht="20.100000000000001" customHeight="1">
      <c r="C29" s="157" t="s">
        <v>6</v>
      </c>
      <c r="E29" s="158"/>
      <c r="F29" s="19"/>
      <c r="G29" s="158"/>
      <c r="H29" s="19"/>
      <c r="I29" s="147"/>
      <c r="J29" s="19"/>
      <c r="K29" s="158">
        <f>E29+G29</f>
        <v>0</v>
      </c>
      <c r="L29" s="20"/>
      <c r="M29" s="116">
        <f t="shared" ref="M29" si="4">G29+I29</f>
        <v>0</v>
      </c>
      <c r="N29" s="160"/>
      <c r="O29" s="147"/>
      <c r="P29" s="146"/>
      <c r="Q29" s="161" t="s">
        <v>3</v>
      </c>
      <c r="R29" s="149"/>
      <c r="S29" s="162">
        <f>IF($S$11+$AA$11+$W$23=0,"",12.5%)</f>
        <v>0.125</v>
      </c>
      <c r="T29" s="163"/>
      <c r="U29" s="162">
        <f>IF($S$11+$AA$11+$W$23=0,"",12.5%)</f>
        <v>0.125</v>
      </c>
      <c r="V29" s="163"/>
      <c r="W29" s="162">
        <f>IF($S$11+$AA$11+$W$23=0,"",12.5%)</f>
        <v>0.125</v>
      </c>
      <c r="X29" s="152"/>
      <c r="Y29" s="162">
        <f>IF($S$11+$AA$11+$W$23=0,"",6%)</f>
        <v>0.06</v>
      </c>
      <c r="Z29" s="163"/>
      <c r="AA29" s="162">
        <f>IF($S$11+$AA$11+$W$23=0,"",10%)</f>
        <v>0.1</v>
      </c>
      <c r="AB29" s="152"/>
      <c r="AC29" s="162">
        <f>IF($S$11+$AA$11+$W$23=0,"",5%)</f>
        <v>0.05</v>
      </c>
      <c r="AD29" s="152"/>
      <c r="AE29" s="162">
        <f>IF($S$11+$AA$11+$W$23=0,"",10%)</f>
        <v>0.1</v>
      </c>
      <c r="AF29" s="152"/>
      <c r="AG29" s="162">
        <f>IF($S$11+$AA$11+$W$23=0,"",5%)</f>
        <v>0.05</v>
      </c>
      <c r="AH29" s="20"/>
      <c r="AK29" s="1"/>
      <c r="AL29" s="1"/>
      <c r="AM29" s="1"/>
      <c r="AN29" s="1"/>
      <c r="AO29" s="1"/>
      <c r="AP29" s="1"/>
      <c r="AQ29" s="1"/>
      <c r="AR29" s="1"/>
      <c r="AS29" s="1"/>
      <c r="AT29" s="1"/>
    </row>
    <row r="30" spans="3:46" ht="20.100000000000001" customHeight="1">
      <c r="C30" s="55" t="s">
        <v>50</v>
      </c>
      <c r="E30" s="158"/>
      <c r="F30" s="160"/>
      <c r="G30" s="158"/>
      <c r="H30" s="160"/>
      <c r="I30" s="147"/>
      <c r="J30" s="160"/>
      <c r="K30" s="158">
        <f>E30+G30</f>
        <v>0</v>
      </c>
      <c r="L30" s="20"/>
      <c r="M30" s="116">
        <f t="shared" ref="M30" si="5">G30</f>
        <v>0</v>
      </c>
      <c r="N30" s="160"/>
      <c r="O30" s="147"/>
      <c r="P30" s="19"/>
      <c r="Q30" s="164" t="s">
        <v>10</v>
      </c>
      <c r="R30" s="149"/>
      <c r="S30" s="165">
        <f>IF($S$11+$AA$11+$W$23=0,"",60000)</f>
        <v>60000</v>
      </c>
      <c r="T30" s="163"/>
      <c r="U30" s="165" t="str">
        <f>IF($S$11+$AA$11+$W$23=0,"","non")</f>
        <v>non</v>
      </c>
      <c r="V30" s="163"/>
      <c r="W30" s="165" t="str">
        <f>IF($S$11+$AA$11+$W$23=0,"","non")</f>
        <v>non</v>
      </c>
      <c r="X30" s="152"/>
      <c r="Y30" s="165" t="str">
        <f>IF($S$11+$AA$11+$W$23=0,"","non")</f>
        <v>non</v>
      </c>
      <c r="Z30" s="163"/>
      <c r="AA30" s="165">
        <f>IF($S$11+$AA$11+$W$23=0,"",15000)</f>
        <v>15000</v>
      </c>
      <c r="AB30" s="152"/>
      <c r="AC30" s="165">
        <f>IF($S$11+$AA$11+$W$23=0,"",15000)</f>
        <v>15000</v>
      </c>
      <c r="AD30" s="152"/>
      <c r="AE30" s="165" t="str">
        <f>IF($S$11+$AA$11+$W$23=0,"","non")</f>
        <v>non</v>
      </c>
      <c r="AF30" s="152"/>
      <c r="AG30" s="165" t="str">
        <f>IF($S$11+$AA$11+$W$23=0,"","non")</f>
        <v>non</v>
      </c>
      <c r="AH30" s="20"/>
      <c r="AK30" s="1"/>
      <c r="AL30" s="1"/>
      <c r="AM30" s="1"/>
      <c r="AN30" s="1"/>
      <c r="AO30" s="1"/>
      <c r="AP30" s="1"/>
      <c r="AQ30" s="1"/>
      <c r="AR30" s="1"/>
      <c r="AS30" s="1"/>
      <c r="AT30" s="1"/>
    </row>
    <row r="31" spans="3:46" ht="20.100000000000001" customHeight="1">
      <c r="C31" s="55" t="s">
        <v>51</v>
      </c>
      <c r="E31" s="158"/>
      <c r="F31" s="160"/>
      <c r="G31" s="158"/>
      <c r="H31" s="160"/>
      <c r="I31" s="147"/>
      <c r="J31" s="160"/>
      <c r="K31" s="158">
        <f>E31+G31</f>
        <v>0</v>
      </c>
      <c r="L31" s="160"/>
      <c r="M31" s="116">
        <f>G31</f>
        <v>0</v>
      </c>
      <c r="N31" s="166"/>
      <c r="O31" s="147"/>
      <c r="P31" s="19"/>
      <c r="Q31" s="164" t="s">
        <v>13</v>
      </c>
      <c r="R31" s="149"/>
      <c r="S31" s="167">
        <f>IF(S6&gt;=60000,(S11-60000)*12.5%,0)</f>
        <v>5000</v>
      </c>
      <c r="T31" s="168"/>
      <c r="U31" s="167">
        <f>SUM(S6+AA11)*12.5%</f>
        <v>12500</v>
      </c>
      <c r="V31" s="168"/>
      <c r="W31" s="167">
        <f>SUM(S6+AA11)*12.5%</f>
        <v>12500</v>
      </c>
      <c r="X31" s="152"/>
      <c r="Y31" s="167">
        <f>SUM(S11+AA11)*6%</f>
        <v>6000</v>
      </c>
      <c r="Z31" s="168"/>
      <c r="AA31" s="167">
        <f>IF(S11&gt;=15000,(S11-15000)*10%,0)</f>
        <v>8500</v>
      </c>
      <c r="AB31" s="152"/>
      <c r="AC31" s="167">
        <f>IF(S11&gt;15000,(S11-15000)*5%,0)</f>
        <v>4250</v>
      </c>
      <c r="AD31" s="152"/>
      <c r="AE31" s="167">
        <f>SUM(S6+AA11)*10%</f>
        <v>10000</v>
      </c>
      <c r="AF31" s="152"/>
      <c r="AG31" s="167">
        <f>SUM(S6+AA11)*5%</f>
        <v>5000</v>
      </c>
      <c r="AH31" s="20"/>
      <c r="AK31" s="1"/>
      <c r="AL31" s="1"/>
      <c r="AM31" s="1"/>
      <c r="AN31" s="1"/>
      <c r="AO31" s="1"/>
      <c r="AP31" s="1"/>
      <c r="AQ31" s="1"/>
      <c r="AR31" s="1"/>
      <c r="AS31" s="1"/>
      <c r="AT31" s="1"/>
    </row>
    <row r="32" spans="3:46" ht="20.100000000000001" customHeight="1">
      <c r="C32" s="55" t="s">
        <v>0</v>
      </c>
      <c r="E32" s="158"/>
      <c r="F32" s="166"/>
      <c r="G32" s="158"/>
      <c r="H32" s="166"/>
      <c r="I32" s="147"/>
      <c r="J32" s="166"/>
      <c r="K32" s="158">
        <f>MIN(COUNTA(E32:G32)*275,E32+G32)</f>
        <v>0</v>
      </c>
      <c r="L32" s="116"/>
      <c r="M32" s="116" t="b">
        <f>IF(AND(A6="",B6&gt;630),630,IF(AND(A6&gt;1000,OR(B6="",B6&gt;630)),1000,IF(AND(A6&gt;850,B6=""),"850")))</f>
        <v>0</v>
      </c>
      <c r="N32" s="160"/>
      <c r="O32" s="147"/>
      <c r="P32" s="160"/>
      <c r="Q32" s="164" t="s">
        <v>4</v>
      </c>
      <c r="R32" s="149"/>
      <c r="S32" s="169">
        <f>SUM(AA148:AA154)</f>
        <v>1593.663</v>
      </c>
      <c r="T32" s="87"/>
      <c r="U32" s="169">
        <f>S32</f>
        <v>1593.663</v>
      </c>
      <c r="V32" s="87"/>
      <c r="W32" s="169">
        <f>S32</f>
        <v>1593.663</v>
      </c>
      <c r="X32" s="152"/>
      <c r="Y32" s="169">
        <f>S32</f>
        <v>1593.663</v>
      </c>
      <c r="Z32" s="87"/>
      <c r="AA32" s="169">
        <f>S32</f>
        <v>1593.663</v>
      </c>
      <c r="AB32" s="152"/>
      <c r="AC32" s="169">
        <f>S32</f>
        <v>1593.663</v>
      </c>
      <c r="AD32" s="152"/>
      <c r="AE32" s="169">
        <f>S32</f>
        <v>1593.663</v>
      </c>
      <c r="AF32" s="152"/>
      <c r="AG32" s="169">
        <f>S32</f>
        <v>1593.663</v>
      </c>
      <c r="AH32" s="20"/>
      <c r="AK32" s="1"/>
      <c r="AL32" s="1"/>
      <c r="AM32" s="1"/>
      <c r="AN32" s="1"/>
      <c r="AO32" s="1"/>
      <c r="AP32" s="1"/>
      <c r="AQ32" s="1"/>
      <c r="AR32" s="1"/>
      <c r="AS32" s="1"/>
      <c r="AT32" s="1"/>
    </row>
    <row r="33" spans="1:46" ht="20.100000000000001" customHeight="1">
      <c r="A33" s="170"/>
      <c r="B33" s="171"/>
      <c r="C33" s="157" t="s">
        <v>52</v>
      </c>
      <c r="E33" s="158"/>
      <c r="F33" s="160"/>
      <c r="G33" s="158"/>
      <c r="H33" s="160"/>
      <c r="I33" s="172"/>
      <c r="J33" s="160"/>
      <c r="K33" s="158">
        <f>MIN(COUNTA(E33:G33)*80,E33+G33)</f>
        <v>0</v>
      </c>
      <c r="L33" s="160"/>
      <c r="M33" s="158" t="s">
        <v>128</v>
      </c>
      <c r="N33" s="147"/>
      <c r="O33" s="147"/>
      <c r="P33" s="160"/>
      <c r="Q33" s="164" t="s">
        <v>28</v>
      </c>
      <c r="R33" s="149"/>
      <c r="S33" s="165">
        <f>IF($S$11+$AA$11+$W$23=0,"",900)</f>
        <v>900</v>
      </c>
      <c r="T33" s="87"/>
      <c r="U33" s="165">
        <f>IF($S$11+$AA$11+$W$23=0,"",900)</f>
        <v>900</v>
      </c>
      <c r="V33" s="87"/>
      <c r="W33" s="165">
        <f>IF($S$11+$AA$11+$W$23=0,"",900)</f>
        <v>900</v>
      </c>
      <c r="X33" s="152"/>
      <c r="Y33" s="165">
        <f>IF($S$11+$AA$11+$W$23=0,"",900)</f>
        <v>900</v>
      </c>
      <c r="Z33" s="87"/>
      <c r="AA33" s="165">
        <f>IF($S$11+$AA$11+$W$23=0,"",900)</f>
        <v>900</v>
      </c>
      <c r="AB33" s="152"/>
      <c r="AC33" s="165">
        <f>IF($S$11+$AA$11+$W$23=0,"",900)</f>
        <v>900</v>
      </c>
      <c r="AD33" s="152"/>
      <c r="AE33" s="165">
        <f>IF($S$11+$AA$11+$W$23=0,"",900)</f>
        <v>900</v>
      </c>
      <c r="AF33" s="152"/>
      <c r="AG33" s="165">
        <f>IF($S$11+$AA$11+$W$23=0,"",900)</f>
        <v>900</v>
      </c>
      <c r="AH33" s="20"/>
      <c r="AK33" s="1"/>
      <c r="AL33" s="1"/>
      <c r="AM33" s="1"/>
      <c r="AN33" s="1"/>
      <c r="AO33" s="1"/>
      <c r="AP33" s="1"/>
      <c r="AQ33" s="1"/>
      <c r="AR33" s="1"/>
      <c r="AS33" s="1"/>
      <c r="AT33" s="1"/>
    </row>
    <row r="34" spans="1:46" ht="20.100000000000001" customHeight="1" thickBot="1">
      <c r="C34" s="157" t="s">
        <v>107</v>
      </c>
      <c r="E34" s="158"/>
      <c r="F34" s="160"/>
      <c r="G34" s="158"/>
      <c r="H34" s="160"/>
      <c r="I34" s="147"/>
      <c r="J34" s="160"/>
      <c r="K34" s="158">
        <f>IF((E34+G34)/2&gt;(K27+K28+K29+K30+K31+K32)*0.2,(K27+K28+K29+K30+K31+K32)*0.2,(E34+G34)/2)</f>
        <v>0</v>
      </c>
      <c r="L34" s="147"/>
      <c r="M34" s="158" t="s">
        <v>128</v>
      </c>
      <c r="N34" s="147"/>
      <c r="O34" s="147"/>
      <c r="P34" s="166"/>
      <c r="Q34" s="173" t="s">
        <v>30</v>
      </c>
      <c r="R34" s="149"/>
      <c r="S34" s="174">
        <f>SUM(S31:S33)</f>
        <v>7493.6630000000005</v>
      </c>
      <c r="T34" s="87"/>
      <c r="U34" s="174">
        <f>SUM(U31:U33)</f>
        <v>14993.663</v>
      </c>
      <c r="V34" s="87"/>
      <c r="W34" s="174">
        <f>SUM(W31:W33)</f>
        <v>14993.663</v>
      </c>
      <c r="X34" s="152"/>
      <c r="Y34" s="174">
        <f>SUM(Y31:Y33)</f>
        <v>8493.6630000000005</v>
      </c>
      <c r="Z34" s="87"/>
      <c r="AA34" s="174">
        <f>SUM(AA31:AA33)</f>
        <v>10993.663</v>
      </c>
      <c r="AB34" s="152"/>
      <c r="AC34" s="174">
        <f>SUM(AC31:AC33)</f>
        <v>6743.6630000000005</v>
      </c>
      <c r="AD34" s="152"/>
      <c r="AE34" s="174">
        <f>SUM(AE31:AE33)</f>
        <v>12493.663</v>
      </c>
      <c r="AF34" s="152"/>
      <c r="AG34" s="174">
        <f>SUM(AG31:AG33)</f>
        <v>7493.6630000000005</v>
      </c>
      <c r="AH34" s="20"/>
      <c r="AK34" s="1"/>
      <c r="AL34" s="1"/>
      <c r="AM34" s="1"/>
      <c r="AN34" s="1"/>
      <c r="AO34" s="1"/>
      <c r="AP34" s="1"/>
      <c r="AQ34" s="1"/>
      <c r="AR34" s="1"/>
      <c r="AS34" s="1"/>
      <c r="AT34" s="1"/>
    </row>
    <row r="35" spans="1:46" ht="20.100000000000001" customHeight="1" thickBot="1">
      <c r="C35" s="157" t="s">
        <v>106</v>
      </c>
      <c r="E35" s="175"/>
      <c r="F35" s="160"/>
      <c r="G35" s="175"/>
      <c r="H35" s="160"/>
      <c r="I35" s="172"/>
      <c r="J35" s="160"/>
      <c r="K35" s="158">
        <f>IF((E35+G35)*75&gt;(K27+K28+K29+K30+K31+K32)*0.2,(K27+K28+K29+K30+K31+K32)*0.2,(E35+G35)*75)</f>
        <v>0</v>
      </c>
      <c r="L35" s="147"/>
      <c r="M35" s="158" t="s">
        <v>128</v>
      </c>
      <c r="N35" s="160"/>
      <c r="O35" s="147"/>
      <c r="P35" s="160"/>
      <c r="Q35" s="176"/>
      <c r="R35" s="149"/>
      <c r="S35" s="87"/>
      <c r="T35" s="87"/>
      <c r="U35" s="87"/>
      <c r="V35" s="87"/>
      <c r="W35" s="87"/>
      <c r="X35" s="152"/>
      <c r="Y35" s="87"/>
      <c r="Z35" s="87"/>
      <c r="AA35" s="87"/>
      <c r="AB35" s="177"/>
      <c r="AC35" s="87"/>
      <c r="AD35" s="177"/>
      <c r="AE35" s="87"/>
      <c r="AF35" s="177"/>
      <c r="AG35" s="87"/>
      <c r="AH35" s="20"/>
      <c r="AK35" s="1"/>
      <c r="AL35" s="1"/>
      <c r="AM35" s="1"/>
      <c r="AN35" s="1"/>
      <c r="AO35" s="1"/>
      <c r="AP35" s="1"/>
      <c r="AQ35" s="1"/>
      <c r="AR35" s="1"/>
      <c r="AS35" s="1"/>
      <c r="AT35" s="1"/>
    </row>
    <row r="36" spans="1:46" ht="20.100000000000001" customHeight="1" thickBot="1">
      <c r="C36" s="55" t="s">
        <v>53</v>
      </c>
      <c r="E36" s="158"/>
      <c r="F36" s="160"/>
      <c r="G36" s="158"/>
      <c r="H36" s="160"/>
      <c r="I36" s="147"/>
      <c r="J36" s="160"/>
      <c r="K36" s="158">
        <f>(E36+G36)*0.85</f>
        <v>0</v>
      </c>
      <c r="L36" s="20"/>
      <c r="M36" s="158">
        <f>(G36+E36)*0.8</f>
        <v>0</v>
      </c>
      <c r="N36" s="160"/>
      <c r="O36" s="147"/>
      <c r="P36" s="160"/>
      <c r="Q36" s="178" t="s">
        <v>125</v>
      </c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K36" s="1"/>
      <c r="AL36" s="1"/>
      <c r="AM36" s="1"/>
      <c r="AN36" s="1"/>
      <c r="AO36" s="1"/>
      <c r="AP36" s="1"/>
      <c r="AQ36" s="1"/>
      <c r="AR36" s="1"/>
      <c r="AS36" s="1"/>
      <c r="AT36" s="1"/>
    </row>
    <row r="37" spans="1:46" ht="20.100000000000001" customHeight="1" thickBot="1">
      <c r="C37" s="55" t="s">
        <v>54</v>
      </c>
      <c r="E37" s="158"/>
      <c r="F37" s="160"/>
      <c r="G37" s="158"/>
      <c r="H37" s="160"/>
      <c r="I37" s="147"/>
      <c r="J37" s="160"/>
      <c r="K37" s="158">
        <f>(E37+G37)*0.85</f>
        <v>0</v>
      </c>
      <c r="L37" s="20"/>
      <c r="M37" s="158">
        <f>(G37+E37)*0.8</f>
        <v>0</v>
      </c>
      <c r="N37" s="160"/>
      <c r="O37" s="147"/>
      <c r="P37" s="160"/>
      <c r="Q37" s="134"/>
      <c r="R37" s="180"/>
      <c r="S37" s="77"/>
      <c r="T37" s="87"/>
      <c r="U37" s="77"/>
      <c r="V37" s="87"/>
      <c r="W37" s="77"/>
      <c r="X37" s="181"/>
      <c r="Y37" s="77"/>
      <c r="Z37" s="87"/>
      <c r="AA37" s="77"/>
      <c r="AB37" s="177"/>
      <c r="AC37" s="77"/>
      <c r="AD37" s="177"/>
      <c r="AE37" s="77"/>
      <c r="AF37" s="177"/>
      <c r="AG37" s="77"/>
      <c r="AK37" s="1"/>
      <c r="AL37" s="1"/>
      <c r="AM37" s="1"/>
      <c r="AN37" s="1"/>
      <c r="AO37" s="1"/>
      <c r="AP37" s="1"/>
      <c r="AQ37" s="1"/>
      <c r="AR37" s="1"/>
      <c r="AS37" s="1"/>
      <c r="AT37" s="1"/>
    </row>
    <row r="38" spans="1:46" ht="20.100000000000001" customHeight="1">
      <c r="C38" s="55" t="s">
        <v>102</v>
      </c>
      <c r="E38" s="158"/>
      <c r="F38" s="160"/>
      <c r="G38" s="158"/>
      <c r="H38" s="160"/>
      <c r="I38" s="147"/>
      <c r="J38" s="160"/>
      <c r="K38" s="158"/>
      <c r="L38" s="20"/>
      <c r="M38" s="158">
        <f>G38+E38</f>
        <v>0</v>
      </c>
      <c r="N38" s="160"/>
      <c r="O38" s="147"/>
      <c r="P38" s="160"/>
      <c r="Q38" s="182" t="s">
        <v>41</v>
      </c>
      <c r="R38" s="149"/>
      <c r="S38" s="183">
        <f>(((S6+S9+AA11+W23)*110%*1.3%))+300</f>
        <v>1730.0000000000002</v>
      </c>
      <c r="T38" s="184"/>
      <c r="U38" s="183">
        <f>(((U6+U9+AC11+Y23)*110%*1.3%))+300</f>
        <v>300</v>
      </c>
      <c r="V38" s="184"/>
      <c r="W38" s="183" t="e">
        <f>(((W6+W9+AE11+AA23)*110%*1.3%))+300</f>
        <v>#VALUE!</v>
      </c>
      <c r="X38" s="184"/>
      <c r="Y38" s="183">
        <f>(((Y6+Y9+AG11+AC23)*110%*1.3%))+300</f>
        <v>300</v>
      </c>
      <c r="Z38" s="184"/>
      <c r="AA38" s="183">
        <f>(((AA6+AA9+AI11+AE23)*110%*1.3%))+300</f>
        <v>300</v>
      </c>
      <c r="AB38" s="184"/>
      <c r="AC38" s="183">
        <f>(((AC6+AC9+AK11+AG23)*110%*1.3%))+300</f>
        <v>300</v>
      </c>
      <c r="AD38" s="184"/>
      <c r="AE38" s="183">
        <f>(((AE6+AE9+AM11+AI23)*110%*1.3%))+300</f>
        <v>300</v>
      </c>
      <c r="AF38" s="184"/>
      <c r="AG38" s="183">
        <f>(((AG6+AG9+AO11+AK23)*110%*1.3%))+300</f>
        <v>300</v>
      </c>
      <c r="AH38" s="20"/>
      <c r="AK38" s="1"/>
      <c r="AL38" s="1"/>
      <c r="AM38" s="1"/>
      <c r="AN38" s="1"/>
      <c r="AO38" s="1"/>
      <c r="AP38" s="1"/>
      <c r="AQ38" s="1"/>
      <c r="AR38" s="1"/>
      <c r="AS38" s="1"/>
      <c r="AT38" s="1"/>
    </row>
    <row r="39" spans="1:46" ht="20.100000000000001" customHeight="1">
      <c r="C39" s="55" t="s">
        <v>55</v>
      </c>
      <c r="E39" s="158"/>
      <c r="F39" s="160"/>
      <c r="G39" s="158"/>
      <c r="H39" s="160"/>
      <c r="I39" s="147"/>
      <c r="J39" s="160"/>
      <c r="K39" s="158">
        <f>E39+G39</f>
        <v>0</v>
      </c>
      <c r="L39" s="20"/>
      <c r="M39" s="158">
        <f>G39+E39</f>
        <v>0</v>
      </c>
      <c r="N39" s="160"/>
      <c r="O39" s="147"/>
      <c r="P39" s="160"/>
      <c r="Q39" s="185" t="s">
        <v>4</v>
      </c>
      <c r="R39" s="149"/>
      <c r="S39" s="186">
        <f>SUM(AA156:AA162)</f>
        <v>651.71519999999987</v>
      </c>
      <c r="T39" s="77"/>
      <c r="U39" s="165">
        <f>S39</f>
        <v>651.71519999999987</v>
      </c>
      <c r="V39" s="77"/>
      <c r="W39" s="165">
        <f>S39</f>
        <v>651.71519999999987</v>
      </c>
      <c r="X39" s="152"/>
      <c r="Y39" s="165">
        <f>S39</f>
        <v>651.71519999999987</v>
      </c>
      <c r="Z39" s="77"/>
      <c r="AA39" s="165">
        <f>S39</f>
        <v>651.71519999999987</v>
      </c>
      <c r="AB39" s="152"/>
      <c r="AC39" s="165">
        <f>S39</f>
        <v>651.71519999999987</v>
      </c>
      <c r="AD39" s="152"/>
      <c r="AE39" s="165">
        <f>S39</f>
        <v>651.71519999999987</v>
      </c>
      <c r="AF39" s="152"/>
      <c r="AG39" s="165">
        <f>S39</f>
        <v>651.71519999999987</v>
      </c>
      <c r="AH39" s="187"/>
      <c r="AK39" s="200" t="s">
        <v>134</v>
      </c>
      <c r="AL39" s="1"/>
      <c r="AM39" s="1"/>
      <c r="AN39" s="1"/>
      <c r="AO39" s="1"/>
      <c r="AP39" s="1"/>
      <c r="AQ39" s="1"/>
      <c r="AR39" s="1"/>
      <c r="AS39" s="1"/>
      <c r="AT39" s="1"/>
    </row>
    <row r="40" spans="1:46" ht="20.100000000000001" customHeight="1">
      <c r="C40" s="55" t="s">
        <v>103</v>
      </c>
      <c r="E40" s="158"/>
      <c r="F40" s="160"/>
      <c r="G40" s="158"/>
      <c r="H40" s="160"/>
      <c r="I40" s="147"/>
      <c r="J40" s="160"/>
      <c r="K40" s="158">
        <f>E40+G40</f>
        <v>0</v>
      </c>
      <c r="L40" s="20"/>
      <c r="M40" s="158">
        <f>G40+E40</f>
        <v>0</v>
      </c>
      <c r="N40" s="160"/>
      <c r="O40" s="147"/>
      <c r="P40" s="160"/>
      <c r="Q40" s="185" t="s">
        <v>40</v>
      </c>
      <c r="R40" s="149"/>
      <c r="S40" s="165">
        <f>IF($S$11+$AA$11+$W$23=0,"",1000)</f>
        <v>1000</v>
      </c>
      <c r="T40" s="77"/>
      <c r="U40" s="165">
        <f>S40</f>
        <v>1000</v>
      </c>
      <c r="V40" s="77"/>
      <c r="W40" s="165">
        <f>S40</f>
        <v>1000</v>
      </c>
      <c r="X40" s="152"/>
      <c r="Y40" s="165">
        <f>S40</f>
        <v>1000</v>
      </c>
      <c r="Z40" s="77"/>
      <c r="AA40" s="165">
        <f>S40</f>
        <v>1000</v>
      </c>
      <c r="AB40" s="152"/>
      <c r="AC40" s="165">
        <f>S40</f>
        <v>1000</v>
      </c>
      <c r="AD40" s="152"/>
      <c r="AE40" s="165">
        <f>S40</f>
        <v>1000</v>
      </c>
      <c r="AF40" s="152"/>
      <c r="AG40" s="165">
        <f>S40</f>
        <v>1000</v>
      </c>
      <c r="AK40" s="305" t="s">
        <v>148</v>
      </c>
      <c r="AL40" s="1"/>
      <c r="AM40" s="1"/>
      <c r="AN40" s="1"/>
      <c r="AO40" s="1"/>
      <c r="AP40" s="1"/>
      <c r="AQ40" s="1"/>
      <c r="AR40" s="1"/>
      <c r="AS40" s="1"/>
      <c r="AT40" s="1"/>
    </row>
    <row r="41" spans="1:46" ht="20.100000000000001" customHeight="1" thickBot="1">
      <c r="C41" s="55" t="s">
        <v>56</v>
      </c>
      <c r="E41" s="158"/>
      <c r="F41" s="160"/>
      <c r="G41" s="158"/>
      <c r="H41" s="160"/>
      <c r="I41" s="147"/>
      <c r="J41" s="160"/>
      <c r="K41" s="158">
        <f>E41+G41</f>
        <v>0</v>
      </c>
      <c r="L41" s="20"/>
      <c r="M41" s="158">
        <f>G41+E41</f>
        <v>0</v>
      </c>
      <c r="N41" s="160"/>
      <c r="O41" s="147"/>
      <c r="P41" s="160"/>
      <c r="Q41" s="188" t="s">
        <v>31</v>
      </c>
      <c r="R41" s="149"/>
      <c r="S41" s="189">
        <f>SUM(S38:S40)</f>
        <v>3381.7152000000001</v>
      </c>
      <c r="T41" s="77"/>
      <c r="U41" s="189">
        <f>S41</f>
        <v>3381.7152000000001</v>
      </c>
      <c r="V41" s="77"/>
      <c r="W41" s="189">
        <f>S41</f>
        <v>3381.7152000000001</v>
      </c>
      <c r="X41" s="152"/>
      <c r="Y41" s="189">
        <f>S41</f>
        <v>3381.7152000000001</v>
      </c>
      <c r="Z41" s="77"/>
      <c r="AA41" s="189">
        <f>S41</f>
        <v>3381.7152000000001</v>
      </c>
      <c r="AB41" s="152"/>
      <c r="AC41" s="189">
        <f>S41</f>
        <v>3381.7152000000001</v>
      </c>
      <c r="AD41" s="152"/>
      <c r="AE41" s="189">
        <f>S41</f>
        <v>3381.7152000000001</v>
      </c>
      <c r="AF41" s="152"/>
      <c r="AG41" s="189">
        <f>S41</f>
        <v>3381.7152000000001</v>
      </c>
      <c r="AK41" s="305" t="s">
        <v>129</v>
      </c>
      <c r="AL41" s="1"/>
      <c r="AM41" s="1"/>
      <c r="AN41" s="1"/>
      <c r="AO41" s="1"/>
      <c r="AP41" s="1"/>
      <c r="AQ41" s="1"/>
      <c r="AR41" s="1"/>
      <c r="AS41" s="1"/>
      <c r="AT41" s="1"/>
    </row>
    <row r="42" spans="1:46" ht="20.100000000000001" customHeight="1" thickBot="1">
      <c r="C42" s="190" t="s">
        <v>57</v>
      </c>
      <c r="E42" s="191"/>
      <c r="F42" s="160"/>
      <c r="G42" s="191"/>
      <c r="H42" s="160"/>
      <c r="I42" s="147"/>
      <c r="J42" s="160"/>
      <c r="K42" s="192">
        <f>E42+G42</f>
        <v>0</v>
      </c>
      <c r="L42" s="20"/>
      <c r="M42" s="192">
        <f>G42+E42</f>
        <v>0</v>
      </c>
      <c r="N42" s="160"/>
      <c r="O42" s="193"/>
      <c r="P42" s="160"/>
      <c r="Q42" s="194"/>
      <c r="R42" s="149"/>
      <c r="S42" s="77"/>
      <c r="T42" s="77"/>
      <c r="U42" s="77"/>
      <c r="V42" s="77"/>
      <c r="W42" s="77"/>
      <c r="X42" s="152"/>
      <c r="Y42" s="77"/>
      <c r="Z42" s="77"/>
      <c r="AA42" s="77"/>
      <c r="AB42" s="152"/>
      <c r="AC42" s="77"/>
      <c r="AD42" s="152"/>
      <c r="AE42" s="77"/>
      <c r="AF42" s="152"/>
      <c r="AG42" s="77"/>
      <c r="AH42" s="195"/>
      <c r="AK42" s="305" t="s">
        <v>130</v>
      </c>
      <c r="AL42" s="1"/>
      <c r="AM42" s="1"/>
      <c r="AN42" s="1"/>
      <c r="AO42" s="1"/>
      <c r="AP42" s="1"/>
      <c r="AQ42" s="1"/>
      <c r="AR42" s="1"/>
      <c r="AS42" s="1"/>
      <c r="AT42" s="1"/>
    </row>
    <row r="43" spans="1:46" ht="20.100000000000001" customHeight="1" thickBot="1">
      <c r="C43" s="196" t="s">
        <v>87</v>
      </c>
      <c r="E43" s="197">
        <f>SUM(E27:E36)-E39-E40-E41-E42</f>
        <v>0</v>
      </c>
      <c r="F43" s="160"/>
      <c r="G43" s="197">
        <f>SUM(G27:G36)-G39-G40-G41-G42</f>
        <v>0</v>
      </c>
      <c r="H43" s="160"/>
      <c r="I43" s="193">
        <f>SUM(I27:I36)-I39-I40-I41-I42</f>
        <v>0</v>
      </c>
      <c r="J43" s="160"/>
      <c r="K43" s="197">
        <f>SUM(K27:K38)-K39-K40-K41-K42</f>
        <v>0</v>
      </c>
      <c r="L43" s="198"/>
      <c r="M43" s="197">
        <f t="shared" ref="M43" si="6">SUM(M27:M38)-M39-M40-M41-M42</f>
        <v>0</v>
      </c>
      <c r="N43" s="160"/>
      <c r="O43" s="147"/>
      <c r="P43" s="160"/>
      <c r="Q43" s="199" t="s">
        <v>23</v>
      </c>
      <c r="R43" s="149"/>
      <c r="S43" s="183">
        <f>S41+S34</f>
        <v>10875.378200000001</v>
      </c>
      <c r="T43" s="77"/>
      <c r="U43" s="183">
        <f>U41+U34</f>
        <v>18375.378199999999</v>
      </c>
      <c r="V43" s="77"/>
      <c r="W43" s="183">
        <f>W41+W34</f>
        <v>18375.378199999999</v>
      </c>
      <c r="X43" s="152"/>
      <c r="Y43" s="183">
        <f>Y41+Y34</f>
        <v>11875.378200000001</v>
      </c>
      <c r="Z43" s="77"/>
      <c r="AA43" s="183">
        <f>AA41+AA34</f>
        <v>14375.378200000001</v>
      </c>
      <c r="AB43" s="152"/>
      <c r="AC43" s="183">
        <f>AC41+AC34</f>
        <v>10125.378200000001</v>
      </c>
      <c r="AD43" s="152"/>
      <c r="AE43" s="183">
        <f>AE41+AE34</f>
        <v>15875.378200000001</v>
      </c>
      <c r="AF43" s="152"/>
      <c r="AG43" s="183">
        <f>AG41+AG34</f>
        <v>10875.378200000001</v>
      </c>
      <c r="AH43" s="87"/>
      <c r="AK43" s="305" t="s">
        <v>131</v>
      </c>
      <c r="AL43" s="1"/>
      <c r="AM43" s="1"/>
      <c r="AN43" s="1"/>
      <c r="AO43" s="1"/>
      <c r="AP43" s="1"/>
      <c r="AQ43" s="1"/>
      <c r="AR43" s="1"/>
      <c r="AS43" s="1"/>
      <c r="AT43" s="1"/>
    </row>
    <row r="44" spans="1:46" ht="20.100000000000001" customHeight="1" thickBot="1">
      <c r="C44" s="6"/>
      <c r="E44" s="193"/>
      <c r="F44" s="160"/>
      <c r="G44" s="193"/>
      <c r="H44" s="160"/>
      <c r="I44" s="193"/>
      <c r="J44" s="160"/>
      <c r="K44" s="193"/>
      <c r="L44" s="160"/>
      <c r="M44" s="193"/>
      <c r="N44" s="160"/>
      <c r="O44" s="147"/>
      <c r="P44" s="160"/>
      <c r="Q44" s="118" t="s">
        <v>77</v>
      </c>
      <c r="R44" s="149"/>
      <c r="S44" s="186">
        <f>S11+W23+AA11</f>
        <v>100000</v>
      </c>
      <c r="T44" s="77"/>
      <c r="U44" s="165">
        <f>S11+AA11+W23</f>
        <v>100000</v>
      </c>
      <c r="V44" s="77"/>
      <c r="W44" s="165">
        <f>S11+W23+AA11</f>
        <v>100000</v>
      </c>
      <c r="X44" s="152"/>
      <c r="Y44" s="165">
        <f>S11+AA11+W23</f>
        <v>100000</v>
      </c>
      <c r="Z44" s="77"/>
      <c r="AA44" s="165">
        <f>S11+W23+AA11</f>
        <v>100000</v>
      </c>
      <c r="AB44" s="152"/>
      <c r="AC44" s="165">
        <f>S11+W23+AA11</f>
        <v>100000</v>
      </c>
      <c r="AD44" s="152"/>
      <c r="AE44" s="165">
        <f>S11+W23+AA11</f>
        <v>100000</v>
      </c>
      <c r="AF44" s="152"/>
      <c r="AG44" s="165">
        <f>S11+W23+AA11</f>
        <v>100000</v>
      </c>
      <c r="AH44" s="87"/>
      <c r="AK44" s="306" t="s">
        <v>149</v>
      </c>
      <c r="AL44" s="303"/>
      <c r="AM44" s="304"/>
      <c r="AN44" s="1"/>
      <c r="AO44" s="1"/>
      <c r="AP44" s="1"/>
      <c r="AQ44" s="1"/>
      <c r="AR44" s="1"/>
      <c r="AS44" s="1"/>
      <c r="AT44" s="1"/>
    </row>
    <row r="45" spans="1:46" ht="20.100000000000001" customHeight="1" thickBot="1">
      <c r="C45" s="201" t="s">
        <v>98</v>
      </c>
      <c r="D45" s="2"/>
      <c r="E45" s="193"/>
      <c r="F45" s="160"/>
      <c r="G45" s="193"/>
      <c r="H45" s="160"/>
      <c r="I45" s="193"/>
      <c r="J45" s="160"/>
      <c r="K45" s="202">
        <f>K43*40%</f>
        <v>0</v>
      </c>
      <c r="L45" s="160"/>
      <c r="M45" s="202">
        <f>M43*40%</f>
        <v>0</v>
      </c>
      <c r="N45" s="160"/>
      <c r="O45" s="147"/>
      <c r="P45" s="160"/>
      <c r="Q45" s="188" t="s">
        <v>22</v>
      </c>
      <c r="R45" s="149"/>
      <c r="S45" s="203">
        <f>SUM(S43:S44)</f>
        <v>110875.37820000001</v>
      </c>
      <c r="T45" s="87"/>
      <c r="U45" s="203">
        <f>SUM(U43:U44)</f>
        <v>118375.37820000001</v>
      </c>
      <c r="V45" s="87"/>
      <c r="W45" s="203">
        <f>SUM(W43:W44)</f>
        <v>118375.37820000001</v>
      </c>
      <c r="X45" s="87"/>
      <c r="Y45" s="203">
        <f>SUM(Y43:Y44)</f>
        <v>111875.37820000001</v>
      </c>
      <c r="Z45" s="87"/>
      <c r="AA45" s="203">
        <f>SUM(AA43:AA44)</f>
        <v>114375.37820000001</v>
      </c>
      <c r="AB45" s="152"/>
      <c r="AC45" s="203">
        <f>SUM(AC43:AC44)</f>
        <v>110125.37820000001</v>
      </c>
      <c r="AD45" s="152"/>
      <c r="AE45" s="203">
        <f>SUM(AE43:AE44)</f>
        <v>115875.37820000001</v>
      </c>
      <c r="AF45" s="152"/>
      <c r="AG45" s="203">
        <f>SUM(AG43:AG44)</f>
        <v>110875.37820000001</v>
      </c>
      <c r="AL45" s="1"/>
      <c r="AM45" s="1"/>
      <c r="AN45" s="1"/>
      <c r="AO45" s="1"/>
      <c r="AP45" s="1"/>
      <c r="AQ45" s="1"/>
      <c r="AR45" s="1"/>
      <c r="AS45" s="1"/>
      <c r="AT45" s="1"/>
    </row>
    <row r="46" spans="1:46" ht="20.100000000000001" hidden="1" customHeight="1" thickBot="1">
      <c r="C46" s="16"/>
      <c r="D46" s="2"/>
      <c r="E46" s="193"/>
      <c r="F46" s="160"/>
      <c r="G46" s="193"/>
      <c r="H46" s="160"/>
      <c r="I46" s="193"/>
      <c r="J46" s="160"/>
      <c r="K46" s="204"/>
      <c r="L46" s="160"/>
      <c r="M46" s="193"/>
      <c r="N46" s="160"/>
      <c r="O46" s="147"/>
      <c r="P46" s="160"/>
      <c r="Q46" s="2"/>
      <c r="R46" s="15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20"/>
      <c r="AK46" s="7" t="s">
        <v>130</v>
      </c>
      <c r="AL46" s="1"/>
      <c r="AM46" s="1"/>
      <c r="AN46" s="1"/>
      <c r="AO46" s="1"/>
      <c r="AP46" s="1"/>
      <c r="AQ46" s="1"/>
      <c r="AR46" s="1"/>
      <c r="AS46" s="1"/>
      <c r="AT46" s="1"/>
    </row>
    <row r="47" spans="1:46" ht="20.100000000000001" hidden="1" customHeight="1" thickBot="1">
      <c r="D47" s="205"/>
      <c r="E47" s="206" t="s">
        <v>111</v>
      </c>
      <c r="F47" s="205"/>
      <c r="G47" s="207" t="s">
        <v>112</v>
      </c>
      <c r="H47" s="205"/>
      <c r="I47" s="207" t="s">
        <v>113</v>
      </c>
      <c r="J47" s="205"/>
      <c r="K47" s="208" t="s">
        <v>114</v>
      </c>
      <c r="L47" s="160"/>
      <c r="M47" s="209" t="s">
        <v>101</v>
      </c>
      <c r="N47" s="160"/>
      <c r="O47" s="210"/>
      <c r="P47" s="160"/>
      <c r="Q47" s="211" t="s">
        <v>135</v>
      </c>
      <c r="R47" s="149"/>
      <c r="S47" s="34">
        <f>IF(S45&lt;=S49,MAX(250,MIN(1500,S45*0.5%)),IF(S45&gt;S49,MAX(250,MIN(3500,S45*2%))))</f>
        <v>2217.507564</v>
      </c>
      <c r="T47" s="168"/>
      <c r="U47" s="34">
        <f>IF(U45&lt;=U49,MAX(250,MIN(1500,U45*0.5%)),IF(U45&gt;U49,MAX(250,MIN(3500,U45*2%))))</f>
        <v>2367.507564</v>
      </c>
      <c r="V47" s="168"/>
      <c r="W47" s="34">
        <f>IF(W45&lt;=W49,MAX(250,MIN(1500,W45*0.5%)),IF(W45&gt;W49,MAX(250,MIN(3500,W45*2%))))</f>
        <v>2367.507564</v>
      </c>
      <c r="X47" s="168"/>
      <c r="Y47" s="34">
        <f>IF(Y45&lt;=Y49,MAX(250,MIN(1500,Y45*0.5%)),IF(Y45&gt;Y49,MAX(250,MIN(3500,Y45*2%))))</f>
        <v>2237.507564</v>
      </c>
      <c r="Z47" s="168"/>
      <c r="AA47" s="34">
        <f>IF(AA45&lt;=AA49,MAX(250,MIN(1500,AA45*0.5%)),IF(AA45&gt;AA49,MAX(250,MIN(3500,AA45*2%))))</f>
        <v>2287.507564</v>
      </c>
      <c r="AB47" s="152"/>
      <c r="AC47" s="34">
        <f>IF(AC45&lt;=AC49,MAX(250,MIN(1500,AC45*0.5%)),IF(AC45&gt;AC49,MAX(250,MIN(3500,AC45*2%))))</f>
        <v>2202.507564</v>
      </c>
      <c r="AD47" s="152"/>
      <c r="AE47" s="34">
        <f>IF(AE45&lt;=AE49,MAX(250,MIN(1500,AE45*0.5%)),IF(AE45&gt;AE49,MAX(250,MIN(3500,AE45*2%))))</f>
        <v>2317.507564</v>
      </c>
      <c r="AF47" s="152"/>
      <c r="AG47" s="34">
        <f>IF(AG45&lt;=AG49,MAX(250,MIN(1500,AG45*0.5%)),IF(AG45&gt;AG49,MAX(250,MIN(3500,AG45*2%))))</f>
        <v>2217.507564</v>
      </c>
      <c r="AH47" s="212"/>
      <c r="AK47" s="7" t="s">
        <v>131</v>
      </c>
      <c r="AL47" s="1"/>
      <c r="AM47" s="1"/>
      <c r="AN47" s="1"/>
      <c r="AO47" s="1"/>
      <c r="AP47" s="1"/>
      <c r="AQ47" s="1"/>
      <c r="AR47" s="1"/>
      <c r="AS47" s="1"/>
      <c r="AT47" s="1"/>
    </row>
    <row r="48" spans="1:46" ht="20.100000000000001" hidden="1" customHeight="1">
      <c r="C48" s="213" t="s">
        <v>85</v>
      </c>
      <c r="E48" s="214"/>
      <c r="F48" s="160"/>
      <c r="G48" s="214"/>
      <c r="H48" s="160"/>
      <c r="I48" s="214"/>
      <c r="J48" s="160"/>
      <c r="K48" s="215">
        <f>M68</f>
        <v>554.6006438298906</v>
      </c>
      <c r="L48" s="160"/>
      <c r="M48" s="216">
        <f>AE66</f>
        <v>0</v>
      </c>
      <c r="N48" s="160"/>
      <c r="O48" s="147"/>
      <c r="P48" s="160"/>
      <c r="Q48" s="217" t="s">
        <v>32</v>
      </c>
      <c r="R48" s="149"/>
      <c r="S48" s="186">
        <f>S45+S47</f>
        <v>113092.88576400001</v>
      </c>
      <c r="T48" s="87"/>
      <c r="U48" s="186">
        <f>U47+U45</f>
        <v>120742.88576400001</v>
      </c>
      <c r="V48" s="87"/>
      <c r="W48" s="186">
        <f>W47+W45</f>
        <v>120742.88576400001</v>
      </c>
      <c r="X48" s="87"/>
      <c r="Y48" s="186">
        <f>Y47+Y45</f>
        <v>114112.88576400001</v>
      </c>
      <c r="Z48" s="87"/>
      <c r="AA48" s="186">
        <f>AA47+AA45</f>
        <v>116662.88576400001</v>
      </c>
      <c r="AB48" s="152"/>
      <c r="AC48" s="186">
        <f>AC47+AC45</f>
        <v>112327.88576400001</v>
      </c>
      <c r="AD48" s="152"/>
      <c r="AE48" s="186">
        <f>AE47+AE45</f>
        <v>118192.88576400001</v>
      </c>
      <c r="AF48" s="152"/>
      <c r="AG48" s="186">
        <f>AG47+AG45</f>
        <v>113092.88576400001</v>
      </c>
      <c r="AH48" s="218">
        <f>IF(AH46=0,0,AH39/AH46)</f>
        <v>0</v>
      </c>
      <c r="AK48" s="8"/>
      <c r="AL48" s="1"/>
      <c r="AM48" s="1"/>
      <c r="AN48" s="1"/>
      <c r="AO48" s="1"/>
      <c r="AP48" s="1"/>
      <c r="AQ48" s="1"/>
      <c r="AR48" s="1"/>
      <c r="AS48" s="1"/>
      <c r="AT48" s="1"/>
    </row>
    <row r="49" spans="2:46" ht="20.100000000000001" hidden="1" customHeight="1" thickBot="1">
      <c r="C49" s="219" t="s">
        <v>86</v>
      </c>
      <c r="E49" s="220"/>
      <c r="F49" s="160"/>
      <c r="G49" s="220"/>
      <c r="H49" s="160"/>
      <c r="I49" s="220"/>
      <c r="J49" s="160"/>
      <c r="K49" s="220">
        <f>K43-K48+M43</f>
        <v>-554.6006438298906</v>
      </c>
      <c r="L49" s="160"/>
      <c r="M49" s="220">
        <f>M41-M48+O41</f>
        <v>0</v>
      </c>
      <c r="N49" s="152"/>
      <c r="O49" s="152"/>
      <c r="P49" s="160"/>
      <c r="Q49" s="221" t="s">
        <v>12</v>
      </c>
      <c r="R49" s="152"/>
      <c r="S49" s="186">
        <f>S6+AA6+W15+W16+W17+W18</f>
        <v>100000</v>
      </c>
      <c r="T49" s="77"/>
      <c r="U49" s="165">
        <f>S6+AA6+W15+W16+W17+W18</f>
        <v>100000</v>
      </c>
      <c r="V49" s="77"/>
      <c r="W49" s="165">
        <f>S6+AA6+W15+W16+W17+W18</f>
        <v>100000</v>
      </c>
      <c r="X49" s="152"/>
      <c r="Y49" s="165">
        <f>S6+AA6+W15+W16+W17+W18</f>
        <v>100000</v>
      </c>
      <c r="Z49" s="77"/>
      <c r="AA49" s="165">
        <f>S6+AA6+W15+W16+W17+W18</f>
        <v>100000</v>
      </c>
      <c r="AB49" s="152"/>
      <c r="AC49" s="165">
        <f>S6+AA6+W15+W16+W17+W18</f>
        <v>100000</v>
      </c>
      <c r="AD49" s="152"/>
      <c r="AE49" s="165">
        <f>S6+AA6+W15+W16+W17+W18</f>
        <v>100000</v>
      </c>
      <c r="AF49" s="152"/>
      <c r="AG49" s="165">
        <f>S6+AA6+W15+W16+W17+W18</f>
        <v>100000</v>
      </c>
      <c r="AK49" s="8"/>
      <c r="AL49" s="1"/>
      <c r="AM49" s="1"/>
      <c r="AN49" s="1"/>
      <c r="AO49" s="1"/>
      <c r="AP49" s="1"/>
      <c r="AQ49" s="1"/>
      <c r="AR49" s="1"/>
      <c r="AS49" s="1"/>
      <c r="AT49" s="1"/>
    </row>
    <row r="50" spans="2:46" ht="20.100000000000001" hidden="1" customHeight="1" thickBot="1">
      <c r="C50" s="2"/>
      <c r="E50" s="147"/>
      <c r="F50" s="160"/>
      <c r="G50" s="147"/>
      <c r="H50" s="160"/>
      <c r="I50" s="147"/>
      <c r="J50" s="160"/>
      <c r="K50" s="147"/>
      <c r="L50" s="160"/>
      <c r="M50" s="147"/>
      <c r="N50" s="152"/>
      <c r="O50" s="152"/>
      <c r="P50" s="160"/>
      <c r="Q50" s="222" t="s">
        <v>24</v>
      </c>
      <c r="R50" s="223"/>
      <c r="S50" s="224">
        <f>IF(S49=0,0,S48/S49)</f>
        <v>1.1309288576400001</v>
      </c>
      <c r="T50" s="225"/>
      <c r="U50" s="224">
        <f>IF(U49=0,0,U48/U49)</f>
        <v>1.2074288576400001</v>
      </c>
      <c r="V50" s="226"/>
      <c r="W50" s="224">
        <f>IF(W49=0,0,W48/W49)</f>
        <v>1.2074288576400001</v>
      </c>
      <c r="X50" s="226"/>
      <c r="Y50" s="224">
        <f>IF(Y49=0,0,Y48/Y49)</f>
        <v>1.14112885764</v>
      </c>
      <c r="Z50" s="226"/>
      <c r="AA50" s="224">
        <f>IF(AA49=0,0,AA48/AA49)</f>
        <v>1.1666288576400001</v>
      </c>
      <c r="AB50" s="227"/>
      <c r="AC50" s="224">
        <f>IF(AC49=0,0,AC48/AC49)</f>
        <v>1.1232788576400001</v>
      </c>
      <c r="AD50" s="227"/>
      <c r="AE50" s="224">
        <f>IF(AE49=0,0,AE48/AE49)</f>
        <v>1.18192885764</v>
      </c>
      <c r="AF50" s="227"/>
      <c r="AG50" s="224">
        <f>IF(AG49=0,0,AG48/AG49)</f>
        <v>1.1309288576400001</v>
      </c>
      <c r="AK50" s="8"/>
      <c r="AL50" s="1"/>
      <c r="AM50" s="1"/>
      <c r="AN50" s="1"/>
      <c r="AO50" s="1"/>
      <c r="AP50" s="1"/>
      <c r="AQ50" s="1"/>
      <c r="AR50" s="1"/>
      <c r="AS50" s="1"/>
      <c r="AT50" s="1"/>
    </row>
    <row r="51" spans="2:46" ht="20.100000000000001" hidden="1" customHeight="1" thickBot="1">
      <c r="C51" s="2"/>
      <c r="E51" s="147"/>
      <c r="F51" s="160"/>
      <c r="G51" s="147"/>
      <c r="H51" s="160"/>
      <c r="I51" s="147"/>
      <c r="J51" s="160"/>
      <c r="K51" s="147"/>
      <c r="L51" s="160"/>
      <c r="M51" s="147"/>
      <c r="N51" s="152"/>
      <c r="O51" s="152"/>
      <c r="P51" s="160"/>
      <c r="Q51" s="143"/>
      <c r="R51" s="223"/>
      <c r="S51" s="228"/>
      <c r="T51" s="225"/>
      <c r="U51" s="228"/>
      <c r="V51" s="226"/>
      <c r="W51" s="228"/>
      <c r="X51" s="226"/>
      <c r="Y51" s="228"/>
      <c r="Z51" s="226"/>
      <c r="AA51" s="228"/>
      <c r="AB51" s="227"/>
      <c r="AC51" s="228"/>
      <c r="AD51" s="227"/>
      <c r="AE51" s="228"/>
      <c r="AF51" s="227"/>
      <c r="AG51" s="228"/>
      <c r="AK51" s="8"/>
      <c r="AL51" s="1"/>
      <c r="AM51" s="1"/>
      <c r="AN51" s="1"/>
      <c r="AO51" s="1"/>
      <c r="AP51" s="1"/>
      <c r="AQ51" s="1"/>
      <c r="AR51" s="1"/>
      <c r="AS51" s="1"/>
      <c r="AT51" s="1"/>
    </row>
    <row r="52" spans="2:46" ht="20.100000000000001" hidden="1" customHeight="1">
      <c r="C52" s="2"/>
      <c r="E52" s="147"/>
      <c r="F52" s="160"/>
      <c r="G52" s="147"/>
      <c r="H52" s="160"/>
      <c r="I52" s="147"/>
      <c r="J52" s="160"/>
      <c r="K52" s="147"/>
      <c r="L52" s="160"/>
      <c r="M52" s="147"/>
      <c r="N52" s="152"/>
      <c r="O52" s="152"/>
      <c r="P52" s="160"/>
      <c r="Q52" s="211" t="s">
        <v>136</v>
      </c>
      <c r="R52" s="149"/>
      <c r="S52" s="34">
        <f>CHOOSE(MATCH(S45,{0;30001;250001;500001},1),175,290,500,750)</f>
        <v>290</v>
      </c>
      <c r="T52" s="229"/>
      <c r="U52" s="34">
        <f>CHOOSE(MATCH(U45,{0;30001;250001;500001},1),175,290,500,750)</f>
        <v>290</v>
      </c>
      <c r="V52" s="229"/>
      <c r="W52" s="34">
        <f>CHOOSE(MATCH(W45,{0;30001;250001;500001},1),175,290,500,750)</f>
        <v>290</v>
      </c>
      <c r="X52" s="229"/>
      <c r="Y52" s="34">
        <f>CHOOSE(MATCH(Y45,{0;30001;250001;500001},1),175,290,500,750)</f>
        <v>290</v>
      </c>
      <c r="Z52" s="229"/>
      <c r="AA52" s="34">
        <f>CHOOSE(MATCH(AA45,{0;30001;250001;500001},1),175,290,500,750)</f>
        <v>290</v>
      </c>
      <c r="AB52" s="229"/>
      <c r="AC52" s="34">
        <f>CHOOSE(MATCH(AC45,{0;30001;250001;500001},1),175,290,500,750)</f>
        <v>290</v>
      </c>
      <c r="AD52" s="229"/>
      <c r="AE52" s="34">
        <f>CHOOSE(MATCH(AE45,{0;30001;250001;500001},1),175,290,500,750)</f>
        <v>290</v>
      </c>
      <c r="AF52" s="229"/>
      <c r="AG52" s="34">
        <f>CHOOSE(MATCH(AG45,{0;30001;250001;500001},1),175,290,500,750)</f>
        <v>290</v>
      </c>
      <c r="AK52" s="8"/>
      <c r="AL52" s="1"/>
      <c r="AM52" s="1"/>
      <c r="AN52" s="1"/>
      <c r="AO52" s="1"/>
      <c r="AP52" s="1"/>
      <c r="AQ52" s="1"/>
      <c r="AR52" s="1"/>
      <c r="AS52" s="1"/>
      <c r="AT52" s="1"/>
    </row>
    <row r="53" spans="2:46" ht="20.100000000000001" hidden="1" customHeight="1">
      <c r="C53" s="2"/>
      <c r="E53" s="147"/>
      <c r="F53" s="160"/>
      <c r="G53" s="147"/>
      <c r="H53" s="160"/>
      <c r="I53" s="147"/>
      <c r="J53" s="160"/>
      <c r="K53" s="147"/>
      <c r="L53" s="160"/>
      <c r="M53" s="147"/>
      <c r="N53" s="152"/>
      <c r="O53" s="152"/>
      <c r="P53" s="160"/>
      <c r="Q53" s="217" t="s">
        <v>32</v>
      </c>
      <c r="R53" s="149"/>
      <c r="S53" s="186">
        <f>S45+S52</f>
        <v>111165.37820000001</v>
      </c>
      <c r="T53" s="184"/>
      <c r="U53" s="186">
        <f t="shared" ref="U53:AG53" si="7">U45+U52</f>
        <v>118665.37820000001</v>
      </c>
      <c r="V53" s="184"/>
      <c r="W53" s="186">
        <f t="shared" si="7"/>
        <v>118665.37820000001</v>
      </c>
      <c r="X53" s="184"/>
      <c r="Y53" s="186">
        <f t="shared" si="7"/>
        <v>112165.37820000001</v>
      </c>
      <c r="Z53" s="184"/>
      <c r="AA53" s="186">
        <f t="shared" si="7"/>
        <v>114665.37820000001</v>
      </c>
      <c r="AB53" s="184"/>
      <c r="AC53" s="186">
        <f t="shared" si="7"/>
        <v>110415.37820000001</v>
      </c>
      <c r="AD53" s="184"/>
      <c r="AE53" s="186">
        <f t="shared" si="7"/>
        <v>116165.37820000001</v>
      </c>
      <c r="AF53" s="184"/>
      <c r="AG53" s="186">
        <f t="shared" si="7"/>
        <v>111165.37820000001</v>
      </c>
      <c r="AK53" s="8"/>
      <c r="AL53" s="1"/>
      <c r="AM53" s="1"/>
      <c r="AN53" s="1"/>
      <c r="AO53" s="1"/>
      <c r="AP53" s="1"/>
      <c r="AQ53" s="1"/>
      <c r="AR53" s="1"/>
      <c r="AS53" s="1"/>
      <c r="AT53" s="1"/>
    </row>
    <row r="54" spans="2:46" ht="20.100000000000001" hidden="1" customHeight="1">
      <c r="C54" s="2"/>
      <c r="E54" s="147"/>
      <c r="F54" s="160"/>
      <c r="G54" s="147"/>
      <c r="H54" s="160"/>
      <c r="I54" s="147"/>
      <c r="J54" s="160"/>
      <c r="K54" s="147"/>
      <c r="L54" s="160"/>
      <c r="M54" s="147"/>
      <c r="N54" s="152"/>
      <c r="O54" s="152"/>
      <c r="P54" s="160"/>
      <c r="Q54" s="221" t="s">
        <v>12</v>
      </c>
      <c r="R54" s="152"/>
      <c r="S54" s="186">
        <f>S11+AA11+W20+W21+W22+W23</f>
        <v>100000</v>
      </c>
      <c r="T54" s="77"/>
      <c r="U54" s="165">
        <f>S11+AA11+W20+W21+W22+W23</f>
        <v>100000</v>
      </c>
      <c r="V54" s="77"/>
      <c r="W54" s="165">
        <f>S11+AA11+W20+W21+W22+W23</f>
        <v>100000</v>
      </c>
      <c r="X54" s="152"/>
      <c r="Y54" s="165">
        <f>S11+AA11+W20+W21+W22+W23</f>
        <v>100000</v>
      </c>
      <c r="Z54" s="77"/>
      <c r="AA54" s="165">
        <f>S11+AA11+W20+W21+W22+W23</f>
        <v>100000</v>
      </c>
      <c r="AB54" s="152"/>
      <c r="AC54" s="165">
        <f>S11+AA11+W20+W21+W22+W23</f>
        <v>100000</v>
      </c>
      <c r="AD54" s="152"/>
      <c r="AE54" s="165">
        <f>S11+AA11+W20+W21+W22+W23</f>
        <v>100000</v>
      </c>
      <c r="AF54" s="152"/>
      <c r="AG54" s="165">
        <f>S11+AA11+W20+W21+W22+W23</f>
        <v>100000</v>
      </c>
      <c r="AK54" s="8"/>
      <c r="AL54" s="1"/>
      <c r="AM54" s="1"/>
      <c r="AN54" s="1"/>
      <c r="AO54" s="1"/>
      <c r="AP54" s="1"/>
      <c r="AQ54" s="1"/>
      <c r="AR54" s="1"/>
      <c r="AS54" s="1"/>
      <c r="AT54" s="1"/>
    </row>
    <row r="55" spans="2:46" ht="20.100000000000001" hidden="1" customHeight="1" thickBot="1">
      <c r="C55" s="2"/>
      <c r="E55" s="147"/>
      <c r="F55" s="160"/>
      <c r="G55" s="147"/>
      <c r="H55" s="160"/>
      <c r="I55" s="147"/>
      <c r="J55" s="160"/>
      <c r="K55" s="147"/>
      <c r="L55" s="160"/>
      <c r="M55" s="147"/>
      <c r="N55" s="152"/>
      <c r="O55" s="152"/>
      <c r="P55" s="160"/>
      <c r="Q55" s="222" t="s">
        <v>24</v>
      </c>
      <c r="R55" s="223"/>
      <c r="S55" s="224">
        <f>IF(S49=0,0,S53/S54)</f>
        <v>1.1116537820000001</v>
      </c>
      <c r="T55" s="225"/>
      <c r="U55" s="224">
        <f>IF(U54=0,0,U53/U54)</f>
        <v>1.186653782</v>
      </c>
      <c r="V55" s="226"/>
      <c r="W55" s="224">
        <f>IF(W54=0,0,W53/W54)</f>
        <v>1.186653782</v>
      </c>
      <c r="X55" s="226"/>
      <c r="Y55" s="224">
        <f>IF(Y54=0,0,Y53/Y54)</f>
        <v>1.1216537820000001</v>
      </c>
      <c r="Z55" s="226"/>
      <c r="AA55" s="224">
        <f>IF(AA54=0,0,AA53/AA54)</f>
        <v>1.146653782</v>
      </c>
      <c r="AB55" s="227"/>
      <c r="AC55" s="224">
        <f>IF(AC54=0,0,AC53/AC54)</f>
        <v>1.104153782</v>
      </c>
      <c r="AD55" s="227"/>
      <c r="AE55" s="224">
        <f>IF(AE54=0,0,AE53/AE54)</f>
        <v>1.1616537820000001</v>
      </c>
      <c r="AF55" s="227"/>
      <c r="AG55" s="224">
        <f>IF(AG54=0,0,AG53/AG54)</f>
        <v>1.1116537820000001</v>
      </c>
      <c r="AK55" s="8"/>
      <c r="AL55" s="1"/>
      <c r="AM55" s="1"/>
      <c r="AN55" s="1"/>
      <c r="AO55" s="1"/>
      <c r="AP55" s="1"/>
      <c r="AQ55" s="1"/>
      <c r="AR55" s="1"/>
      <c r="AS55" s="1"/>
      <c r="AT55" s="1"/>
    </row>
    <row r="56" spans="2:46" ht="20.100000000000001" hidden="1" customHeight="1">
      <c r="C56" s="2"/>
      <c r="E56" s="147"/>
      <c r="F56" s="160"/>
      <c r="G56" s="147"/>
      <c r="H56" s="160"/>
      <c r="I56" s="147"/>
      <c r="J56" s="160"/>
      <c r="K56" s="147"/>
      <c r="L56" s="160"/>
      <c r="M56" s="147"/>
      <c r="N56" s="152"/>
      <c r="O56" s="152"/>
      <c r="P56" s="160"/>
      <c r="Q56" s="143"/>
      <c r="R56" s="223"/>
      <c r="S56" s="228"/>
      <c r="T56" s="225"/>
      <c r="U56" s="228"/>
      <c r="V56" s="226"/>
      <c r="W56" s="228"/>
      <c r="X56" s="226"/>
      <c r="Y56" s="228"/>
      <c r="Z56" s="226"/>
      <c r="AA56" s="228"/>
      <c r="AB56" s="227"/>
      <c r="AC56" s="228"/>
      <c r="AD56" s="227"/>
      <c r="AE56" s="228"/>
      <c r="AF56" s="227"/>
      <c r="AG56" s="228"/>
      <c r="AK56" s="8"/>
      <c r="AL56" s="1"/>
      <c r="AM56" s="1"/>
      <c r="AN56" s="1"/>
      <c r="AO56" s="1"/>
      <c r="AP56" s="1"/>
      <c r="AQ56" s="1"/>
      <c r="AR56" s="1"/>
      <c r="AS56" s="1"/>
      <c r="AT56" s="1"/>
    </row>
    <row r="57" spans="2:46" ht="20.100000000000001" hidden="1" customHeight="1" thickBot="1">
      <c r="C57" s="2"/>
      <c r="E57" s="147"/>
      <c r="F57" s="160"/>
      <c r="G57" s="147"/>
      <c r="H57" s="160"/>
      <c r="I57" s="147"/>
      <c r="J57" s="160"/>
      <c r="K57" s="147"/>
      <c r="L57" s="160"/>
      <c r="M57" s="147"/>
      <c r="N57" s="152"/>
      <c r="O57" s="152"/>
      <c r="P57" s="160"/>
      <c r="Q57" s="143"/>
      <c r="R57" s="223"/>
      <c r="S57" s="228"/>
      <c r="T57" s="225"/>
      <c r="U57" s="228"/>
      <c r="V57" s="226"/>
      <c r="W57" s="228"/>
      <c r="X57" s="226"/>
      <c r="Y57" s="228"/>
      <c r="Z57" s="226"/>
      <c r="AA57" s="228"/>
      <c r="AB57" s="227"/>
      <c r="AC57" s="228"/>
      <c r="AD57" s="227"/>
      <c r="AE57" s="228"/>
      <c r="AF57" s="227"/>
      <c r="AG57" s="228"/>
      <c r="AK57" s="8"/>
      <c r="AL57" s="1"/>
      <c r="AM57" s="1"/>
      <c r="AN57" s="1"/>
      <c r="AO57" s="1"/>
      <c r="AP57" s="1"/>
      <c r="AQ57" s="1"/>
      <c r="AR57" s="1"/>
      <c r="AS57" s="1"/>
      <c r="AT57" s="1"/>
    </row>
    <row r="58" spans="2:46" s="91" customFormat="1" ht="30" hidden="1" customHeight="1" thickBot="1">
      <c r="B58" s="2"/>
      <c r="C58" s="230" t="s">
        <v>120</v>
      </c>
      <c r="D58" s="231"/>
      <c r="E58" s="232" t="s">
        <v>116</v>
      </c>
      <c r="F58" s="233"/>
      <c r="G58" s="232" t="s">
        <v>115</v>
      </c>
      <c r="H58" s="15"/>
      <c r="I58" s="232" t="s">
        <v>117</v>
      </c>
      <c r="J58" s="2"/>
      <c r="K58" s="11"/>
      <c r="L58" s="234"/>
      <c r="M58" s="2"/>
      <c r="N58" s="235"/>
      <c r="O58" s="11"/>
      <c r="P58" s="160"/>
      <c r="Q58" s="236" t="s">
        <v>119</v>
      </c>
      <c r="R58" s="231"/>
      <c r="S58" s="237" t="s">
        <v>116</v>
      </c>
      <c r="T58" s="233"/>
      <c r="U58" s="237" t="s">
        <v>115</v>
      </c>
      <c r="V58" s="15"/>
      <c r="W58" s="237" t="s">
        <v>117</v>
      </c>
      <c r="X58" s="2"/>
      <c r="Y58" s="11"/>
      <c r="Z58" s="234"/>
      <c r="AA58" s="2"/>
      <c r="AB58" s="235"/>
      <c r="AC58" s="11"/>
      <c r="AD58" s="238"/>
      <c r="AE58" s="239"/>
      <c r="AF58" s="240"/>
      <c r="AG58" s="226"/>
      <c r="AH58" s="1"/>
      <c r="AI58" s="1"/>
      <c r="AJ58" s="2"/>
      <c r="AK58" s="9"/>
      <c r="AL58" s="2"/>
      <c r="AM58" s="2"/>
      <c r="AN58" s="2"/>
      <c r="AO58" s="2"/>
      <c r="AP58" s="2"/>
      <c r="AQ58" s="2"/>
      <c r="AR58" s="2"/>
      <c r="AS58" s="2"/>
      <c r="AT58" s="2"/>
    </row>
    <row r="59" spans="2:46" s="2" customFormat="1" ht="9.9499999999999993" hidden="1" customHeight="1" thickBot="1">
      <c r="C59" s="143"/>
      <c r="D59" s="241"/>
      <c r="E59" s="241"/>
      <c r="F59" s="241"/>
      <c r="G59" s="241"/>
      <c r="I59" s="235"/>
      <c r="J59" s="235"/>
      <c r="K59" s="104"/>
      <c r="L59" s="234"/>
      <c r="M59" s="239"/>
      <c r="N59" s="235"/>
      <c r="O59" s="235"/>
      <c r="P59" s="235"/>
      <c r="Q59" s="143"/>
      <c r="R59" s="241"/>
      <c r="S59" s="241"/>
      <c r="T59" s="241"/>
      <c r="U59" s="241"/>
      <c r="W59" s="235"/>
      <c r="X59" s="235"/>
      <c r="Y59" s="104"/>
      <c r="Z59" s="234"/>
      <c r="AA59" s="239"/>
      <c r="AB59" s="235"/>
      <c r="AC59" s="235"/>
      <c r="AD59" s="235"/>
      <c r="AH59" s="1"/>
      <c r="AI59" s="1"/>
      <c r="AK59" s="9"/>
    </row>
    <row r="60" spans="2:46" s="2" customFormat="1" ht="24.95" hidden="1" customHeight="1" thickBot="1">
      <c r="C60" s="242" t="s">
        <v>88</v>
      </c>
      <c r="D60" s="243"/>
      <c r="E60" s="242" t="s">
        <v>78</v>
      </c>
      <c r="F60" s="244"/>
      <c r="G60" s="242" t="s">
        <v>78</v>
      </c>
      <c r="H60" s="104"/>
      <c r="I60" s="242" t="s">
        <v>78</v>
      </c>
      <c r="J60" s="235"/>
      <c r="K60" s="245" t="s">
        <v>79</v>
      </c>
      <c r="L60" s="104"/>
      <c r="M60" s="239"/>
      <c r="N60" s="235"/>
      <c r="O60" s="246" t="s">
        <v>84</v>
      </c>
      <c r="P60" s="235"/>
      <c r="Q60" s="247" t="s">
        <v>88</v>
      </c>
      <c r="R60" s="243"/>
      <c r="S60" s="247" t="s">
        <v>78</v>
      </c>
      <c r="T60" s="244"/>
      <c r="U60" s="247" t="s">
        <v>78</v>
      </c>
      <c r="V60" s="104"/>
      <c r="W60" s="247" t="s">
        <v>78</v>
      </c>
      <c r="X60" s="235"/>
      <c r="Y60" s="248" t="s">
        <v>79</v>
      </c>
      <c r="Z60" s="104"/>
      <c r="AA60" s="239"/>
      <c r="AB60" s="235"/>
      <c r="AC60" s="249" t="s">
        <v>84</v>
      </c>
      <c r="AD60" s="104"/>
      <c r="AE60" s="187"/>
      <c r="AH60" s="1"/>
      <c r="AI60" s="1"/>
      <c r="AK60" s="9"/>
    </row>
    <row r="61" spans="2:46" s="2" customFormat="1" ht="20.100000000000001" hidden="1" customHeight="1" thickBot="1">
      <c r="C61" s="23"/>
      <c r="D61" s="243"/>
      <c r="E61" s="23"/>
      <c r="F61" s="244"/>
      <c r="G61" s="23"/>
      <c r="H61" s="104"/>
      <c r="I61" s="23"/>
      <c r="J61" s="235"/>
      <c r="K61" s="238"/>
      <c r="L61" s="104"/>
      <c r="M61" s="239"/>
      <c r="N61" s="235"/>
      <c r="O61" s="250"/>
      <c r="P61" s="235"/>
      <c r="Q61" s="23"/>
      <c r="R61" s="243"/>
      <c r="S61" s="23"/>
      <c r="T61" s="244"/>
      <c r="U61" s="23"/>
      <c r="V61" s="104"/>
      <c r="W61" s="23"/>
      <c r="X61" s="235"/>
      <c r="Y61" s="238"/>
      <c r="Z61" s="104"/>
      <c r="AA61" s="239"/>
      <c r="AB61" s="235"/>
      <c r="AC61" s="250"/>
      <c r="AD61" s="104"/>
      <c r="AE61" s="187"/>
      <c r="AK61" s="9"/>
    </row>
    <row r="62" spans="2:46" s="239" customFormat="1" ht="20.100000000000001" hidden="1" customHeight="1" thickBot="1">
      <c r="C62" s="251" t="s">
        <v>89</v>
      </c>
      <c r="D62" s="243"/>
      <c r="E62" s="162">
        <v>3.6799999999999999E-2</v>
      </c>
      <c r="F62" s="252"/>
      <c r="G62" s="162">
        <v>3.8899999999999997E-2</v>
      </c>
      <c r="H62" s="104"/>
      <c r="I62" s="162">
        <v>4.0899999999999999E-2</v>
      </c>
      <c r="J62" s="235"/>
      <c r="K62" s="253" t="s">
        <v>11</v>
      </c>
      <c r="L62" s="252"/>
      <c r="M62" s="254">
        <f>K43+M43</f>
        <v>0</v>
      </c>
      <c r="N62" s="235"/>
      <c r="O62" s="254">
        <f>M62</f>
        <v>0</v>
      </c>
      <c r="P62" s="104"/>
      <c r="Q62" s="251" t="s">
        <v>89</v>
      </c>
      <c r="R62" s="243"/>
      <c r="S62" s="162">
        <v>3.6799999999999999E-2</v>
      </c>
      <c r="T62" s="252"/>
      <c r="U62" s="162">
        <v>3.8899999999999997E-2</v>
      </c>
      <c r="V62" s="104"/>
      <c r="W62" s="162">
        <v>4.0899999999999999E-2</v>
      </c>
      <c r="X62" s="235"/>
      <c r="Y62" s="253" t="s">
        <v>11</v>
      </c>
      <c r="Z62" s="252"/>
      <c r="AA62" s="254">
        <f>Y43+AA43</f>
        <v>26250.756400000002</v>
      </c>
      <c r="AB62" s="235"/>
      <c r="AC62" s="254">
        <f>AA62</f>
        <v>26250.756400000002</v>
      </c>
      <c r="AD62" s="104"/>
      <c r="AE62" s="187"/>
      <c r="AF62" s="187"/>
      <c r="AG62" s="187"/>
      <c r="AH62" s="2"/>
      <c r="AI62" s="2"/>
      <c r="AJ62" s="2"/>
      <c r="AK62" s="9"/>
      <c r="AL62" s="2"/>
      <c r="AM62" s="2"/>
      <c r="AN62" s="2"/>
      <c r="AO62" s="2"/>
      <c r="AP62" s="2"/>
      <c r="AQ62" s="2"/>
      <c r="AR62" s="2"/>
      <c r="AS62" s="2"/>
    </row>
    <row r="63" spans="2:46" s="239" customFormat="1" ht="20.100000000000001" hidden="1" customHeight="1" thickBot="1">
      <c r="C63" s="255" t="s">
        <v>90</v>
      </c>
      <c r="D63" s="243"/>
      <c r="E63" s="256">
        <v>3.8399999999999997E-2</v>
      </c>
      <c r="F63" s="244"/>
      <c r="G63" s="256">
        <v>4.0399999999999998E-2</v>
      </c>
      <c r="H63" s="104"/>
      <c r="I63" s="256">
        <v>4.2500000000000003E-2</v>
      </c>
      <c r="J63" s="235"/>
      <c r="K63" s="257"/>
      <c r="L63" s="252"/>
      <c r="M63" s="172"/>
      <c r="N63" s="235"/>
      <c r="O63" s="172"/>
      <c r="P63" s="104"/>
      <c r="Q63" s="255" t="s">
        <v>90</v>
      </c>
      <c r="R63" s="243"/>
      <c r="S63" s="256">
        <v>3.8399999999999997E-2</v>
      </c>
      <c r="T63" s="244"/>
      <c r="U63" s="256">
        <v>4.0399999999999998E-2</v>
      </c>
      <c r="V63" s="104"/>
      <c r="W63" s="256">
        <v>4.2500000000000003E-2</v>
      </c>
      <c r="X63" s="235"/>
      <c r="Y63" s="257"/>
      <c r="Z63" s="252"/>
      <c r="AA63" s="172"/>
      <c r="AB63" s="235"/>
      <c r="AC63" s="172"/>
      <c r="AD63" s="19"/>
      <c r="AE63" s="187"/>
      <c r="AF63" s="187"/>
      <c r="AG63" s="187"/>
      <c r="AH63" s="2"/>
      <c r="AI63" s="2"/>
      <c r="AJ63" s="2"/>
      <c r="AK63" s="9"/>
      <c r="AL63" s="2"/>
      <c r="AM63" s="2"/>
      <c r="AN63" s="2"/>
      <c r="AO63" s="2"/>
      <c r="AP63" s="2"/>
      <c r="AQ63" s="2"/>
      <c r="AR63" s="2"/>
      <c r="AS63" s="2"/>
    </row>
    <row r="64" spans="2:46" s="239" customFormat="1" ht="20.100000000000001" hidden="1" customHeight="1">
      <c r="C64" s="255" t="s">
        <v>91</v>
      </c>
      <c r="D64" s="243"/>
      <c r="E64" s="256">
        <v>3.8399999999999997E-2</v>
      </c>
      <c r="F64" s="258"/>
      <c r="G64" s="256">
        <v>4.0399999999999998E-2</v>
      </c>
      <c r="H64" s="2"/>
      <c r="I64" s="256">
        <v>4.2500000000000003E-2</v>
      </c>
      <c r="J64" s="20"/>
      <c r="K64" s="259" t="s">
        <v>99</v>
      </c>
      <c r="L64" s="252"/>
      <c r="M64" s="111">
        <v>100000</v>
      </c>
      <c r="N64" s="198"/>
      <c r="O64" s="111">
        <f>M64</f>
        <v>100000</v>
      </c>
      <c r="P64" s="19"/>
      <c r="Q64" s="255" t="s">
        <v>91</v>
      </c>
      <c r="R64" s="243"/>
      <c r="S64" s="256">
        <v>3.8399999999999997E-2</v>
      </c>
      <c r="T64" s="258"/>
      <c r="U64" s="256">
        <v>4.0399999999999998E-2</v>
      </c>
      <c r="V64" s="2"/>
      <c r="W64" s="256">
        <v>4.2500000000000003E-2</v>
      </c>
      <c r="X64" s="20"/>
      <c r="Y64" s="259" t="s">
        <v>99</v>
      </c>
      <c r="Z64" s="252"/>
      <c r="AA64" s="111">
        <v>100000</v>
      </c>
      <c r="AB64" s="198"/>
      <c r="AC64" s="111">
        <f>AA64</f>
        <v>100000</v>
      </c>
      <c r="AD64" s="2"/>
      <c r="AE64" s="187"/>
      <c r="AF64" s="187"/>
      <c r="AG64" s="187"/>
      <c r="AH64" s="2"/>
      <c r="AI64" s="2"/>
      <c r="AJ64" s="2"/>
      <c r="AK64" s="9"/>
      <c r="AL64" s="2"/>
      <c r="AM64" s="2"/>
      <c r="AN64" s="2"/>
      <c r="AO64" s="2"/>
      <c r="AP64" s="2"/>
      <c r="AQ64" s="2"/>
      <c r="AR64" s="2"/>
      <c r="AS64" s="2"/>
    </row>
    <row r="65" spans="3:45" s="239" customFormat="1" ht="20.100000000000001" hidden="1" customHeight="1" thickBot="1">
      <c r="C65" s="255" t="s">
        <v>92</v>
      </c>
      <c r="D65" s="260"/>
      <c r="E65" s="256">
        <v>3.9899999999999998E-2</v>
      </c>
      <c r="F65" s="261"/>
      <c r="G65" s="256">
        <v>4.2000000000000003E-2</v>
      </c>
      <c r="H65" s="235"/>
      <c r="I65" s="256">
        <v>4.41E-2</v>
      </c>
      <c r="J65" s="235"/>
      <c r="K65" s="188" t="s">
        <v>80</v>
      </c>
      <c r="L65" s="235"/>
      <c r="M65" s="123">
        <v>0.03</v>
      </c>
      <c r="N65" s="235"/>
      <c r="O65" s="123">
        <f>M65+3%</f>
        <v>0.06</v>
      </c>
      <c r="P65" s="2"/>
      <c r="Q65" s="255" t="s">
        <v>92</v>
      </c>
      <c r="R65" s="260"/>
      <c r="S65" s="256">
        <v>3.9899999999999998E-2</v>
      </c>
      <c r="T65" s="261"/>
      <c r="U65" s="256">
        <v>4.2000000000000003E-2</v>
      </c>
      <c r="V65" s="235"/>
      <c r="W65" s="256">
        <v>4.41E-2</v>
      </c>
      <c r="X65" s="235"/>
      <c r="Y65" s="188" t="s">
        <v>80</v>
      </c>
      <c r="Z65" s="235"/>
      <c r="AA65" s="123">
        <v>0.03</v>
      </c>
      <c r="AB65" s="235"/>
      <c r="AC65" s="123">
        <f>AA65+3%</f>
        <v>0.06</v>
      </c>
      <c r="AD65" s="235"/>
      <c r="AE65" s="187"/>
      <c r="AF65" s="187"/>
      <c r="AG65" s="187"/>
      <c r="AH65" s="2"/>
      <c r="AI65" s="2"/>
      <c r="AJ65" s="2"/>
      <c r="AK65" s="9"/>
      <c r="AL65" s="2"/>
      <c r="AM65" s="2"/>
      <c r="AN65" s="2"/>
      <c r="AO65" s="2"/>
      <c r="AP65" s="2"/>
      <c r="AQ65" s="2"/>
      <c r="AR65" s="2"/>
      <c r="AS65" s="2"/>
    </row>
    <row r="66" spans="3:45" s="239" customFormat="1" ht="20.100000000000001" hidden="1" customHeight="1" thickBot="1">
      <c r="C66" s="255" t="s">
        <v>93</v>
      </c>
      <c r="D66" s="243"/>
      <c r="E66" s="256">
        <v>3.9899999999999998E-2</v>
      </c>
      <c r="F66" s="262"/>
      <c r="G66" s="256">
        <v>4.2000000000000003E-2</v>
      </c>
      <c r="H66" s="235"/>
      <c r="I66" s="256">
        <v>4.41E-2</v>
      </c>
      <c r="J66" s="235"/>
      <c r="K66" s="104"/>
      <c r="L66" s="235"/>
      <c r="M66" s="84"/>
      <c r="N66" s="235"/>
      <c r="O66" s="84"/>
      <c r="P66" s="235"/>
      <c r="Q66" s="255" t="s">
        <v>93</v>
      </c>
      <c r="R66" s="243"/>
      <c r="S66" s="256">
        <v>3.9899999999999998E-2</v>
      </c>
      <c r="T66" s="262"/>
      <c r="U66" s="256">
        <v>4.2000000000000003E-2</v>
      </c>
      <c r="V66" s="235"/>
      <c r="W66" s="256">
        <v>4.41E-2</v>
      </c>
      <c r="X66" s="235"/>
      <c r="Y66" s="104"/>
      <c r="Z66" s="235"/>
      <c r="AA66" s="84"/>
      <c r="AB66" s="235"/>
      <c r="AC66" s="84"/>
      <c r="AD66" s="235"/>
      <c r="AE66" s="187"/>
      <c r="AF66" s="187"/>
      <c r="AG66" s="187"/>
      <c r="AH66" s="2"/>
      <c r="AI66" s="2"/>
      <c r="AJ66" s="2"/>
      <c r="AK66" s="9"/>
      <c r="AL66" s="2"/>
      <c r="AM66" s="2"/>
      <c r="AN66" s="2"/>
      <c r="AO66" s="2"/>
      <c r="AP66" s="2"/>
      <c r="AQ66" s="2"/>
      <c r="AR66" s="2"/>
      <c r="AS66" s="2"/>
    </row>
    <row r="67" spans="3:45" s="239" customFormat="1" ht="20.100000000000001" hidden="1" customHeight="1" thickBot="1">
      <c r="C67" s="255" t="s">
        <v>94</v>
      </c>
      <c r="D67" s="243"/>
      <c r="E67" s="256">
        <v>4.0899999999999999E-2</v>
      </c>
      <c r="F67" s="262"/>
      <c r="G67" s="256">
        <v>4.2999999999999997E-2</v>
      </c>
      <c r="H67" s="235"/>
      <c r="I67" s="263">
        <v>4.5100000000000001E-2</v>
      </c>
      <c r="J67" s="235"/>
      <c r="K67" s="211" t="s">
        <v>104</v>
      </c>
      <c r="L67" s="235"/>
      <c r="M67" s="264">
        <v>20</v>
      </c>
      <c r="N67" s="235"/>
      <c r="O67" s="265">
        <f>M67</f>
        <v>20</v>
      </c>
      <c r="P67" s="235"/>
      <c r="Q67" s="255" t="s">
        <v>94</v>
      </c>
      <c r="R67" s="243"/>
      <c r="S67" s="256">
        <v>4.0899999999999999E-2</v>
      </c>
      <c r="T67" s="262"/>
      <c r="U67" s="256">
        <v>4.2999999999999997E-2</v>
      </c>
      <c r="V67" s="235"/>
      <c r="W67" s="263">
        <v>4.5100000000000001E-2</v>
      </c>
      <c r="X67" s="235"/>
      <c r="Y67" s="211" t="s">
        <v>104</v>
      </c>
      <c r="Z67" s="235"/>
      <c r="AA67" s="264">
        <v>20</v>
      </c>
      <c r="AB67" s="235"/>
      <c r="AC67" s="265">
        <f>AA67</f>
        <v>20</v>
      </c>
      <c r="AD67" s="235"/>
      <c r="AE67" s="2"/>
      <c r="AF67" s="187"/>
      <c r="AG67" s="187"/>
      <c r="AH67" s="2"/>
      <c r="AI67" s="2"/>
      <c r="AJ67" s="2"/>
      <c r="AK67" s="9"/>
      <c r="AL67" s="2"/>
      <c r="AM67" s="2"/>
      <c r="AN67" s="2"/>
      <c r="AO67" s="2"/>
      <c r="AP67" s="2"/>
      <c r="AQ67" s="2"/>
      <c r="AR67" s="2"/>
      <c r="AS67" s="2"/>
    </row>
    <row r="68" spans="3:45" s="239" customFormat="1" ht="20.100000000000001" hidden="1" customHeight="1" thickBot="1">
      <c r="C68" s="255" t="s">
        <v>95</v>
      </c>
      <c r="D68" s="243"/>
      <c r="E68" s="256">
        <v>4.2000000000000003E-2</v>
      </c>
      <c r="F68" s="262"/>
      <c r="G68" s="256">
        <v>4.41E-2</v>
      </c>
      <c r="H68" s="235"/>
      <c r="I68" s="227"/>
      <c r="J68" s="235"/>
      <c r="K68" s="266" t="s">
        <v>79</v>
      </c>
      <c r="L68" s="235"/>
      <c r="M68" s="267">
        <f>-PMT(M65/12,M67*12,M64,1)</f>
        <v>554.6006438298906</v>
      </c>
      <c r="N68" s="235"/>
      <c r="O68" s="267">
        <f>-PMT(O65/12,M67*12,O64,1)</f>
        <v>716.43322278874962</v>
      </c>
      <c r="P68" s="235"/>
      <c r="Q68" s="255" t="s">
        <v>95</v>
      </c>
      <c r="R68" s="243"/>
      <c r="S68" s="256">
        <v>4.2000000000000003E-2</v>
      </c>
      <c r="T68" s="262"/>
      <c r="U68" s="256">
        <v>4.41E-2</v>
      </c>
      <c r="V68" s="235"/>
      <c r="W68" s="227"/>
      <c r="X68" s="235"/>
      <c r="Y68" s="266" t="s">
        <v>79</v>
      </c>
      <c r="Z68" s="235"/>
      <c r="AA68" s="267">
        <f>-PMT(AA65/12,AA67*12,AA64,1)</f>
        <v>554.6006438298906</v>
      </c>
      <c r="AB68" s="235"/>
      <c r="AC68" s="267">
        <f>-PMT(AC65/12,AA67*12,AC64,1)</f>
        <v>716.43322278874962</v>
      </c>
      <c r="AD68" s="235"/>
      <c r="AE68" s="87"/>
      <c r="AF68" s="2"/>
      <c r="AG68" s="2"/>
      <c r="AH68" s="2"/>
      <c r="AI68" s="2"/>
      <c r="AJ68" s="2"/>
      <c r="AK68" s="9"/>
      <c r="AL68" s="2"/>
      <c r="AM68" s="2"/>
      <c r="AN68" s="2"/>
      <c r="AO68" s="2"/>
      <c r="AP68" s="2"/>
      <c r="AQ68" s="2"/>
      <c r="AR68" s="2"/>
      <c r="AS68" s="2"/>
    </row>
    <row r="69" spans="3:45" s="239" customFormat="1" ht="20.100000000000001" hidden="1" customHeight="1">
      <c r="C69" s="255" t="s">
        <v>96</v>
      </c>
      <c r="D69" s="243"/>
      <c r="E69" s="256">
        <v>4.2999999999999997E-2</v>
      </c>
      <c r="F69" s="262"/>
      <c r="G69" s="256">
        <v>4.5100000000000001E-2</v>
      </c>
      <c r="H69" s="235"/>
      <c r="I69" s="227"/>
      <c r="J69" s="235"/>
      <c r="K69" s="235"/>
      <c r="L69" s="235"/>
      <c r="M69" s="235"/>
      <c r="N69" s="235"/>
      <c r="O69" s="235"/>
      <c r="P69" s="235"/>
      <c r="Q69" s="255" t="s">
        <v>96</v>
      </c>
      <c r="R69" s="243"/>
      <c r="S69" s="256">
        <v>4.2999999999999997E-2</v>
      </c>
      <c r="T69" s="262"/>
      <c r="U69" s="256">
        <v>4.5100000000000001E-2</v>
      </c>
      <c r="V69" s="235"/>
      <c r="W69" s="227"/>
      <c r="X69" s="235"/>
      <c r="Y69" s="235"/>
      <c r="Z69" s="235"/>
      <c r="AA69" s="235"/>
      <c r="AB69" s="235"/>
      <c r="AC69" s="235"/>
      <c r="AD69" s="235"/>
      <c r="AE69" s="187"/>
      <c r="AF69" s="187"/>
      <c r="AG69" s="187"/>
      <c r="AH69" s="262"/>
      <c r="AI69" s="268"/>
      <c r="AJ69" s="2"/>
      <c r="AK69" s="9"/>
      <c r="AL69" s="2"/>
      <c r="AM69" s="2"/>
      <c r="AN69" s="2"/>
      <c r="AO69" s="2"/>
      <c r="AP69" s="2"/>
      <c r="AQ69" s="2"/>
      <c r="AR69" s="2"/>
      <c r="AS69" s="2"/>
    </row>
    <row r="70" spans="3:45" s="239" customFormat="1" ht="20.100000000000001" hidden="1" customHeight="1" thickBot="1">
      <c r="C70" s="269" t="s">
        <v>97</v>
      </c>
      <c r="D70" s="243"/>
      <c r="E70" s="263">
        <v>4.41E-2</v>
      </c>
      <c r="F70" s="262"/>
      <c r="G70" s="263">
        <v>4.6100000000000002E-2</v>
      </c>
      <c r="H70" s="235"/>
      <c r="I70" s="227"/>
      <c r="J70" s="235"/>
      <c r="K70" s="262"/>
      <c r="L70" s="262"/>
      <c r="M70" s="235"/>
      <c r="N70" s="235"/>
      <c r="O70" s="235"/>
      <c r="P70" s="235"/>
      <c r="Q70" s="269" t="s">
        <v>97</v>
      </c>
      <c r="R70" s="243"/>
      <c r="S70" s="263">
        <v>4.41E-2</v>
      </c>
      <c r="T70" s="262"/>
      <c r="U70" s="263">
        <v>4.6100000000000002E-2</v>
      </c>
      <c r="V70" s="235"/>
      <c r="W70" s="227"/>
      <c r="X70" s="235"/>
      <c r="Y70" s="262"/>
      <c r="Z70" s="262"/>
      <c r="AA70" s="235"/>
      <c r="AB70" s="235"/>
      <c r="AC70" s="235"/>
      <c r="AD70" s="235"/>
      <c r="AE70" s="187"/>
      <c r="AF70" s="187"/>
      <c r="AG70" s="187"/>
      <c r="AH70" s="2"/>
      <c r="AI70" s="2"/>
      <c r="AJ70" s="2"/>
      <c r="AK70" s="9"/>
      <c r="AL70" s="2"/>
      <c r="AM70" s="2"/>
      <c r="AN70" s="2"/>
      <c r="AO70" s="2"/>
      <c r="AP70" s="2"/>
      <c r="AQ70" s="2"/>
      <c r="AR70" s="2"/>
      <c r="AS70" s="2"/>
    </row>
    <row r="71" spans="3:45" s="239" customFormat="1" ht="20.100000000000001" hidden="1" customHeight="1" thickBot="1">
      <c r="C71" s="270"/>
      <c r="D71" s="243"/>
      <c r="E71" s="227"/>
      <c r="F71" s="262"/>
      <c r="G71" s="227"/>
      <c r="H71" s="235"/>
      <c r="I71" s="227"/>
      <c r="J71" s="235"/>
      <c r="K71" s="262"/>
      <c r="L71" s="262"/>
      <c r="M71" s="235"/>
      <c r="N71" s="235"/>
      <c r="O71" s="235"/>
      <c r="P71" s="235"/>
      <c r="Q71" s="270"/>
      <c r="R71" s="243"/>
      <c r="S71" s="227"/>
      <c r="T71" s="262"/>
      <c r="U71" s="227"/>
      <c r="V71" s="235"/>
      <c r="W71" s="227"/>
      <c r="X71" s="235"/>
      <c r="Y71" s="235"/>
      <c r="Z71" s="235"/>
      <c r="AA71" s="235"/>
      <c r="AB71" s="235"/>
      <c r="AC71" s="235"/>
      <c r="AD71" s="235"/>
      <c r="AE71" s="187"/>
      <c r="AF71" s="187"/>
      <c r="AG71" s="187"/>
      <c r="AH71" s="2"/>
      <c r="AI71" s="2"/>
      <c r="AJ71" s="2"/>
      <c r="AK71" s="9"/>
      <c r="AL71" s="2"/>
      <c r="AM71" s="2"/>
      <c r="AN71" s="2"/>
      <c r="AO71" s="2"/>
      <c r="AP71" s="2"/>
      <c r="AQ71" s="2"/>
      <c r="AR71" s="2"/>
      <c r="AS71" s="2"/>
    </row>
    <row r="72" spans="3:45" s="239" customFormat="1" ht="20.100000000000001" hidden="1" customHeight="1" thickBot="1">
      <c r="C72" s="236" t="s">
        <v>121</v>
      </c>
      <c r="D72" s="231"/>
      <c r="E72" s="237" t="s">
        <v>116</v>
      </c>
      <c r="F72" s="233"/>
      <c r="G72" s="237" t="s">
        <v>115</v>
      </c>
      <c r="H72" s="15"/>
      <c r="I72" s="237" t="s">
        <v>117</v>
      </c>
      <c r="J72" s="2"/>
      <c r="K72" s="11"/>
      <c r="L72" s="234"/>
      <c r="M72" s="2"/>
      <c r="N72" s="235"/>
      <c r="O72" s="11"/>
      <c r="P72" s="235"/>
      <c r="Q72" s="245" t="s">
        <v>118</v>
      </c>
      <c r="R72" s="231"/>
      <c r="S72" s="232" t="s">
        <v>116</v>
      </c>
      <c r="T72" s="233"/>
      <c r="U72" s="232" t="s">
        <v>115</v>
      </c>
      <c r="V72" s="15"/>
      <c r="W72" s="232" t="s">
        <v>117</v>
      </c>
      <c r="X72" s="2"/>
      <c r="Y72" s="133"/>
      <c r="Z72" s="234"/>
      <c r="AA72" s="1"/>
      <c r="AB72" s="1"/>
      <c r="AC72" s="1"/>
      <c r="AD72" s="235"/>
      <c r="AE72" s="187"/>
      <c r="AF72" s="187"/>
      <c r="AG72" s="187"/>
      <c r="AH72" s="2"/>
      <c r="AI72" s="2"/>
      <c r="AJ72" s="2"/>
      <c r="AK72" s="9"/>
      <c r="AL72" s="2"/>
      <c r="AM72" s="2"/>
      <c r="AN72" s="2"/>
      <c r="AO72" s="2"/>
      <c r="AP72" s="2"/>
      <c r="AQ72" s="2"/>
      <c r="AR72" s="2"/>
      <c r="AS72" s="2"/>
    </row>
    <row r="73" spans="3:45" s="239" customFormat="1" ht="20.100000000000001" hidden="1" customHeight="1" thickBot="1">
      <c r="C73" s="143"/>
      <c r="D73" s="241"/>
      <c r="E73" s="241"/>
      <c r="F73" s="241"/>
      <c r="G73" s="241"/>
      <c r="H73" s="2"/>
      <c r="I73" s="235"/>
      <c r="J73" s="235"/>
      <c r="K73" s="104"/>
      <c r="L73" s="234"/>
      <c r="N73" s="235"/>
      <c r="O73" s="235"/>
      <c r="P73" s="235"/>
      <c r="Q73" s="143"/>
      <c r="R73" s="241"/>
      <c r="S73" s="241"/>
      <c r="T73" s="241"/>
      <c r="U73" s="241"/>
      <c r="V73" s="2"/>
      <c r="W73" s="235"/>
      <c r="X73" s="235"/>
      <c r="Y73" s="15"/>
      <c r="Z73" s="234"/>
      <c r="AA73" s="104"/>
      <c r="AB73" s="235"/>
      <c r="AC73" s="235"/>
      <c r="AD73" s="235"/>
      <c r="AE73" s="187"/>
      <c r="AF73" s="187"/>
      <c r="AG73" s="187"/>
      <c r="AH73" s="2"/>
      <c r="AI73" s="2"/>
      <c r="AJ73" s="2"/>
      <c r="AK73" s="9"/>
      <c r="AL73" s="2"/>
      <c r="AM73" s="2"/>
      <c r="AN73" s="2"/>
      <c r="AO73" s="2"/>
      <c r="AP73" s="2"/>
      <c r="AQ73" s="2"/>
      <c r="AR73" s="2"/>
      <c r="AS73" s="2"/>
    </row>
    <row r="74" spans="3:45" s="239" customFormat="1" ht="20.100000000000001" hidden="1" customHeight="1" thickBot="1">
      <c r="C74" s="247" t="s">
        <v>88</v>
      </c>
      <c r="D74" s="243"/>
      <c r="E74" s="247" t="s">
        <v>78</v>
      </c>
      <c r="F74" s="244"/>
      <c r="G74" s="247" t="s">
        <v>78</v>
      </c>
      <c r="H74" s="104"/>
      <c r="I74" s="247" t="s">
        <v>78</v>
      </c>
      <c r="J74" s="235"/>
      <c r="K74" s="248" t="s">
        <v>79</v>
      </c>
      <c r="L74" s="104"/>
      <c r="N74" s="235"/>
      <c r="O74" s="249" t="s">
        <v>84</v>
      </c>
      <c r="P74" s="235"/>
      <c r="Q74" s="242" t="s">
        <v>88</v>
      </c>
      <c r="R74" s="243"/>
      <c r="S74" s="242" t="s">
        <v>78</v>
      </c>
      <c r="T74" s="244"/>
      <c r="U74" s="242" t="s">
        <v>78</v>
      </c>
      <c r="V74" s="104"/>
      <c r="W74" s="242" t="s">
        <v>78</v>
      </c>
      <c r="X74" s="235"/>
      <c r="Y74" s="15"/>
      <c r="Z74" s="104"/>
      <c r="AA74" s="307" t="s">
        <v>79</v>
      </c>
      <c r="AB74" s="308"/>
      <c r="AC74" s="309"/>
      <c r="AD74" s="235"/>
      <c r="AE74" s="187"/>
      <c r="AF74" s="187"/>
      <c r="AG74" s="187"/>
      <c r="AH74" s="2"/>
      <c r="AI74" s="2"/>
      <c r="AJ74" s="2"/>
      <c r="AK74" s="9"/>
      <c r="AL74" s="2"/>
      <c r="AM74" s="2"/>
      <c r="AN74" s="2"/>
      <c r="AO74" s="2"/>
      <c r="AP74" s="2"/>
      <c r="AQ74" s="2"/>
      <c r="AR74" s="2"/>
      <c r="AS74" s="2"/>
    </row>
    <row r="75" spans="3:45" s="239" customFormat="1" ht="20.100000000000001" hidden="1" customHeight="1" thickBot="1">
      <c r="C75" s="23"/>
      <c r="D75" s="243"/>
      <c r="E75" s="23"/>
      <c r="F75" s="244"/>
      <c r="G75" s="23"/>
      <c r="H75" s="104"/>
      <c r="I75" s="23"/>
      <c r="J75" s="235"/>
      <c r="K75" s="238"/>
      <c r="L75" s="104"/>
      <c r="N75" s="235"/>
      <c r="O75" s="250"/>
      <c r="P75" s="235"/>
      <c r="Q75" s="23"/>
      <c r="R75" s="243"/>
      <c r="S75" s="23"/>
      <c r="T75" s="244"/>
      <c r="U75" s="23"/>
      <c r="V75" s="104"/>
      <c r="W75" s="23"/>
      <c r="X75" s="235"/>
      <c r="Y75" s="15"/>
      <c r="Z75" s="104"/>
      <c r="AA75" s="238"/>
      <c r="AB75" s="84"/>
      <c r="AC75" s="84"/>
      <c r="AD75" s="235"/>
      <c r="AE75" s="187"/>
      <c r="AF75" s="187"/>
      <c r="AG75" s="187"/>
      <c r="AH75" s="2"/>
      <c r="AI75" s="2"/>
      <c r="AJ75" s="2"/>
      <c r="AK75" s="9"/>
      <c r="AL75" s="2"/>
      <c r="AM75" s="2"/>
      <c r="AN75" s="2"/>
      <c r="AO75" s="2"/>
      <c r="AP75" s="2"/>
      <c r="AQ75" s="2"/>
      <c r="AR75" s="2"/>
      <c r="AS75" s="2"/>
    </row>
    <row r="76" spans="3:45" s="239" customFormat="1" ht="20.100000000000001" hidden="1" customHeight="1" thickBot="1">
      <c r="C76" s="251" t="s">
        <v>89</v>
      </c>
      <c r="D76" s="243"/>
      <c r="E76" s="162">
        <v>3.6799999999999999E-2</v>
      </c>
      <c r="F76" s="252"/>
      <c r="G76" s="162">
        <v>3.8899999999999997E-2</v>
      </c>
      <c r="H76" s="104"/>
      <c r="I76" s="162">
        <v>4.0899999999999999E-2</v>
      </c>
      <c r="J76" s="235"/>
      <c r="K76" s="253" t="s">
        <v>11</v>
      </c>
      <c r="L76" s="252"/>
      <c r="M76" s="271">
        <f>K63+M63</f>
        <v>0</v>
      </c>
      <c r="N76" s="235"/>
      <c r="O76" s="271">
        <f>M76</f>
        <v>0</v>
      </c>
      <c r="P76" s="235"/>
      <c r="Q76" s="251" t="s">
        <v>89</v>
      </c>
      <c r="R76" s="243"/>
      <c r="S76" s="162">
        <v>4.4999999999999998E-2</v>
      </c>
      <c r="T76" s="252"/>
      <c r="U76" s="162">
        <v>4.7100000000000003E-2</v>
      </c>
      <c r="V76" s="104"/>
      <c r="W76" s="162">
        <v>4.9200000000000001E-2</v>
      </c>
      <c r="X76" s="235"/>
      <c r="Y76" s="84"/>
      <c r="Z76" s="252"/>
      <c r="AA76" s="253" t="s">
        <v>11</v>
      </c>
      <c r="AB76" s="235"/>
      <c r="AC76" s="271">
        <f>M76</f>
        <v>0</v>
      </c>
      <c r="AD76" s="235"/>
      <c r="AE76" s="187"/>
      <c r="AF76" s="187"/>
      <c r="AG76" s="187"/>
      <c r="AH76" s="2"/>
      <c r="AI76" s="2"/>
      <c r="AJ76" s="2"/>
      <c r="AK76" s="9"/>
      <c r="AL76" s="2"/>
      <c r="AM76" s="2"/>
      <c r="AN76" s="2"/>
      <c r="AO76" s="2"/>
      <c r="AP76" s="2"/>
      <c r="AQ76" s="2"/>
      <c r="AR76" s="2"/>
      <c r="AS76" s="2"/>
    </row>
    <row r="77" spans="3:45" s="239" customFormat="1" ht="20.100000000000001" hidden="1" customHeight="1" thickBot="1">
      <c r="C77" s="255" t="s">
        <v>90</v>
      </c>
      <c r="D77" s="243"/>
      <c r="E77" s="256">
        <v>3.8399999999999997E-2</v>
      </c>
      <c r="F77" s="244"/>
      <c r="G77" s="256">
        <v>4.0399999999999998E-2</v>
      </c>
      <c r="H77" s="104"/>
      <c r="I77" s="256">
        <v>4.2500000000000003E-2</v>
      </c>
      <c r="J77" s="235"/>
      <c r="K77" s="257"/>
      <c r="L77" s="252"/>
      <c r="M77" s="172"/>
      <c r="N77" s="235"/>
      <c r="O77" s="172"/>
      <c r="P77" s="235"/>
      <c r="Q77" s="255" t="s">
        <v>90</v>
      </c>
      <c r="R77" s="243"/>
      <c r="S77" s="256">
        <v>4.7199999999999999E-2</v>
      </c>
      <c r="T77" s="244"/>
      <c r="U77" s="256">
        <v>4.9299999999999997E-2</v>
      </c>
      <c r="V77" s="104"/>
      <c r="W77" s="256">
        <v>5.1400000000000001E-2</v>
      </c>
      <c r="X77" s="235"/>
      <c r="Y77" s="84"/>
      <c r="Z77" s="252"/>
      <c r="AA77" s="257"/>
      <c r="AB77" s="235"/>
      <c r="AC77" s="172"/>
      <c r="AD77" s="235"/>
      <c r="AE77" s="187"/>
      <c r="AF77" s="187"/>
      <c r="AG77" s="187"/>
      <c r="AH77" s="2"/>
      <c r="AI77" s="2"/>
      <c r="AJ77" s="2"/>
      <c r="AK77" s="9"/>
      <c r="AL77" s="2"/>
      <c r="AM77" s="2"/>
      <c r="AN77" s="2"/>
      <c r="AO77" s="2"/>
      <c r="AP77" s="2"/>
      <c r="AQ77" s="2"/>
      <c r="AR77" s="2"/>
      <c r="AS77" s="2"/>
    </row>
    <row r="78" spans="3:45" s="239" customFormat="1" ht="20.100000000000001" hidden="1" customHeight="1">
      <c r="C78" s="255" t="s">
        <v>91</v>
      </c>
      <c r="D78" s="243"/>
      <c r="E78" s="256">
        <v>3.8399999999999997E-2</v>
      </c>
      <c r="F78" s="258"/>
      <c r="G78" s="256">
        <v>4.0399999999999998E-2</v>
      </c>
      <c r="H78" s="2"/>
      <c r="I78" s="256">
        <v>4.2500000000000003E-2</v>
      </c>
      <c r="J78" s="20"/>
      <c r="K78" s="259" t="s">
        <v>99</v>
      </c>
      <c r="L78" s="252"/>
      <c r="M78" s="214">
        <v>100000</v>
      </c>
      <c r="N78" s="198"/>
      <c r="O78" s="214">
        <f>M78</f>
        <v>100000</v>
      </c>
      <c r="P78" s="235"/>
      <c r="Q78" s="255" t="s">
        <v>91</v>
      </c>
      <c r="R78" s="243"/>
      <c r="S78" s="256">
        <v>4.8399999999999999E-2</v>
      </c>
      <c r="T78" s="258"/>
      <c r="U78" s="256">
        <v>5.0500000000000003E-2</v>
      </c>
      <c r="V78" s="2"/>
      <c r="W78" s="256">
        <v>5.2499999999999998E-2</v>
      </c>
      <c r="X78" s="20"/>
      <c r="Y78" s="272"/>
      <c r="Z78" s="252"/>
      <c r="AA78" s="259" t="s">
        <v>99</v>
      </c>
      <c r="AB78" s="235"/>
      <c r="AC78" s="214">
        <f>M78</f>
        <v>100000</v>
      </c>
      <c r="AD78" s="235"/>
      <c r="AE78" s="187"/>
      <c r="AF78" s="187"/>
      <c r="AG78" s="187"/>
      <c r="AH78" s="2"/>
      <c r="AI78" s="2"/>
      <c r="AJ78" s="2"/>
      <c r="AK78" s="9"/>
      <c r="AL78" s="2"/>
      <c r="AM78" s="2"/>
      <c r="AN78" s="2"/>
      <c r="AO78" s="2"/>
      <c r="AP78" s="2"/>
      <c r="AQ78" s="2"/>
      <c r="AR78" s="2"/>
      <c r="AS78" s="2"/>
    </row>
    <row r="79" spans="3:45" s="239" customFormat="1" ht="20.100000000000001" hidden="1" customHeight="1" thickBot="1">
      <c r="C79" s="255" t="s">
        <v>92</v>
      </c>
      <c r="D79" s="260"/>
      <c r="E79" s="256">
        <v>3.9899999999999998E-2</v>
      </c>
      <c r="F79" s="261"/>
      <c r="G79" s="256">
        <v>4.2000000000000003E-2</v>
      </c>
      <c r="H79" s="235"/>
      <c r="I79" s="256">
        <v>4.41E-2</v>
      </c>
      <c r="J79" s="235"/>
      <c r="K79" s="188" t="s">
        <v>80</v>
      </c>
      <c r="L79" s="235"/>
      <c r="M79" s="123">
        <v>0.03</v>
      </c>
      <c r="N79" s="235"/>
      <c r="O79" s="123">
        <f>M79+3%</f>
        <v>0.06</v>
      </c>
      <c r="P79" s="235"/>
      <c r="Q79" s="255" t="s">
        <v>92</v>
      </c>
      <c r="R79" s="260"/>
      <c r="S79" s="256">
        <v>4.9000000000000002E-2</v>
      </c>
      <c r="T79" s="261"/>
      <c r="U79" s="256">
        <v>5.11E-2</v>
      </c>
      <c r="V79" s="235"/>
      <c r="W79" s="256">
        <v>5.3199999999999997E-2</v>
      </c>
      <c r="X79" s="235"/>
      <c r="Y79" s="235"/>
      <c r="Z79" s="235"/>
      <c r="AA79" s="188" t="s">
        <v>80</v>
      </c>
      <c r="AB79" s="235"/>
      <c r="AC79" s="123">
        <v>0.05</v>
      </c>
      <c r="AD79" s="235"/>
      <c r="AE79" s="187"/>
      <c r="AF79" s="187"/>
      <c r="AG79" s="187"/>
      <c r="AH79" s="2"/>
      <c r="AI79" s="2"/>
      <c r="AJ79" s="2"/>
      <c r="AK79" s="9"/>
      <c r="AL79" s="2"/>
      <c r="AM79" s="2"/>
      <c r="AN79" s="2"/>
      <c r="AO79" s="2"/>
      <c r="AP79" s="2"/>
      <c r="AQ79" s="2"/>
      <c r="AR79" s="2"/>
      <c r="AS79" s="2"/>
    </row>
    <row r="80" spans="3:45" s="239" customFormat="1" ht="20.100000000000001" hidden="1" customHeight="1" thickBot="1">
      <c r="C80" s="255" t="s">
        <v>93</v>
      </c>
      <c r="D80" s="243"/>
      <c r="E80" s="256">
        <v>3.9899999999999998E-2</v>
      </c>
      <c r="F80" s="262"/>
      <c r="G80" s="256">
        <v>4.2000000000000003E-2</v>
      </c>
      <c r="H80" s="235"/>
      <c r="I80" s="256">
        <v>4.41E-2</v>
      </c>
      <c r="J80" s="235"/>
      <c r="K80" s="104"/>
      <c r="L80" s="235"/>
      <c r="M80" s="84"/>
      <c r="N80" s="235"/>
      <c r="O80" s="84"/>
      <c r="P80" s="235"/>
      <c r="Q80" s="255" t="s">
        <v>93</v>
      </c>
      <c r="R80" s="243"/>
      <c r="S80" s="256">
        <v>4.9000000000000002E-2</v>
      </c>
      <c r="T80" s="262"/>
      <c r="U80" s="256">
        <v>5.11E-2</v>
      </c>
      <c r="V80" s="235"/>
      <c r="W80" s="256">
        <v>5.3199999999999997E-2</v>
      </c>
      <c r="X80" s="235"/>
      <c r="Y80" s="235"/>
      <c r="Z80" s="235"/>
      <c r="AA80" s="104"/>
      <c r="AB80" s="198"/>
      <c r="AC80" s="15"/>
      <c r="AD80" s="235"/>
      <c r="AE80" s="187"/>
      <c r="AF80" s="187"/>
      <c r="AG80" s="187"/>
      <c r="AH80" s="2"/>
      <c r="AI80" s="2"/>
      <c r="AJ80" s="2"/>
      <c r="AK80" s="9"/>
      <c r="AL80" s="2"/>
      <c r="AM80" s="2"/>
      <c r="AN80" s="2"/>
      <c r="AO80" s="2"/>
      <c r="AP80" s="2"/>
      <c r="AQ80" s="2"/>
      <c r="AR80" s="2"/>
      <c r="AS80" s="2"/>
    </row>
    <row r="81" spans="3:45" s="239" customFormat="1" ht="20.100000000000001" hidden="1" customHeight="1" thickBot="1">
      <c r="C81" s="255" t="s">
        <v>94</v>
      </c>
      <c r="D81" s="243"/>
      <c r="E81" s="256">
        <v>4.0899999999999999E-2</v>
      </c>
      <c r="F81" s="262"/>
      <c r="G81" s="256">
        <v>4.2999999999999997E-2</v>
      </c>
      <c r="H81" s="235"/>
      <c r="I81" s="263">
        <v>4.5100000000000001E-2</v>
      </c>
      <c r="J81" s="235"/>
      <c r="K81" s="211" t="s">
        <v>104</v>
      </c>
      <c r="L81" s="235"/>
      <c r="M81" s="264">
        <v>20</v>
      </c>
      <c r="N81" s="235"/>
      <c r="O81" s="265">
        <f>M81</f>
        <v>20</v>
      </c>
      <c r="P81" s="235"/>
      <c r="Q81" s="255" t="s">
        <v>94</v>
      </c>
      <c r="R81" s="243"/>
      <c r="S81" s="256">
        <v>0.05</v>
      </c>
      <c r="T81" s="262"/>
      <c r="U81" s="256">
        <v>5.21E-2</v>
      </c>
      <c r="V81" s="235"/>
      <c r="W81" s="263">
        <v>5.4199999999999998E-2</v>
      </c>
      <c r="X81" s="235"/>
      <c r="Y81" s="235"/>
      <c r="Z81" s="235"/>
      <c r="AA81" s="211" t="s">
        <v>104</v>
      </c>
      <c r="AB81" s="235"/>
      <c r="AC81" s="273">
        <f>M81</f>
        <v>20</v>
      </c>
      <c r="AD81" s="235"/>
      <c r="AE81" s="187"/>
      <c r="AF81" s="187"/>
      <c r="AG81" s="187"/>
      <c r="AH81" s="2"/>
      <c r="AI81" s="2"/>
      <c r="AJ81" s="2"/>
      <c r="AK81" s="9"/>
      <c r="AL81" s="2"/>
      <c r="AM81" s="2"/>
      <c r="AN81" s="2"/>
      <c r="AO81" s="2"/>
      <c r="AP81" s="2"/>
      <c r="AQ81" s="2"/>
      <c r="AR81" s="2"/>
      <c r="AS81" s="2"/>
    </row>
    <row r="82" spans="3:45" s="239" customFormat="1" ht="20.100000000000001" hidden="1" customHeight="1" thickBot="1">
      <c r="C82" s="255" t="s">
        <v>95</v>
      </c>
      <c r="D82" s="243"/>
      <c r="E82" s="256">
        <v>4.2000000000000003E-2</v>
      </c>
      <c r="F82" s="262"/>
      <c r="G82" s="256">
        <v>4.41E-2</v>
      </c>
      <c r="H82" s="235"/>
      <c r="I82" s="227"/>
      <c r="J82" s="235"/>
      <c r="K82" s="266" t="s">
        <v>79</v>
      </c>
      <c r="L82" s="235"/>
      <c r="M82" s="274">
        <f>-PMT(M79/12,M81*12,M78,1)</f>
        <v>554.6006438298906</v>
      </c>
      <c r="N82" s="235"/>
      <c r="O82" s="274">
        <f>-PMT(O79/12,M81*12,O78,1)</f>
        <v>716.43322278874962</v>
      </c>
      <c r="P82" s="235"/>
      <c r="Q82" s="255" t="s">
        <v>95</v>
      </c>
      <c r="R82" s="243"/>
      <c r="S82" s="256">
        <v>5.2600000000000001E-2</v>
      </c>
      <c r="T82" s="262"/>
      <c r="U82" s="256">
        <v>5.4699999999999999E-2</v>
      </c>
      <c r="V82" s="235"/>
      <c r="W82" s="227"/>
      <c r="X82" s="235"/>
      <c r="Y82" s="235"/>
      <c r="Z82" s="235"/>
      <c r="AA82" s="266" t="s">
        <v>79</v>
      </c>
      <c r="AB82" s="235"/>
      <c r="AC82" s="274">
        <f>-PMT(AC79/12,M81*12,AC78,1)</f>
        <v>659.95817210738289</v>
      </c>
      <c r="AD82" s="235"/>
      <c r="AE82" s="187"/>
      <c r="AF82" s="187"/>
      <c r="AG82" s="187"/>
      <c r="AH82" s="2"/>
      <c r="AI82" s="2"/>
      <c r="AJ82" s="2"/>
      <c r="AK82" s="9"/>
      <c r="AL82" s="2"/>
      <c r="AM82" s="2"/>
      <c r="AN82" s="2"/>
      <c r="AO82" s="2"/>
      <c r="AP82" s="2"/>
      <c r="AQ82" s="2"/>
      <c r="AR82" s="2"/>
      <c r="AS82" s="2"/>
    </row>
    <row r="83" spans="3:45" s="239" customFormat="1" ht="20.100000000000001" hidden="1" customHeight="1">
      <c r="C83" s="255" t="s">
        <v>96</v>
      </c>
      <c r="D83" s="243"/>
      <c r="E83" s="256">
        <v>4.2999999999999997E-2</v>
      </c>
      <c r="F83" s="262"/>
      <c r="G83" s="256">
        <v>4.5100000000000001E-2</v>
      </c>
      <c r="H83" s="235"/>
      <c r="I83" s="227"/>
      <c r="J83" s="235"/>
      <c r="K83" s="235"/>
      <c r="L83" s="235"/>
      <c r="M83" s="235"/>
      <c r="N83" s="235"/>
      <c r="O83" s="235"/>
      <c r="P83" s="235"/>
      <c r="Q83" s="255" t="s">
        <v>96</v>
      </c>
      <c r="R83" s="243"/>
      <c r="S83" s="256">
        <v>5.2999999999999999E-2</v>
      </c>
      <c r="T83" s="262"/>
      <c r="U83" s="256">
        <v>5.5100000000000003E-2</v>
      </c>
      <c r="V83" s="235"/>
      <c r="W83" s="227"/>
      <c r="X83" s="235"/>
      <c r="Y83" s="235"/>
      <c r="Z83" s="235"/>
      <c r="AA83" s="235"/>
      <c r="AB83" s="235"/>
      <c r="AC83" s="235"/>
      <c r="AD83" s="235"/>
      <c r="AE83" s="187"/>
      <c r="AF83" s="187"/>
      <c r="AG83" s="187"/>
      <c r="AH83" s="2"/>
      <c r="AI83" s="2"/>
      <c r="AJ83" s="2"/>
      <c r="AK83" s="9"/>
      <c r="AL83" s="2"/>
      <c r="AM83" s="2"/>
      <c r="AN83" s="2"/>
      <c r="AO83" s="2"/>
      <c r="AP83" s="2"/>
      <c r="AQ83" s="2"/>
      <c r="AR83" s="2"/>
      <c r="AS83" s="2"/>
    </row>
    <row r="84" spans="3:45" s="239" customFormat="1" ht="20.100000000000001" hidden="1" customHeight="1" thickBot="1">
      <c r="C84" s="269" t="s">
        <v>97</v>
      </c>
      <c r="D84" s="243"/>
      <c r="E84" s="263">
        <v>4.41E-2</v>
      </c>
      <c r="F84" s="262"/>
      <c r="G84" s="263">
        <v>4.6100000000000002E-2</v>
      </c>
      <c r="H84" s="235"/>
      <c r="I84" s="227"/>
      <c r="J84" s="235"/>
      <c r="K84" s="262"/>
      <c r="L84" s="262"/>
      <c r="M84" s="235"/>
      <c r="N84" s="235"/>
      <c r="O84" s="235"/>
      <c r="P84" s="235"/>
      <c r="Q84" s="269" t="s">
        <v>97</v>
      </c>
      <c r="R84" s="243"/>
      <c r="S84" s="263">
        <v>5.3199999999999997E-2</v>
      </c>
      <c r="T84" s="262"/>
      <c r="U84" s="263">
        <v>5.5300000000000002E-2</v>
      </c>
      <c r="V84" s="235"/>
      <c r="W84" s="227"/>
      <c r="X84" s="235"/>
      <c r="Y84" s="235"/>
      <c r="Z84" s="235"/>
      <c r="AA84" s="235"/>
      <c r="AB84" s="235"/>
      <c r="AC84" s="235"/>
      <c r="AD84" s="235"/>
      <c r="AE84" s="187"/>
      <c r="AF84" s="187"/>
      <c r="AG84" s="187"/>
      <c r="AH84" s="2"/>
      <c r="AI84" s="2"/>
      <c r="AJ84" s="2"/>
      <c r="AK84" s="9"/>
      <c r="AL84" s="2"/>
      <c r="AM84" s="2"/>
      <c r="AN84" s="2"/>
      <c r="AO84" s="2"/>
      <c r="AP84" s="2"/>
      <c r="AQ84" s="2"/>
      <c r="AR84" s="2"/>
      <c r="AS84" s="2"/>
    </row>
    <row r="85" spans="3:45" s="239" customFormat="1" ht="20.100000000000001" hidden="1" customHeight="1" thickBot="1">
      <c r="C85" s="270"/>
      <c r="D85" s="243"/>
      <c r="E85" s="227"/>
      <c r="F85" s="262"/>
      <c r="G85" s="227"/>
      <c r="H85" s="235"/>
      <c r="I85" s="227"/>
      <c r="J85" s="235"/>
      <c r="K85" s="262"/>
      <c r="L85" s="262"/>
      <c r="M85" s="235"/>
      <c r="N85" s="235"/>
      <c r="O85" s="235"/>
      <c r="P85" s="235"/>
      <c r="Q85" s="270"/>
      <c r="R85" s="243"/>
      <c r="S85" s="227"/>
      <c r="T85" s="262"/>
      <c r="U85" s="227"/>
      <c r="V85" s="235"/>
      <c r="W85" s="227"/>
      <c r="X85" s="235"/>
      <c r="Y85" s="235"/>
      <c r="Z85" s="235"/>
      <c r="AA85" s="235"/>
      <c r="AB85" s="235"/>
      <c r="AC85" s="235"/>
      <c r="AD85" s="235"/>
      <c r="AE85" s="187"/>
      <c r="AF85" s="187"/>
      <c r="AG85" s="187"/>
      <c r="AH85" s="2"/>
      <c r="AI85" s="2"/>
      <c r="AJ85" s="2"/>
      <c r="AK85" s="9"/>
      <c r="AL85" s="2"/>
      <c r="AM85" s="2"/>
      <c r="AN85" s="2"/>
      <c r="AO85" s="2"/>
      <c r="AP85" s="2"/>
      <c r="AQ85" s="2"/>
      <c r="AR85" s="2"/>
      <c r="AS85" s="2"/>
    </row>
    <row r="86" spans="3:45" s="239" customFormat="1" ht="20.100000000000001" hidden="1" customHeight="1" thickBot="1">
      <c r="C86" s="236" t="s">
        <v>122</v>
      </c>
      <c r="D86" s="231"/>
      <c r="E86" s="237" t="s">
        <v>116</v>
      </c>
      <c r="F86" s="233"/>
      <c r="G86" s="237" t="s">
        <v>115</v>
      </c>
      <c r="H86" s="15"/>
      <c r="I86" s="237" t="s">
        <v>117</v>
      </c>
      <c r="J86" s="2"/>
      <c r="K86" s="11"/>
      <c r="L86" s="234"/>
      <c r="M86" s="2"/>
      <c r="N86" s="235"/>
      <c r="O86" s="11"/>
      <c r="P86" s="235"/>
      <c r="Q86" s="270"/>
      <c r="R86" s="243"/>
      <c r="S86" s="227"/>
      <c r="T86" s="262"/>
      <c r="U86" s="227"/>
      <c r="V86" s="235"/>
      <c r="W86" s="227"/>
      <c r="X86" s="235"/>
      <c r="Y86" s="235"/>
      <c r="Z86" s="235"/>
      <c r="AA86" s="235"/>
      <c r="AB86" s="235"/>
      <c r="AC86" s="235"/>
      <c r="AD86" s="235"/>
      <c r="AE86" s="187"/>
      <c r="AF86" s="187"/>
      <c r="AG86" s="187"/>
      <c r="AH86" s="2"/>
      <c r="AI86" s="2"/>
      <c r="AJ86" s="2"/>
      <c r="AK86" s="9"/>
      <c r="AL86" s="2"/>
      <c r="AM86" s="2"/>
      <c r="AN86" s="2"/>
      <c r="AO86" s="2"/>
      <c r="AP86" s="2"/>
      <c r="AQ86" s="2"/>
      <c r="AR86" s="2"/>
      <c r="AS86" s="2"/>
    </row>
    <row r="87" spans="3:45" s="239" customFormat="1" ht="20.100000000000001" hidden="1" customHeight="1" thickBot="1">
      <c r="C87" s="143"/>
      <c r="D87" s="241"/>
      <c r="E87" s="241"/>
      <c r="F87" s="241"/>
      <c r="G87" s="241"/>
      <c r="H87" s="2"/>
      <c r="I87" s="235"/>
      <c r="J87" s="235"/>
      <c r="K87" s="104"/>
      <c r="L87" s="234"/>
      <c r="N87" s="235"/>
      <c r="O87" s="235"/>
      <c r="P87" s="235"/>
      <c r="Q87" s="270"/>
      <c r="R87" s="243"/>
      <c r="S87" s="227"/>
      <c r="T87" s="262"/>
      <c r="U87" s="227"/>
      <c r="V87" s="235"/>
      <c r="W87" s="227"/>
      <c r="X87" s="235"/>
      <c r="Y87" s="235"/>
      <c r="Z87" s="235"/>
      <c r="AA87" s="235"/>
      <c r="AB87" s="235"/>
      <c r="AC87" s="235"/>
      <c r="AD87" s="235"/>
      <c r="AE87" s="187"/>
      <c r="AF87" s="187"/>
      <c r="AG87" s="187"/>
      <c r="AH87" s="2"/>
      <c r="AI87" s="2"/>
      <c r="AJ87" s="2"/>
      <c r="AK87" s="9"/>
      <c r="AL87" s="2"/>
      <c r="AM87" s="2"/>
      <c r="AN87" s="2"/>
      <c r="AO87" s="2"/>
      <c r="AP87" s="2"/>
      <c r="AQ87" s="2"/>
      <c r="AR87" s="2"/>
      <c r="AS87" s="2"/>
    </row>
    <row r="88" spans="3:45" s="239" customFormat="1" ht="20.100000000000001" hidden="1" customHeight="1" thickBot="1">
      <c r="C88" s="247" t="s">
        <v>88</v>
      </c>
      <c r="D88" s="243"/>
      <c r="E88" s="247" t="s">
        <v>78</v>
      </c>
      <c r="F88" s="244"/>
      <c r="G88" s="247" t="s">
        <v>78</v>
      </c>
      <c r="H88" s="104"/>
      <c r="I88" s="247" t="s">
        <v>78</v>
      </c>
      <c r="J88" s="235"/>
      <c r="K88" s="248" t="s">
        <v>79</v>
      </c>
      <c r="L88" s="104"/>
      <c r="N88" s="235"/>
      <c r="O88" s="249" t="s">
        <v>84</v>
      </c>
      <c r="P88" s="235"/>
      <c r="Q88" s="270"/>
      <c r="R88" s="243"/>
      <c r="S88" s="227"/>
      <c r="T88" s="262"/>
      <c r="U88" s="227"/>
      <c r="V88" s="235"/>
      <c r="W88" s="227"/>
      <c r="X88" s="235"/>
      <c r="Y88" s="235"/>
      <c r="Z88" s="235"/>
      <c r="AA88" s="235"/>
      <c r="AB88" s="235"/>
      <c r="AC88" s="235"/>
      <c r="AD88" s="235"/>
      <c r="AE88" s="187"/>
      <c r="AF88" s="187"/>
      <c r="AG88" s="187"/>
      <c r="AH88" s="2"/>
      <c r="AI88" s="2"/>
      <c r="AJ88" s="2"/>
      <c r="AK88" s="9"/>
      <c r="AL88" s="2"/>
      <c r="AM88" s="2"/>
      <c r="AN88" s="2"/>
      <c r="AO88" s="2"/>
      <c r="AP88" s="2"/>
      <c r="AQ88" s="2"/>
      <c r="AR88" s="2"/>
      <c r="AS88" s="2"/>
    </row>
    <row r="89" spans="3:45" s="239" customFormat="1" ht="20.100000000000001" hidden="1" customHeight="1" thickBot="1">
      <c r="C89" s="23"/>
      <c r="D89" s="243"/>
      <c r="E89" s="23"/>
      <c r="F89" s="244"/>
      <c r="G89" s="23"/>
      <c r="H89" s="104"/>
      <c r="I89" s="23"/>
      <c r="J89" s="235"/>
      <c r="K89" s="238"/>
      <c r="L89" s="104"/>
      <c r="N89" s="235"/>
      <c r="O89" s="250"/>
      <c r="P89" s="235"/>
      <c r="Q89" s="270"/>
      <c r="R89" s="243"/>
      <c r="S89" s="227"/>
      <c r="T89" s="262"/>
      <c r="U89" s="227"/>
      <c r="V89" s="235"/>
      <c r="W89" s="227"/>
      <c r="X89" s="235"/>
      <c r="Y89" s="235"/>
      <c r="Z89" s="235"/>
      <c r="AA89" s="235"/>
      <c r="AB89" s="235"/>
      <c r="AC89" s="235"/>
      <c r="AD89" s="235"/>
      <c r="AE89" s="187"/>
      <c r="AF89" s="187"/>
      <c r="AG89" s="187"/>
      <c r="AH89" s="2"/>
      <c r="AI89" s="2"/>
      <c r="AJ89" s="2"/>
      <c r="AK89" s="9"/>
      <c r="AL89" s="2"/>
      <c r="AM89" s="2"/>
      <c r="AN89" s="2"/>
      <c r="AO89" s="2"/>
      <c r="AP89" s="2"/>
      <c r="AQ89" s="2"/>
      <c r="AR89" s="2"/>
      <c r="AS89" s="2"/>
    </row>
    <row r="90" spans="3:45" s="239" customFormat="1" ht="20.100000000000001" hidden="1" customHeight="1" thickBot="1">
      <c r="C90" s="251" t="s">
        <v>89</v>
      </c>
      <c r="D90" s="243"/>
      <c r="E90" s="162">
        <v>3.6799999999999999E-2</v>
      </c>
      <c r="F90" s="252"/>
      <c r="G90" s="162">
        <v>3.8899999999999997E-2</v>
      </c>
      <c r="H90" s="104"/>
      <c r="I90" s="162">
        <v>4.0899999999999999E-2</v>
      </c>
      <c r="J90" s="235"/>
      <c r="K90" s="253" t="s">
        <v>11</v>
      </c>
      <c r="L90" s="252"/>
      <c r="M90" s="271">
        <f>K77+M77</f>
        <v>0</v>
      </c>
      <c r="N90" s="235"/>
      <c r="O90" s="271">
        <f>M90</f>
        <v>0</v>
      </c>
      <c r="P90" s="235"/>
      <c r="Q90" s="270"/>
      <c r="R90" s="243"/>
      <c r="S90" s="227"/>
      <c r="T90" s="262"/>
      <c r="U90" s="227"/>
      <c r="V90" s="235"/>
      <c r="W90" s="227"/>
      <c r="X90" s="235"/>
      <c r="Y90" s="235"/>
      <c r="Z90" s="235"/>
      <c r="AA90" s="235"/>
      <c r="AB90" s="235"/>
      <c r="AC90" s="235"/>
      <c r="AD90" s="235"/>
      <c r="AE90" s="187"/>
      <c r="AF90" s="187"/>
      <c r="AG90" s="187"/>
      <c r="AH90" s="2"/>
      <c r="AI90" s="2"/>
      <c r="AJ90" s="2"/>
      <c r="AK90" s="9"/>
      <c r="AL90" s="2"/>
      <c r="AM90" s="2"/>
      <c r="AN90" s="2"/>
      <c r="AO90" s="2"/>
      <c r="AP90" s="2"/>
      <c r="AQ90" s="2"/>
      <c r="AR90" s="2"/>
      <c r="AS90" s="2"/>
    </row>
    <row r="91" spans="3:45" s="239" customFormat="1" ht="20.100000000000001" hidden="1" customHeight="1" thickBot="1">
      <c r="C91" s="255" t="s">
        <v>90</v>
      </c>
      <c r="D91" s="243"/>
      <c r="E91" s="256">
        <v>3.8399999999999997E-2</v>
      </c>
      <c r="F91" s="244"/>
      <c r="G91" s="256">
        <v>4.0399999999999998E-2</v>
      </c>
      <c r="H91" s="104"/>
      <c r="I91" s="256">
        <v>4.2500000000000003E-2</v>
      </c>
      <c r="J91" s="235"/>
      <c r="K91" s="257"/>
      <c r="L91" s="252"/>
      <c r="M91" s="172"/>
      <c r="N91" s="235"/>
      <c r="O91" s="172"/>
      <c r="P91" s="235"/>
      <c r="Q91" s="270"/>
      <c r="R91" s="243"/>
      <c r="S91" s="227"/>
      <c r="T91" s="262"/>
      <c r="U91" s="227"/>
      <c r="V91" s="235"/>
      <c r="W91" s="227"/>
      <c r="X91" s="235"/>
      <c r="Y91" s="235"/>
      <c r="Z91" s="235"/>
      <c r="AA91" s="235"/>
      <c r="AB91" s="235"/>
      <c r="AC91" s="235"/>
      <c r="AD91" s="235"/>
      <c r="AE91" s="187"/>
      <c r="AF91" s="187"/>
      <c r="AG91" s="187"/>
      <c r="AH91" s="2"/>
      <c r="AI91" s="2"/>
      <c r="AJ91" s="2"/>
      <c r="AK91" s="9"/>
      <c r="AL91" s="2"/>
      <c r="AM91" s="2"/>
      <c r="AN91" s="2"/>
      <c r="AO91" s="2"/>
      <c r="AP91" s="2"/>
      <c r="AQ91" s="2"/>
      <c r="AR91" s="2"/>
      <c r="AS91" s="2"/>
    </row>
    <row r="92" spans="3:45" s="239" customFormat="1" ht="20.100000000000001" hidden="1" customHeight="1">
      <c r="C92" s="255" t="s">
        <v>91</v>
      </c>
      <c r="D92" s="243"/>
      <c r="E92" s="256">
        <v>3.8399999999999997E-2</v>
      </c>
      <c r="F92" s="258"/>
      <c r="G92" s="256">
        <v>4.0399999999999998E-2</v>
      </c>
      <c r="H92" s="2"/>
      <c r="I92" s="256">
        <v>4.2500000000000003E-2</v>
      </c>
      <c r="J92" s="20"/>
      <c r="K92" s="259" t="s">
        <v>99</v>
      </c>
      <c r="L92" s="252"/>
      <c r="M92" s="214">
        <v>100000</v>
      </c>
      <c r="N92" s="198"/>
      <c r="O92" s="214">
        <f>M92</f>
        <v>100000</v>
      </c>
      <c r="P92" s="235"/>
      <c r="Q92" s="270"/>
      <c r="R92" s="243"/>
      <c r="S92" s="227"/>
      <c r="T92" s="262"/>
      <c r="U92" s="227"/>
      <c r="V92" s="235"/>
      <c r="W92" s="227"/>
      <c r="X92" s="235"/>
      <c r="Y92" s="235"/>
      <c r="Z92" s="235"/>
      <c r="AA92" s="235"/>
      <c r="AB92" s="235"/>
      <c r="AC92" s="235"/>
      <c r="AD92" s="235"/>
      <c r="AE92" s="187"/>
      <c r="AF92" s="187"/>
      <c r="AG92" s="187"/>
      <c r="AH92" s="2"/>
      <c r="AI92" s="2"/>
      <c r="AJ92" s="2"/>
      <c r="AK92" s="9"/>
      <c r="AL92" s="2"/>
      <c r="AM92" s="2"/>
      <c r="AN92" s="2"/>
      <c r="AO92" s="2"/>
      <c r="AP92" s="2"/>
      <c r="AQ92" s="2"/>
      <c r="AR92" s="2"/>
      <c r="AS92" s="2"/>
    </row>
    <row r="93" spans="3:45" s="239" customFormat="1" ht="20.100000000000001" hidden="1" customHeight="1" thickBot="1">
      <c r="C93" s="255" t="s">
        <v>92</v>
      </c>
      <c r="D93" s="260"/>
      <c r="E93" s="256">
        <v>3.9899999999999998E-2</v>
      </c>
      <c r="F93" s="261"/>
      <c r="G93" s="256">
        <v>4.2000000000000003E-2</v>
      </c>
      <c r="H93" s="235"/>
      <c r="I93" s="256">
        <v>4.41E-2</v>
      </c>
      <c r="J93" s="235"/>
      <c r="K93" s="188" t="s">
        <v>80</v>
      </c>
      <c r="L93" s="235"/>
      <c r="M93" s="123">
        <v>0.03</v>
      </c>
      <c r="N93" s="235"/>
      <c r="O93" s="123">
        <f>M93+3%</f>
        <v>0.06</v>
      </c>
      <c r="P93" s="235"/>
      <c r="Q93" s="270"/>
      <c r="R93" s="243"/>
      <c r="S93" s="227"/>
      <c r="T93" s="262"/>
      <c r="U93" s="227"/>
      <c r="V93" s="235"/>
      <c r="W93" s="227"/>
      <c r="X93" s="235"/>
      <c r="Y93" s="235"/>
      <c r="Z93" s="235"/>
      <c r="AA93" s="235"/>
      <c r="AB93" s="235"/>
      <c r="AC93" s="235"/>
      <c r="AD93" s="235"/>
      <c r="AE93" s="187"/>
      <c r="AF93" s="187"/>
      <c r="AG93" s="187"/>
      <c r="AH93" s="2"/>
      <c r="AI93" s="2"/>
      <c r="AJ93" s="2"/>
      <c r="AK93" s="9"/>
      <c r="AL93" s="2"/>
      <c r="AM93" s="2"/>
      <c r="AN93" s="2"/>
      <c r="AO93" s="2"/>
      <c r="AP93" s="2"/>
      <c r="AQ93" s="2"/>
      <c r="AR93" s="2"/>
      <c r="AS93" s="2"/>
    </row>
    <row r="94" spans="3:45" s="239" customFormat="1" ht="20.100000000000001" hidden="1" customHeight="1" thickBot="1">
      <c r="C94" s="255" t="s">
        <v>93</v>
      </c>
      <c r="D94" s="243"/>
      <c r="E94" s="256">
        <v>3.9899999999999998E-2</v>
      </c>
      <c r="F94" s="262"/>
      <c r="G94" s="256">
        <v>4.2000000000000003E-2</v>
      </c>
      <c r="H94" s="235"/>
      <c r="I94" s="256">
        <v>4.41E-2</v>
      </c>
      <c r="J94" s="235"/>
      <c r="K94" s="104"/>
      <c r="L94" s="235"/>
      <c r="M94" s="84"/>
      <c r="N94" s="235"/>
      <c r="O94" s="84"/>
      <c r="P94" s="235"/>
      <c r="Q94" s="270"/>
      <c r="R94" s="243"/>
      <c r="S94" s="227"/>
      <c r="T94" s="262"/>
      <c r="U94" s="227"/>
      <c r="V94" s="235"/>
      <c r="W94" s="227"/>
      <c r="X94" s="235"/>
      <c r="Y94" s="235"/>
      <c r="Z94" s="235"/>
      <c r="AA94" s="235"/>
      <c r="AB94" s="235"/>
      <c r="AC94" s="235"/>
      <c r="AD94" s="235"/>
      <c r="AE94" s="187"/>
      <c r="AF94" s="187"/>
      <c r="AG94" s="187"/>
      <c r="AH94" s="2"/>
      <c r="AI94" s="2"/>
      <c r="AJ94" s="2"/>
      <c r="AK94" s="9"/>
      <c r="AL94" s="2"/>
      <c r="AM94" s="2"/>
      <c r="AN94" s="2"/>
      <c r="AO94" s="2"/>
      <c r="AP94" s="2"/>
      <c r="AQ94" s="2"/>
      <c r="AR94" s="2"/>
      <c r="AS94" s="2"/>
    </row>
    <row r="95" spans="3:45" s="239" customFormat="1" ht="20.100000000000001" hidden="1" customHeight="1" thickBot="1">
      <c r="C95" s="255" t="s">
        <v>94</v>
      </c>
      <c r="D95" s="243"/>
      <c r="E95" s="256">
        <v>4.0899999999999999E-2</v>
      </c>
      <c r="F95" s="262"/>
      <c r="G95" s="256">
        <v>4.2999999999999997E-2</v>
      </c>
      <c r="H95" s="235"/>
      <c r="I95" s="263">
        <v>4.5100000000000001E-2</v>
      </c>
      <c r="J95" s="235"/>
      <c r="K95" s="211" t="s">
        <v>104</v>
      </c>
      <c r="L95" s="235"/>
      <c r="M95" s="264">
        <v>20</v>
      </c>
      <c r="N95" s="235"/>
      <c r="O95" s="265">
        <f>M95</f>
        <v>20</v>
      </c>
      <c r="P95" s="235"/>
      <c r="Q95" s="270"/>
      <c r="R95" s="243"/>
      <c r="S95" s="227"/>
      <c r="T95" s="262"/>
      <c r="U95" s="227"/>
      <c r="V95" s="235"/>
      <c r="W95" s="227"/>
      <c r="X95" s="235"/>
      <c r="Y95" s="235"/>
      <c r="Z95" s="235"/>
      <c r="AA95" s="235"/>
      <c r="AB95" s="235"/>
      <c r="AC95" s="235"/>
      <c r="AD95" s="235"/>
      <c r="AE95" s="187"/>
      <c r="AF95" s="187"/>
      <c r="AG95" s="187"/>
      <c r="AH95" s="2"/>
      <c r="AI95" s="2"/>
      <c r="AJ95" s="2"/>
      <c r="AK95" s="9"/>
      <c r="AL95" s="2"/>
      <c r="AM95" s="2"/>
      <c r="AN95" s="2"/>
      <c r="AO95" s="2"/>
      <c r="AP95" s="2"/>
      <c r="AQ95" s="2"/>
      <c r="AR95" s="2"/>
      <c r="AS95" s="2"/>
    </row>
    <row r="96" spans="3:45" s="239" customFormat="1" ht="20.100000000000001" hidden="1" customHeight="1" thickBot="1">
      <c r="C96" s="255" t="s">
        <v>95</v>
      </c>
      <c r="D96" s="243"/>
      <c r="E96" s="256">
        <v>4.2000000000000003E-2</v>
      </c>
      <c r="F96" s="262"/>
      <c r="G96" s="256">
        <v>4.41E-2</v>
      </c>
      <c r="H96" s="235"/>
      <c r="I96" s="227"/>
      <c r="J96" s="235"/>
      <c r="K96" s="266" t="s">
        <v>79</v>
      </c>
      <c r="L96" s="235"/>
      <c r="M96" s="274">
        <f>-PMT(M93/12,M95*12,M92,1)</f>
        <v>554.6006438298906</v>
      </c>
      <c r="N96" s="235"/>
      <c r="O96" s="274">
        <f>-PMT(O93/12,M95*12,O92,1)</f>
        <v>716.43322278874962</v>
      </c>
      <c r="P96" s="235"/>
      <c r="Q96" s="270"/>
      <c r="R96" s="243"/>
      <c r="S96" s="227"/>
      <c r="T96" s="262"/>
      <c r="U96" s="227"/>
      <c r="V96" s="235"/>
      <c r="W96" s="227"/>
      <c r="X96" s="235"/>
      <c r="Y96" s="235"/>
      <c r="Z96" s="235"/>
      <c r="AA96" s="235"/>
      <c r="AB96" s="235"/>
      <c r="AC96" s="235"/>
      <c r="AD96" s="235"/>
      <c r="AE96" s="187"/>
      <c r="AF96" s="187"/>
      <c r="AG96" s="187"/>
      <c r="AH96" s="2"/>
      <c r="AI96" s="2"/>
      <c r="AJ96" s="2"/>
      <c r="AK96" s="9"/>
      <c r="AL96" s="2"/>
      <c r="AM96" s="2"/>
      <c r="AN96" s="2"/>
      <c r="AO96" s="2"/>
      <c r="AP96" s="2"/>
      <c r="AQ96" s="2"/>
      <c r="AR96" s="2"/>
      <c r="AS96" s="2"/>
    </row>
    <row r="97" spans="3:48" s="239" customFormat="1" ht="20.100000000000001" hidden="1" customHeight="1">
      <c r="C97" s="255" t="s">
        <v>96</v>
      </c>
      <c r="D97" s="243"/>
      <c r="E97" s="256">
        <v>4.2999999999999997E-2</v>
      </c>
      <c r="F97" s="262"/>
      <c r="G97" s="256">
        <v>4.5100000000000001E-2</v>
      </c>
      <c r="H97" s="235"/>
      <c r="I97" s="227"/>
      <c r="J97" s="235"/>
      <c r="K97" s="235"/>
      <c r="L97" s="235"/>
      <c r="M97" s="235"/>
      <c r="N97" s="235"/>
      <c r="O97" s="235"/>
      <c r="P97" s="235"/>
      <c r="Q97" s="270"/>
      <c r="R97" s="243"/>
      <c r="S97" s="227"/>
      <c r="T97" s="262"/>
      <c r="U97" s="227"/>
      <c r="V97" s="235"/>
      <c r="W97" s="227"/>
      <c r="X97" s="235"/>
      <c r="Y97" s="235"/>
      <c r="Z97" s="235"/>
      <c r="AA97" s="235"/>
      <c r="AB97" s="235"/>
      <c r="AC97" s="235"/>
      <c r="AD97" s="235"/>
      <c r="AE97" s="187"/>
      <c r="AF97" s="187"/>
      <c r="AG97" s="187"/>
      <c r="AH97" s="2"/>
      <c r="AI97" s="2"/>
      <c r="AJ97" s="2"/>
      <c r="AK97" s="9"/>
      <c r="AL97" s="2"/>
      <c r="AM97" s="2"/>
      <c r="AN97" s="2"/>
      <c r="AO97" s="2"/>
      <c r="AP97" s="2"/>
      <c r="AQ97" s="2"/>
      <c r="AR97" s="2"/>
      <c r="AS97" s="2"/>
    </row>
    <row r="98" spans="3:48" s="239" customFormat="1" ht="20.100000000000001" hidden="1" customHeight="1" thickBot="1">
      <c r="C98" s="269" t="s">
        <v>97</v>
      </c>
      <c r="D98" s="243"/>
      <c r="E98" s="263">
        <v>4.41E-2</v>
      </c>
      <c r="F98" s="262"/>
      <c r="G98" s="263">
        <v>4.6100000000000002E-2</v>
      </c>
      <c r="H98" s="235"/>
      <c r="I98" s="227"/>
      <c r="J98" s="235"/>
      <c r="K98" s="262"/>
      <c r="L98" s="262"/>
      <c r="M98" s="235"/>
      <c r="N98" s="235"/>
      <c r="O98" s="235"/>
      <c r="P98" s="235"/>
      <c r="Q98" s="270"/>
      <c r="R98" s="243"/>
      <c r="S98" s="227"/>
      <c r="T98" s="262"/>
      <c r="U98" s="227"/>
      <c r="V98" s="235"/>
      <c r="W98" s="227"/>
      <c r="X98" s="235"/>
      <c r="Y98" s="235"/>
      <c r="Z98" s="235"/>
      <c r="AA98" s="235"/>
      <c r="AB98" s="235"/>
      <c r="AC98" s="235"/>
      <c r="AD98" s="235"/>
      <c r="AE98" s="187"/>
      <c r="AF98" s="187"/>
      <c r="AG98" s="187"/>
      <c r="AH98" s="2"/>
      <c r="AI98" s="2"/>
      <c r="AJ98" s="2"/>
      <c r="AK98" s="9"/>
      <c r="AL98" s="2"/>
      <c r="AM98" s="2"/>
      <c r="AN98" s="2"/>
      <c r="AO98" s="2"/>
      <c r="AP98" s="2"/>
      <c r="AQ98" s="2"/>
      <c r="AR98" s="2"/>
      <c r="AS98" s="2"/>
    </row>
    <row r="99" spans="3:48" s="239" customFormat="1" ht="20.100000000000001" hidden="1" customHeight="1">
      <c r="C99" s="270"/>
      <c r="D99" s="243"/>
      <c r="E99" s="227"/>
      <c r="F99" s="262"/>
      <c r="G99" s="227"/>
      <c r="H99" s="235"/>
      <c r="I99" s="227"/>
      <c r="J99" s="235"/>
      <c r="K99" s="262"/>
      <c r="L99" s="262"/>
      <c r="M99" s="235"/>
      <c r="N99" s="235"/>
      <c r="O99" s="235"/>
      <c r="P99" s="235"/>
      <c r="Q99" s="270"/>
      <c r="R99" s="243"/>
      <c r="S99" s="227"/>
      <c r="T99" s="262"/>
      <c r="U99" s="227"/>
      <c r="V99" s="235"/>
      <c r="W99" s="227"/>
      <c r="X99" s="235"/>
      <c r="Y99" s="235"/>
      <c r="Z99" s="235"/>
      <c r="AA99" s="235"/>
      <c r="AB99" s="235"/>
      <c r="AC99" s="235"/>
      <c r="AD99" s="235"/>
      <c r="AE99" s="187"/>
      <c r="AF99" s="187"/>
      <c r="AG99" s="187"/>
      <c r="AH99" s="2"/>
      <c r="AI99" s="2"/>
      <c r="AJ99" s="2"/>
      <c r="AK99" s="9"/>
      <c r="AL99" s="2"/>
      <c r="AM99" s="2"/>
      <c r="AN99" s="2"/>
      <c r="AO99" s="2"/>
      <c r="AP99" s="2"/>
      <c r="AQ99" s="2"/>
      <c r="AR99" s="2"/>
      <c r="AS99" s="2"/>
    </row>
    <row r="100" spans="3:48" s="239" customFormat="1" ht="20.100000000000001" hidden="1" customHeight="1">
      <c r="C100" s="270"/>
      <c r="D100" s="243"/>
      <c r="E100" s="227"/>
      <c r="F100" s="262"/>
      <c r="G100" s="227"/>
      <c r="H100" s="235"/>
      <c r="I100" s="227"/>
      <c r="J100" s="235"/>
      <c r="K100" s="262"/>
      <c r="L100" s="262"/>
      <c r="M100" s="235"/>
      <c r="N100" s="235"/>
      <c r="O100" s="235"/>
      <c r="P100" s="235"/>
      <c r="Q100" s="270"/>
      <c r="R100" s="243"/>
      <c r="S100" s="227"/>
      <c r="T100" s="262"/>
      <c r="U100" s="227"/>
      <c r="V100" s="235"/>
      <c r="W100" s="227"/>
      <c r="X100" s="235"/>
      <c r="Y100" s="235"/>
      <c r="Z100" s="235"/>
      <c r="AA100" s="235"/>
      <c r="AB100" s="235"/>
      <c r="AC100" s="235"/>
      <c r="AD100" s="235"/>
      <c r="AE100" s="187"/>
      <c r="AF100" s="187"/>
      <c r="AG100" s="187"/>
      <c r="AH100" s="2"/>
      <c r="AI100" s="2"/>
      <c r="AJ100" s="2"/>
      <c r="AK100" s="9"/>
      <c r="AL100" s="2"/>
      <c r="AM100" s="2"/>
      <c r="AN100" s="2"/>
      <c r="AO100" s="2"/>
      <c r="AP100" s="2"/>
      <c r="AQ100" s="2"/>
      <c r="AR100" s="2"/>
      <c r="AS100" s="2"/>
    </row>
    <row r="101" spans="3:48" s="239" customFormat="1" ht="20.100000000000001" customHeight="1">
      <c r="C101" s="270"/>
      <c r="D101" s="243"/>
      <c r="E101" s="227"/>
      <c r="F101" s="262"/>
      <c r="G101" s="227"/>
      <c r="H101" s="235"/>
      <c r="I101" s="227"/>
      <c r="J101" s="235"/>
      <c r="K101" s="262"/>
      <c r="L101" s="262"/>
      <c r="M101" s="235"/>
      <c r="N101" s="235"/>
      <c r="O101" s="235"/>
      <c r="P101" s="235"/>
      <c r="Q101" s="270"/>
      <c r="R101" s="243"/>
      <c r="S101" s="227"/>
      <c r="T101" s="262"/>
      <c r="U101" s="227"/>
      <c r="V101" s="235"/>
      <c r="W101" s="227"/>
      <c r="X101" s="235"/>
      <c r="Y101" s="235"/>
      <c r="Z101" s="235"/>
      <c r="AA101" s="235"/>
      <c r="AB101" s="235"/>
      <c r="AC101" s="235"/>
      <c r="AD101" s="235"/>
      <c r="AE101" s="187"/>
      <c r="AF101" s="187"/>
      <c r="AG101" s="187"/>
      <c r="AH101" s="2"/>
      <c r="AI101" s="2"/>
      <c r="AJ101" s="2"/>
      <c r="AK101" s="2" t="s">
        <v>145</v>
      </c>
      <c r="AL101" s="2"/>
      <c r="AM101" s="2"/>
      <c r="AN101" s="2"/>
      <c r="AO101" s="2"/>
      <c r="AP101" s="2"/>
      <c r="AQ101" s="4"/>
      <c r="AR101" s="2"/>
      <c r="AS101" s="2"/>
      <c r="AT101" s="2"/>
      <c r="AU101" s="2"/>
      <c r="AV101" s="2"/>
    </row>
    <row r="102" spans="3:48" s="239" customFormat="1" ht="20.100000000000001" customHeight="1">
      <c r="C102" s="270"/>
      <c r="D102" s="243"/>
      <c r="E102" s="227"/>
      <c r="F102" s="262"/>
      <c r="G102" s="227"/>
      <c r="H102" s="235"/>
      <c r="I102" s="227"/>
      <c r="J102" s="235"/>
      <c r="K102" s="262"/>
      <c r="L102" s="262"/>
      <c r="M102" s="235"/>
      <c r="N102" s="235"/>
      <c r="O102" s="235"/>
      <c r="P102" s="235"/>
      <c r="Q102" s="270"/>
      <c r="R102" s="243"/>
      <c r="S102" s="227"/>
      <c r="T102" s="262"/>
      <c r="U102" s="227"/>
      <c r="V102" s="235"/>
      <c r="W102" s="227"/>
      <c r="X102" s="235"/>
      <c r="Y102" s="235"/>
      <c r="Z102" s="235"/>
      <c r="AA102" s="235"/>
      <c r="AB102" s="235"/>
      <c r="AC102" s="235"/>
      <c r="AD102" s="235"/>
      <c r="AE102" s="187"/>
      <c r="AF102" s="187"/>
      <c r="AG102" s="187"/>
      <c r="AH102" s="2"/>
      <c r="AI102" s="2"/>
      <c r="AJ102" s="2"/>
      <c r="AK102" s="2" t="s">
        <v>146</v>
      </c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</row>
    <row r="103" spans="3:48" s="239" customFormat="1" ht="20.100000000000001" customHeight="1">
      <c r="C103" s="270"/>
      <c r="D103" s="243"/>
      <c r="E103" s="227"/>
      <c r="F103" s="262"/>
      <c r="G103" s="227"/>
      <c r="H103" s="235"/>
      <c r="I103" s="227"/>
      <c r="J103" s="235"/>
      <c r="K103" s="262"/>
      <c r="L103" s="262"/>
      <c r="M103" s="235"/>
      <c r="N103" s="270"/>
      <c r="O103" s="243"/>
      <c r="P103" s="227"/>
      <c r="Q103" s="262"/>
      <c r="R103" s="227"/>
      <c r="S103" s="235"/>
      <c r="T103" s="227"/>
      <c r="U103" s="235"/>
      <c r="V103" s="235"/>
      <c r="W103" s="235"/>
      <c r="X103" s="235"/>
      <c r="Y103" s="235"/>
      <c r="Z103" s="235"/>
      <c r="AA103" s="235"/>
      <c r="AB103" s="187"/>
      <c r="AC103" s="187"/>
      <c r="AD103" s="187"/>
      <c r="AE103" s="2"/>
      <c r="AF103" s="2"/>
      <c r="AG103" s="2"/>
      <c r="AH103" s="2"/>
      <c r="AI103" s="2"/>
      <c r="AJ103" s="2"/>
      <c r="AK103" s="2"/>
      <c r="AL103" s="171"/>
      <c r="AM103" s="171"/>
      <c r="AN103" s="2"/>
      <c r="AO103" s="2"/>
      <c r="AP103" s="2"/>
      <c r="AQ103" s="2"/>
      <c r="AR103" s="2"/>
      <c r="AS103" s="2"/>
      <c r="AT103" s="2"/>
      <c r="AU103" s="2"/>
      <c r="AV103" s="2"/>
    </row>
    <row r="104" spans="3:48" s="239" customFormat="1" ht="20.100000000000001" customHeight="1">
      <c r="C104" s="270"/>
      <c r="D104" s="243"/>
      <c r="E104" s="227"/>
      <c r="F104" s="262"/>
      <c r="G104" s="227"/>
      <c r="H104" s="235"/>
      <c r="I104" s="227"/>
      <c r="J104" s="235"/>
      <c r="K104" s="262"/>
      <c r="L104" s="270"/>
      <c r="M104" s="243"/>
      <c r="N104" s="227"/>
      <c r="O104" s="262"/>
      <c r="P104" s="227"/>
      <c r="Q104" s="235"/>
      <c r="R104" s="227"/>
      <c r="S104" s="235"/>
      <c r="T104" s="235"/>
      <c r="U104" s="235"/>
      <c r="V104" s="235"/>
      <c r="W104" s="235"/>
      <c r="X104" s="235"/>
      <c r="Y104" s="235"/>
      <c r="Z104" s="187"/>
      <c r="AA104" s="187"/>
      <c r="AB104" s="187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3:48" s="239" customFormat="1" ht="20.100000000000001" customHeight="1">
      <c r="C105" s="55" t="s">
        <v>0</v>
      </c>
      <c r="D105" s="1"/>
      <c r="E105" s="324" t="s">
        <v>132</v>
      </c>
      <c r="F105" s="166"/>
      <c r="G105" s="275">
        <v>800</v>
      </c>
      <c r="H105" s="166"/>
      <c r="I105" s="147"/>
      <c r="J105" s="166"/>
      <c r="K105" s="20"/>
      <c r="L105" s="270"/>
      <c r="M105" s="276">
        <v>630</v>
      </c>
      <c r="N105" s="227"/>
      <c r="O105" s="262"/>
      <c r="P105" s="227"/>
      <c r="Q105" s="235"/>
      <c r="R105" s="227"/>
      <c r="S105" s="235"/>
      <c r="T105" s="235"/>
      <c r="U105" s="235"/>
      <c r="V105" s="235"/>
      <c r="W105" s="235"/>
      <c r="X105" s="235"/>
      <c r="Y105" s="235"/>
      <c r="Z105" s="187"/>
      <c r="AA105" s="187"/>
      <c r="AB105" s="187"/>
      <c r="AC105" s="2"/>
      <c r="AD105" s="2"/>
      <c r="AE105" s="2"/>
      <c r="AF105" s="2"/>
      <c r="AG105" s="2"/>
      <c r="AH105" s="2"/>
      <c r="AI105" s="2"/>
      <c r="AJ105" s="2"/>
      <c r="AK105" s="2" t="s">
        <v>144</v>
      </c>
      <c r="AN105" s="2"/>
    </row>
    <row r="106" spans="3:48" s="239" customFormat="1" ht="20.100000000000001" customHeight="1">
      <c r="C106" s="55" t="s">
        <v>0</v>
      </c>
      <c r="D106" s="1"/>
      <c r="E106" s="324" t="s">
        <v>132</v>
      </c>
      <c r="F106" s="166"/>
      <c r="G106" s="275">
        <v>630</v>
      </c>
      <c r="H106" s="166"/>
      <c r="I106" s="147"/>
      <c r="J106" s="166"/>
      <c r="K106" s="20"/>
      <c r="L106" s="270"/>
      <c r="M106" s="276">
        <v>630</v>
      </c>
      <c r="N106" s="227"/>
      <c r="O106" s="262"/>
      <c r="P106" s="227"/>
      <c r="Q106" s="235"/>
      <c r="R106" s="227"/>
      <c r="S106" s="235"/>
      <c r="T106" s="235"/>
      <c r="U106" s="235"/>
      <c r="V106" s="235"/>
      <c r="W106" s="235"/>
      <c r="X106" s="235"/>
      <c r="Y106" s="235"/>
      <c r="Z106" s="187"/>
      <c r="AA106" s="187"/>
      <c r="AB106" s="187"/>
      <c r="AC106" s="2"/>
      <c r="AD106" s="2"/>
      <c r="AE106" s="2"/>
      <c r="AF106" s="2"/>
      <c r="AG106" s="2"/>
      <c r="AH106" s="2"/>
      <c r="AI106" s="2"/>
      <c r="AJ106" s="2"/>
      <c r="AK106" s="2" t="s">
        <v>140</v>
      </c>
      <c r="AL106" s="2"/>
      <c r="AM106" s="2"/>
      <c r="AN106" s="2"/>
    </row>
    <row r="107" spans="3:48" s="239" customFormat="1" ht="20.100000000000001" customHeight="1">
      <c r="C107" s="55" t="s">
        <v>0</v>
      </c>
      <c r="D107" s="1"/>
      <c r="E107" s="324" t="s">
        <v>132</v>
      </c>
      <c r="F107" s="166"/>
      <c r="G107" s="275">
        <v>500</v>
      </c>
      <c r="H107" s="166"/>
      <c r="I107" s="147"/>
      <c r="J107" s="166"/>
      <c r="K107" s="20"/>
      <c r="L107" s="270"/>
      <c r="M107" s="276">
        <v>500</v>
      </c>
      <c r="N107" s="227"/>
      <c r="O107" s="262"/>
      <c r="P107" s="227"/>
      <c r="Q107" s="235"/>
      <c r="R107" s="227"/>
      <c r="S107" s="235"/>
      <c r="T107" s="235"/>
      <c r="U107" s="235"/>
      <c r="V107" s="235"/>
      <c r="W107" s="235"/>
      <c r="X107" s="235"/>
      <c r="Y107" s="235"/>
      <c r="Z107" s="187"/>
      <c r="AA107" s="187"/>
      <c r="AB107" s="187"/>
      <c r="AC107" s="2"/>
      <c r="AD107" s="2"/>
      <c r="AE107" s="2"/>
      <c r="AF107" s="2"/>
      <c r="AG107" s="2"/>
      <c r="AH107" s="2"/>
      <c r="AI107" s="2"/>
      <c r="AJ107" s="2"/>
      <c r="AK107" s="2" t="s">
        <v>150</v>
      </c>
      <c r="AL107" s="2"/>
      <c r="AM107" s="2"/>
      <c r="AN107" s="2"/>
    </row>
    <row r="108" spans="3:48" s="239" customFormat="1" ht="20.100000000000001" customHeight="1">
      <c r="C108" s="55" t="s">
        <v>0</v>
      </c>
      <c r="D108" s="1"/>
      <c r="E108" s="275">
        <v>1001</v>
      </c>
      <c r="F108" s="166"/>
      <c r="G108" s="324" t="s">
        <v>132</v>
      </c>
      <c r="H108" s="166"/>
      <c r="I108" s="277" t="s">
        <v>133</v>
      </c>
      <c r="J108" s="166"/>
      <c r="K108" s="20"/>
      <c r="L108" s="270"/>
      <c r="M108" s="276">
        <v>630</v>
      </c>
      <c r="N108" s="227"/>
      <c r="O108" s="262"/>
      <c r="P108" s="227"/>
      <c r="Q108" s="235"/>
      <c r="R108" s="227"/>
      <c r="S108" s="235"/>
      <c r="T108" s="235"/>
      <c r="U108" s="235"/>
      <c r="V108" s="235"/>
      <c r="W108" s="235"/>
      <c r="X108" s="235"/>
      <c r="Y108" s="235"/>
      <c r="Z108" s="187"/>
      <c r="AA108" s="187"/>
      <c r="AB108" s="187"/>
      <c r="AC108" s="2"/>
      <c r="AD108" s="2"/>
      <c r="AE108" s="2"/>
      <c r="AF108" s="2"/>
      <c r="AG108" s="2"/>
      <c r="AH108" s="2"/>
      <c r="AI108" s="2"/>
      <c r="AJ108" s="2"/>
      <c r="AK108" s="2" t="s">
        <v>141</v>
      </c>
      <c r="AL108" s="2"/>
      <c r="AM108" s="2"/>
      <c r="AN108" s="2"/>
    </row>
    <row r="109" spans="3:48" s="239" customFormat="1" ht="20.100000000000001" customHeight="1">
      <c r="C109" s="55" t="s">
        <v>0</v>
      </c>
      <c r="D109" s="1"/>
      <c r="E109" s="275">
        <v>1001</v>
      </c>
      <c r="F109" s="166"/>
      <c r="G109" s="275">
        <v>631</v>
      </c>
      <c r="H109" s="166"/>
      <c r="J109" s="166"/>
      <c r="K109" s="20"/>
      <c r="L109" s="270"/>
      <c r="M109" s="276">
        <v>1000</v>
      </c>
      <c r="N109" s="227"/>
      <c r="O109" s="262"/>
      <c r="P109" s="227"/>
      <c r="Q109" s="235"/>
      <c r="R109" s="227"/>
      <c r="S109" s="235"/>
      <c r="T109" s="235"/>
      <c r="U109" s="235"/>
      <c r="V109" s="235"/>
      <c r="W109" s="235"/>
      <c r="X109" s="235"/>
      <c r="Y109" s="235"/>
      <c r="Z109" s="187"/>
      <c r="AA109" s="187"/>
      <c r="AB109" s="187"/>
      <c r="AC109" s="2"/>
      <c r="AD109" s="2"/>
      <c r="AE109" s="2"/>
      <c r="AF109" s="2"/>
      <c r="AG109" s="2"/>
      <c r="AH109" s="2"/>
      <c r="AI109" s="2"/>
      <c r="AJ109" s="2"/>
      <c r="AK109" s="277" t="s">
        <v>152</v>
      </c>
      <c r="AL109" s="2"/>
      <c r="AM109" s="2"/>
      <c r="AN109" s="2"/>
    </row>
    <row r="110" spans="3:48" s="239" customFormat="1" ht="20.100000000000001" customHeight="1">
      <c r="C110" s="55" t="s">
        <v>0</v>
      </c>
      <c r="D110" s="1"/>
      <c r="E110" s="275">
        <v>1001</v>
      </c>
      <c r="F110" s="166"/>
      <c r="G110" s="275">
        <v>100</v>
      </c>
      <c r="H110" s="166"/>
      <c r="I110" s="147"/>
      <c r="J110" s="166"/>
      <c r="K110" s="20"/>
      <c r="L110" s="270"/>
      <c r="M110" s="276">
        <v>1000</v>
      </c>
      <c r="N110" s="227"/>
      <c r="O110" s="262"/>
      <c r="P110" s="227"/>
      <c r="Q110" s="235"/>
      <c r="R110" s="227"/>
      <c r="S110" s="235"/>
      <c r="T110" s="235"/>
      <c r="U110" s="235"/>
      <c r="V110" s="235"/>
      <c r="W110" s="235"/>
      <c r="X110" s="235"/>
      <c r="Y110" s="235"/>
      <c r="Z110" s="187"/>
      <c r="AA110" s="187"/>
      <c r="AB110" s="187"/>
      <c r="AC110" s="2"/>
      <c r="AD110" s="2"/>
      <c r="AE110" s="2"/>
      <c r="AF110" s="2"/>
      <c r="AG110" s="2"/>
      <c r="AH110" s="2"/>
      <c r="AI110" s="2"/>
      <c r="AJ110" s="2"/>
      <c r="AK110" s="277" t="s">
        <v>153</v>
      </c>
      <c r="AL110" s="2"/>
      <c r="AM110" s="2"/>
      <c r="AN110" s="2"/>
    </row>
    <row r="111" spans="3:48" s="239" customFormat="1" ht="20.100000000000001" customHeight="1">
      <c r="C111" s="55" t="s">
        <v>0</v>
      </c>
      <c r="D111" s="1"/>
      <c r="E111" s="275">
        <v>851</v>
      </c>
      <c r="F111" s="166"/>
      <c r="G111" s="275"/>
      <c r="H111" s="166"/>
      <c r="J111" s="166"/>
      <c r="K111" s="20"/>
      <c r="L111" s="270"/>
      <c r="M111" s="276">
        <v>850</v>
      </c>
      <c r="N111" s="227"/>
      <c r="O111" s="262"/>
      <c r="P111" s="227"/>
      <c r="Q111" s="235"/>
      <c r="R111" s="227"/>
      <c r="S111" s="235"/>
      <c r="T111" s="235"/>
      <c r="U111" s="235"/>
      <c r="V111" s="235"/>
      <c r="W111" s="235"/>
      <c r="X111" s="235"/>
      <c r="Y111" s="235"/>
      <c r="Z111" s="187"/>
      <c r="AA111" s="187"/>
      <c r="AB111" s="187"/>
      <c r="AC111" s="2"/>
      <c r="AD111" s="2"/>
      <c r="AE111" s="2"/>
      <c r="AF111" s="2"/>
      <c r="AG111" s="2"/>
      <c r="AH111" s="2"/>
      <c r="AI111" s="2"/>
      <c r="AJ111" s="2"/>
      <c r="AK111" s="277" t="s">
        <v>142</v>
      </c>
      <c r="AL111" s="2"/>
      <c r="AM111" s="2"/>
      <c r="AN111" s="2"/>
    </row>
    <row r="112" spans="3:48" s="239" customFormat="1" ht="20.100000000000001" customHeight="1">
      <c r="C112" s="55" t="s">
        <v>0</v>
      </c>
      <c r="D112" s="1"/>
      <c r="E112" s="275">
        <v>850</v>
      </c>
      <c r="F112" s="166"/>
      <c r="G112" s="275"/>
      <c r="H112" s="166"/>
      <c r="I112" s="277"/>
      <c r="J112" s="166"/>
      <c r="K112" s="20"/>
      <c r="L112" s="270"/>
      <c r="M112" s="323" t="s">
        <v>143</v>
      </c>
      <c r="N112" s="227"/>
      <c r="O112" s="262"/>
      <c r="P112" s="227"/>
      <c r="Q112" s="235"/>
      <c r="R112" s="227"/>
      <c r="S112" s="235"/>
      <c r="T112" s="235"/>
      <c r="U112" s="235"/>
      <c r="V112" s="235"/>
      <c r="W112" s="235"/>
      <c r="X112" s="235"/>
      <c r="Y112" s="235"/>
      <c r="Z112" s="187"/>
      <c r="AA112" s="187"/>
      <c r="AB112" s="187"/>
      <c r="AC112" s="2"/>
      <c r="AD112" s="2"/>
      <c r="AE112" s="2"/>
      <c r="AF112" s="2"/>
      <c r="AG112" s="2"/>
      <c r="AH112" s="2"/>
      <c r="AI112" s="2"/>
      <c r="AJ112" s="2"/>
      <c r="AK112" s="277" t="s">
        <v>147</v>
      </c>
      <c r="AL112" s="2"/>
      <c r="AM112" s="2"/>
      <c r="AN112" s="2"/>
    </row>
    <row r="113" spans="3:45" s="239" customFormat="1" ht="20.100000000000001" customHeight="1">
      <c r="C113" s="55" t="s">
        <v>0</v>
      </c>
      <c r="D113" s="1"/>
      <c r="E113" s="275">
        <v>500</v>
      </c>
      <c r="F113" s="166"/>
      <c r="G113" s="275"/>
      <c r="H113" s="166"/>
      <c r="I113" s="277"/>
      <c r="J113" s="166"/>
      <c r="K113" s="20"/>
      <c r="L113" s="270"/>
      <c r="M113" s="276">
        <v>500</v>
      </c>
      <c r="N113" s="227"/>
      <c r="O113" s="262"/>
      <c r="P113" s="227"/>
      <c r="Q113" s="235"/>
      <c r="R113" s="227"/>
      <c r="S113" s="235"/>
      <c r="T113" s="235"/>
      <c r="U113" s="235"/>
      <c r="V113" s="235"/>
      <c r="W113" s="235"/>
      <c r="X113" s="235"/>
      <c r="Y113" s="235"/>
      <c r="Z113" s="187"/>
      <c r="AA113" s="187"/>
      <c r="AB113" s="187"/>
      <c r="AC113" s="2"/>
      <c r="AD113" s="2"/>
      <c r="AE113" s="2"/>
      <c r="AF113" s="2"/>
      <c r="AG113" s="2"/>
      <c r="AH113" s="2"/>
      <c r="AI113" s="2"/>
      <c r="AJ113" s="2"/>
      <c r="AK113" s="2" t="s">
        <v>151</v>
      </c>
      <c r="AL113" s="2"/>
      <c r="AM113" s="2"/>
      <c r="AN113" s="2"/>
    </row>
    <row r="114" spans="3:45" s="239" customFormat="1" ht="20.100000000000001" customHeight="1">
      <c r="C114" s="55" t="s">
        <v>0</v>
      </c>
      <c r="D114" s="1"/>
      <c r="E114" s="275">
        <v>850</v>
      </c>
      <c r="F114" s="166"/>
      <c r="G114" s="275">
        <v>631</v>
      </c>
      <c r="H114" s="166"/>
      <c r="I114" s="147"/>
      <c r="J114" s="166"/>
      <c r="K114" s="20"/>
      <c r="L114" s="270"/>
      <c r="M114" s="276">
        <v>850</v>
      </c>
      <c r="N114" s="227"/>
      <c r="O114" s="262"/>
      <c r="P114" s="227"/>
      <c r="Q114" s="235"/>
      <c r="R114" s="227"/>
      <c r="S114" s="235"/>
      <c r="T114" s="235"/>
      <c r="U114" s="235"/>
      <c r="V114" s="235"/>
      <c r="W114" s="235"/>
      <c r="X114" s="235"/>
      <c r="Y114" s="235"/>
      <c r="Z114" s="187"/>
      <c r="AA114" s="187"/>
      <c r="AB114" s="187"/>
      <c r="AC114" s="2"/>
      <c r="AD114" s="2"/>
      <c r="AE114" s="2"/>
      <c r="AF114" s="2"/>
      <c r="AG114" s="2"/>
      <c r="AH114" s="2"/>
      <c r="AI114" s="2"/>
      <c r="AJ114" s="2"/>
      <c r="AK114" s="2" t="s">
        <v>137</v>
      </c>
      <c r="AL114" s="2"/>
      <c r="AM114" s="2"/>
      <c r="AN114" s="2"/>
    </row>
    <row r="115" spans="3:45" s="239" customFormat="1" ht="20.100000000000001" customHeight="1">
      <c r="C115" s="55" t="s">
        <v>0</v>
      </c>
      <c r="D115" s="1"/>
      <c r="E115" s="275">
        <v>100</v>
      </c>
      <c r="F115" s="166"/>
      <c r="G115" s="275">
        <v>100</v>
      </c>
      <c r="H115" s="166"/>
      <c r="I115" s="147"/>
      <c r="J115" s="166"/>
      <c r="K115" s="20"/>
      <c r="L115" s="270"/>
      <c r="M115" s="323" t="s">
        <v>138</v>
      </c>
      <c r="N115" s="227"/>
      <c r="O115" s="262"/>
      <c r="P115" s="227"/>
      <c r="Q115" s="235"/>
      <c r="R115" s="227"/>
      <c r="S115" s="235"/>
      <c r="T115" s="235"/>
      <c r="U115" s="235"/>
      <c r="V115" s="235"/>
      <c r="W115" s="235"/>
      <c r="X115" s="235"/>
      <c r="Y115" s="235"/>
      <c r="Z115" s="187"/>
      <c r="AA115" s="187"/>
      <c r="AB115" s="187"/>
      <c r="AC115" s="2"/>
      <c r="AD115" s="2"/>
      <c r="AE115" s="2"/>
      <c r="AF115" s="2"/>
      <c r="AG115" s="2"/>
      <c r="AH115" s="2"/>
      <c r="AI115" s="2"/>
      <c r="AJ115" s="2"/>
      <c r="AK115" s="2" t="s">
        <v>139</v>
      </c>
      <c r="AL115" s="2"/>
      <c r="AM115" s="2"/>
      <c r="AN115" s="2"/>
    </row>
    <row r="116" spans="3:45" s="239" customFormat="1" ht="20.100000000000001" customHeight="1">
      <c r="C116" s="55" t="s">
        <v>0</v>
      </c>
      <c r="D116" s="1"/>
      <c r="E116" s="275"/>
      <c r="F116" s="166"/>
      <c r="G116" s="275"/>
      <c r="H116" s="166"/>
      <c r="I116" s="147"/>
      <c r="J116" s="166"/>
      <c r="K116" s="20"/>
      <c r="L116" s="270"/>
      <c r="M116" s="276"/>
      <c r="N116" s="227"/>
      <c r="O116" s="262"/>
      <c r="P116" s="227"/>
      <c r="Q116" s="235"/>
      <c r="R116" s="227"/>
      <c r="S116" s="235"/>
      <c r="T116" s="235"/>
      <c r="U116" s="235"/>
      <c r="V116" s="235"/>
      <c r="W116" s="235"/>
      <c r="X116" s="235"/>
      <c r="Y116" s="235"/>
      <c r="Z116" s="187"/>
      <c r="AA116" s="187"/>
      <c r="AB116" s="187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3:45" s="239" customFormat="1" ht="20.100000000000001" customHeight="1">
      <c r="C117" s="55" t="s">
        <v>0</v>
      </c>
      <c r="D117" s="1"/>
      <c r="E117" s="275"/>
      <c r="F117" s="166"/>
      <c r="G117" s="275"/>
      <c r="H117" s="166"/>
      <c r="I117" s="147"/>
      <c r="J117" s="166"/>
      <c r="K117" s="20"/>
      <c r="L117" s="270"/>
      <c r="M117" s="276"/>
      <c r="N117" s="235"/>
      <c r="O117" s="270"/>
      <c r="P117" s="243"/>
      <c r="Q117" s="227"/>
      <c r="R117" s="262"/>
      <c r="S117" s="227"/>
      <c r="T117" s="235"/>
      <c r="U117" s="227"/>
      <c r="V117" s="235"/>
      <c r="W117" s="235"/>
      <c r="X117" s="235"/>
      <c r="Y117" s="235"/>
      <c r="Z117" s="235"/>
      <c r="AA117" s="235"/>
      <c r="AB117" s="235"/>
      <c r="AC117" s="187"/>
      <c r="AD117" s="187"/>
      <c r="AE117" s="187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spans="3:45" s="239" customFormat="1" ht="20.100000000000001" customHeight="1">
      <c r="C118" s="55" t="s">
        <v>0</v>
      </c>
      <c r="D118" s="1"/>
      <c r="E118" s="275"/>
      <c r="F118" s="166"/>
      <c r="G118" s="275"/>
      <c r="H118" s="166"/>
      <c r="I118" s="147"/>
      <c r="J118" s="166"/>
      <c r="K118" s="20"/>
      <c r="L118" s="270"/>
      <c r="M118" s="276"/>
      <c r="N118" s="235"/>
      <c r="O118" s="235"/>
      <c r="P118" s="235"/>
      <c r="Q118" s="270"/>
      <c r="R118" s="243"/>
      <c r="S118" s="227"/>
      <c r="T118" s="262"/>
      <c r="U118" s="227"/>
      <c r="V118" s="235"/>
      <c r="W118" s="227"/>
      <c r="X118" s="235"/>
      <c r="Y118" s="235"/>
      <c r="Z118" s="235"/>
      <c r="AA118" s="235"/>
      <c r="AB118" s="235"/>
      <c r="AC118" s="235"/>
      <c r="AD118" s="235"/>
      <c r="AE118" s="187"/>
      <c r="AF118" s="187"/>
      <c r="AG118" s="187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</row>
    <row r="119" spans="3:45" s="239" customFormat="1" ht="20.100000000000001" customHeight="1">
      <c r="C119" s="55" t="s">
        <v>0</v>
      </c>
      <c r="D119" s="1"/>
      <c r="E119" s="275"/>
      <c r="F119" s="166"/>
      <c r="G119" s="275"/>
      <c r="H119" s="166"/>
      <c r="I119" s="147"/>
      <c r="J119" s="166"/>
      <c r="K119" s="20"/>
      <c r="L119" s="270"/>
      <c r="M119" s="276"/>
      <c r="N119" s="235"/>
      <c r="O119" s="235"/>
      <c r="P119" s="235"/>
      <c r="Q119" s="270"/>
      <c r="R119" s="243"/>
      <c r="S119" s="227"/>
      <c r="T119" s="262"/>
      <c r="U119" s="227"/>
      <c r="V119" s="235"/>
      <c r="W119" s="227"/>
      <c r="X119" s="235"/>
      <c r="Y119" s="235"/>
      <c r="Z119" s="235"/>
      <c r="AA119" s="235"/>
      <c r="AB119" s="235"/>
      <c r="AC119" s="235"/>
      <c r="AD119" s="235"/>
      <c r="AE119" s="187"/>
      <c r="AF119" s="187"/>
      <c r="AG119" s="187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</row>
    <row r="120" spans="3:45" s="239" customFormat="1" ht="20.100000000000001" customHeight="1">
      <c r="C120" s="55" t="s">
        <v>0</v>
      </c>
      <c r="D120" s="1"/>
      <c r="E120" s="275"/>
      <c r="F120" s="166"/>
      <c r="G120" s="275"/>
      <c r="H120" s="166"/>
      <c r="I120" s="147"/>
      <c r="J120" s="166"/>
      <c r="K120" s="20"/>
      <c r="L120" s="270"/>
      <c r="M120" s="276"/>
      <c r="N120" s="235"/>
      <c r="O120" s="235"/>
      <c r="P120" s="235"/>
      <c r="Q120" s="270"/>
      <c r="R120" s="243"/>
      <c r="S120" s="227"/>
      <c r="T120" s="262"/>
      <c r="U120" s="227"/>
      <c r="V120" s="235"/>
      <c r="W120" s="227"/>
      <c r="X120" s="235"/>
      <c r="Y120" s="235"/>
      <c r="Z120" s="235"/>
      <c r="AA120" s="235"/>
      <c r="AB120" s="235"/>
      <c r="AC120" s="235"/>
      <c r="AD120" s="235"/>
      <c r="AE120" s="187"/>
      <c r="AF120" s="187"/>
      <c r="AG120" s="187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</row>
    <row r="121" spans="3:45" s="239" customFormat="1" ht="20.100000000000001" customHeight="1">
      <c r="C121" s="55" t="s">
        <v>0</v>
      </c>
      <c r="D121" s="1"/>
      <c r="E121" s="275"/>
      <c r="F121" s="166"/>
      <c r="G121" s="275"/>
      <c r="H121" s="166"/>
      <c r="I121" s="147"/>
      <c r="J121" s="166"/>
      <c r="K121" s="20"/>
      <c r="L121" s="270"/>
      <c r="M121" s="276"/>
      <c r="N121" s="235"/>
      <c r="O121" s="235"/>
      <c r="P121" s="235"/>
      <c r="Q121" s="270"/>
      <c r="R121" s="243"/>
      <c r="S121" s="227"/>
      <c r="T121" s="262"/>
      <c r="U121" s="227"/>
      <c r="V121" s="235"/>
      <c r="W121" s="227"/>
      <c r="X121" s="235"/>
      <c r="Y121" s="235"/>
      <c r="Z121" s="235"/>
      <c r="AA121" s="235"/>
      <c r="AB121" s="235"/>
      <c r="AC121" s="235"/>
      <c r="AD121" s="235"/>
      <c r="AE121" s="187"/>
      <c r="AF121" s="187"/>
      <c r="AG121" s="187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</row>
    <row r="122" spans="3:45" s="239" customFormat="1" ht="20.100000000000001" customHeight="1">
      <c r="C122" s="55" t="s">
        <v>0</v>
      </c>
      <c r="D122" s="1"/>
      <c r="E122" s="275"/>
      <c r="F122" s="166"/>
      <c r="G122" s="275"/>
      <c r="H122" s="166"/>
      <c r="I122" s="147"/>
      <c r="J122" s="166"/>
      <c r="K122" s="20"/>
      <c r="L122" s="270"/>
      <c r="M122" s="276"/>
      <c r="N122" s="235"/>
      <c r="O122" s="235"/>
      <c r="P122" s="235"/>
      <c r="Q122" s="270"/>
      <c r="R122" s="243"/>
      <c r="S122" s="227"/>
      <c r="T122" s="262"/>
      <c r="U122" s="227"/>
      <c r="V122" s="235"/>
      <c r="W122" s="227"/>
      <c r="X122" s="235"/>
      <c r="Y122" s="235"/>
      <c r="Z122" s="235"/>
      <c r="AA122" s="235"/>
      <c r="AB122" s="235"/>
      <c r="AC122" s="235"/>
      <c r="AD122" s="235"/>
      <c r="AE122" s="187"/>
      <c r="AF122" s="187"/>
      <c r="AG122" s="187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</row>
    <row r="123" spans="3:45" s="239" customFormat="1" ht="20.100000000000001" customHeight="1">
      <c r="C123" s="55" t="s">
        <v>0</v>
      </c>
      <c r="D123" s="1"/>
      <c r="E123" s="275"/>
      <c r="F123" s="166"/>
      <c r="G123" s="275"/>
      <c r="H123" s="166"/>
      <c r="I123" s="147"/>
      <c r="J123" s="166"/>
      <c r="K123" s="20"/>
      <c r="L123" s="270"/>
      <c r="M123" s="276"/>
      <c r="N123" s="235"/>
      <c r="O123" s="235"/>
      <c r="P123" s="235"/>
      <c r="Q123" s="270"/>
      <c r="R123" s="243"/>
      <c r="S123" s="227"/>
      <c r="T123" s="262"/>
      <c r="U123" s="227"/>
      <c r="V123" s="235"/>
      <c r="W123" s="227"/>
      <c r="X123" s="235"/>
      <c r="Y123" s="235"/>
      <c r="Z123" s="235"/>
      <c r="AA123" s="235"/>
      <c r="AB123" s="235"/>
      <c r="AC123" s="235"/>
      <c r="AD123" s="235"/>
      <c r="AE123" s="187"/>
      <c r="AF123" s="187"/>
      <c r="AG123" s="187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</row>
    <row r="124" spans="3:45" s="239" customFormat="1" ht="20.100000000000001" customHeight="1">
      <c r="C124" s="55" t="s">
        <v>0</v>
      </c>
      <c r="D124" s="1"/>
      <c r="E124" s="275"/>
      <c r="F124" s="166"/>
      <c r="G124" s="275"/>
      <c r="H124" s="166"/>
      <c r="I124" s="147"/>
      <c r="J124" s="166"/>
      <c r="K124" s="20"/>
      <c r="L124" s="270"/>
      <c r="M124" s="276"/>
      <c r="N124" s="235"/>
      <c r="O124" s="235"/>
      <c r="P124" s="235"/>
      <c r="Q124" s="270"/>
      <c r="R124" s="243"/>
      <c r="S124" s="227"/>
      <c r="T124" s="262"/>
      <c r="U124" s="227"/>
      <c r="V124" s="235"/>
      <c r="W124" s="227"/>
      <c r="X124" s="235"/>
      <c r="Y124" s="235"/>
      <c r="Z124" s="235"/>
      <c r="AA124" s="235"/>
      <c r="AB124" s="235"/>
      <c r="AC124" s="235"/>
      <c r="AD124" s="235"/>
      <c r="AE124" s="187"/>
      <c r="AF124" s="187"/>
      <c r="AG124" s="187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</row>
    <row r="125" spans="3:45" s="239" customFormat="1" ht="20.100000000000001" customHeight="1">
      <c r="C125" s="270"/>
      <c r="D125" s="243"/>
      <c r="E125" s="227"/>
      <c r="F125" s="262"/>
      <c r="G125" s="227"/>
      <c r="H125" s="235"/>
      <c r="I125" s="227"/>
      <c r="J125" s="235"/>
      <c r="K125" s="262"/>
      <c r="L125" s="262"/>
      <c r="M125" s="235"/>
      <c r="N125" s="235"/>
      <c r="O125" s="235"/>
      <c r="P125" s="235"/>
      <c r="Q125" s="270"/>
      <c r="R125" s="243"/>
      <c r="S125" s="227"/>
      <c r="T125" s="262"/>
      <c r="U125" s="227"/>
      <c r="V125" s="235"/>
      <c r="W125" s="227"/>
      <c r="X125" s="235"/>
      <c r="Y125" s="235"/>
      <c r="Z125" s="235"/>
      <c r="AA125" s="235"/>
      <c r="AB125" s="235"/>
      <c r="AC125" s="235"/>
      <c r="AD125" s="235"/>
      <c r="AE125" s="187"/>
      <c r="AF125" s="187"/>
      <c r="AG125" s="187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</row>
    <row r="126" spans="3:45" s="239" customFormat="1" ht="20.100000000000001" customHeight="1">
      <c r="C126" s="270"/>
      <c r="D126" s="243"/>
      <c r="E126" s="227"/>
      <c r="F126" s="262"/>
      <c r="G126" s="227"/>
      <c r="H126" s="235"/>
      <c r="I126" s="227"/>
      <c r="J126" s="235"/>
      <c r="K126" s="262"/>
      <c r="L126" s="262"/>
      <c r="M126" s="235"/>
      <c r="N126" s="235"/>
      <c r="O126" s="235"/>
      <c r="P126" s="235"/>
      <c r="Q126" s="270"/>
      <c r="R126" s="243"/>
      <c r="S126" s="227"/>
      <c r="T126" s="262"/>
      <c r="U126" s="227"/>
      <c r="V126" s="235"/>
      <c r="W126" s="227"/>
      <c r="X126" s="235"/>
      <c r="Y126" s="235"/>
      <c r="Z126" s="235"/>
      <c r="AA126" s="235"/>
      <c r="AB126" s="235"/>
      <c r="AC126" s="235"/>
      <c r="AD126" s="235"/>
      <c r="AE126" s="187"/>
      <c r="AF126" s="187"/>
      <c r="AG126" s="187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</row>
    <row r="127" spans="3:45" s="239" customFormat="1" ht="20.100000000000001" customHeight="1">
      <c r="C127" s="270"/>
      <c r="D127" s="243"/>
      <c r="E127" s="227"/>
      <c r="F127" s="262"/>
      <c r="G127" s="227"/>
      <c r="H127" s="235"/>
      <c r="I127" s="227"/>
      <c r="J127" s="235"/>
      <c r="K127" s="262"/>
      <c r="L127" s="262"/>
      <c r="M127" s="235"/>
      <c r="N127" s="235"/>
      <c r="O127" s="235"/>
      <c r="P127" s="235"/>
      <c r="Q127" s="270"/>
      <c r="R127" s="243"/>
      <c r="S127" s="227"/>
      <c r="T127" s="262"/>
      <c r="U127" s="227"/>
      <c r="V127" s="235"/>
      <c r="W127" s="227"/>
      <c r="X127" s="235"/>
      <c r="Y127" s="235"/>
      <c r="Z127" s="235"/>
      <c r="AA127" s="235"/>
      <c r="AB127" s="235"/>
      <c r="AC127" s="235"/>
      <c r="AD127" s="235"/>
      <c r="AE127" s="187"/>
      <c r="AF127" s="187"/>
      <c r="AG127" s="187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</row>
    <row r="128" spans="3:45" s="239" customFormat="1" ht="20.100000000000001" customHeight="1">
      <c r="C128" s="270"/>
      <c r="D128" s="243"/>
      <c r="E128" s="227"/>
      <c r="F128" s="262"/>
      <c r="G128" s="227"/>
      <c r="H128" s="235"/>
      <c r="I128" s="227"/>
      <c r="J128" s="235"/>
      <c r="K128" s="262"/>
      <c r="L128" s="262"/>
      <c r="M128" s="235"/>
      <c r="N128" s="235"/>
      <c r="O128" s="235"/>
      <c r="P128" s="235"/>
      <c r="Q128" s="270"/>
      <c r="R128" s="243"/>
      <c r="S128" s="227"/>
      <c r="T128" s="262"/>
      <c r="U128" s="227"/>
      <c r="V128" s="235"/>
      <c r="W128" s="227"/>
      <c r="X128" s="235"/>
      <c r="Y128" s="235"/>
      <c r="Z128" s="235"/>
      <c r="AA128" s="235"/>
      <c r="AB128" s="235"/>
      <c r="AC128" s="235"/>
      <c r="AD128" s="235"/>
      <c r="AE128" s="187"/>
      <c r="AF128" s="187"/>
      <c r="AG128" s="187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</row>
    <row r="129" spans="3:45" s="239" customFormat="1" ht="20.100000000000001" customHeight="1">
      <c r="C129" s="270"/>
      <c r="D129" s="243"/>
      <c r="E129" s="227"/>
      <c r="F129" s="262"/>
      <c r="G129" s="227"/>
      <c r="H129" s="235"/>
      <c r="I129" s="227"/>
      <c r="J129" s="235"/>
      <c r="K129" s="262"/>
      <c r="L129" s="262"/>
      <c r="M129" s="235"/>
      <c r="N129" s="235"/>
      <c r="O129" s="235"/>
      <c r="P129" s="235"/>
      <c r="Q129" s="270"/>
      <c r="R129" s="243"/>
      <c r="S129" s="227"/>
      <c r="T129" s="262"/>
      <c r="U129" s="227"/>
      <c r="V129" s="235"/>
      <c r="W129" s="227"/>
      <c r="X129" s="235"/>
      <c r="Y129" s="235"/>
      <c r="Z129" s="235"/>
      <c r="AA129" s="235"/>
      <c r="AB129" s="235"/>
      <c r="AC129" s="235"/>
      <c r="AD129" s="235"/>
      <c r="AE129" s="187"/>
      <c r="AF129" s="187"/>
      <c r="AG129" s="187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</row>
    <row r="130" spans="3:45" s="239" customFormat="1" ht="20.100000000000001" customHeight="1">
      <c r="C130" s="270"/>
      <c r="D130" s="243"/>
      <c r="E130" s="227"/>
      <c r="F130" s="262"/>
      <c r="G130" s="227"/>
      <c r="H130" s="235"/>
      <c r="I130" s="227"/>
      <c r="J130" s="235"/>
      <c r="K130" s="262"/>
      <c r="L130" s="262"/>
      <c r="M130" s="235"/>
      <c r="N130" s="235"/>
      <c r="O130" s="235"/>
      <c r="P130" s="235"/>
      <c r="Q130" s="270"/>
      <c r="R130" s="243"/>
      <c r="S130" s="227"/>
      <c r="T130" s="262"/>
      <c r="U130" s="227"/>
      <c r="V130" s="235"/>
      <c r="W130" s="227"/>
      <c r="X130" s="235"/>
      <c r="Y130" s="235"/>
      <c r="Z130" s="235"/>
      <c r="AA130" s="235"/>
      <c r="AB130" s="235"/>
      <c r="AC130" s="235"/>
      <c r="AD130" s="235"/>
      <c r="AE130" s="187"/>
      <c r="AF130" s="187"/>
      <c r="AG130" s="187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</row>
    <row r="131" spans="3:45" s="239" customFormat="1" ht="20.100000000000001" customHeight="1">
      <c r="C131" s="270"/>
      <c r="D131" s="243"/>
      <c r="E131" s="227"/>
      <c r="F131" s="262"/>
      <c r="G131" s="227"/>
      <c r="H131" s="235"/>
      <c r="I131" s="227"/>
      <c r="J131" s="235"/>
      <c r="K131" s="262"/>
      <c r="L131" s="262"/>
      <c r="M131" s="235"/>
      <c r="N131" s="235"/>
      <c r="O131" s="235"/>
      <c r="P131" s="235"/>
      <c r="Q131" s="270"/>
      <c r="R131" s="243"/>
      <c r="S131" s="227"/>
      <c r="T131" s="262"/>
      <c r="U131" s="227"/>
      <c r="V131" s="235"/>
      <c r="W131" s="227"/>
      <c r="X131" s="235"/>
      <c r="Y131" s="235"/>
      <c r="Z131" s="235"/>
      <c r="AA131" s="235"/>
      <c r="AB131" s="235"/>
      <c r="AC131" s="235"/>
      <c r="AD131" s="235"/>
      <c r="AE131" s="187"/>
      <c r="AF131" s="187"/>
      <c r="AG131" s="187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</row>
    <row r="132" spans="3:45" s="239" customFormat="1" ht="20.100000000000001" customHeight="1">
      <c r="C132" s="270"/>
      <c r="D132" s="243"/>
      <c r="E132" s="227"/>
      <c r="F132" s="262"/>
      <c r="G132" s="227"/>
      <c r="H132" s="235"/>
      <c r="I132" s="227"/>
      <c r="J132" s="235"/>
      <c r="K132" s="262"/>
      <c r="L132" s="262"/>
      <c r="M132" s="235"/>
      <c r="N132" s="235"/>
      <c r="O132" s="235"/>
      <c r="P132" s="235"/>
      <c r="Q132" s="270"/>
      <c r="R132" s="243"/>
      <c r="S132" s="227"/>
      <c r="T132" s="262"/>
      <c r="U132" s="227"/>
      <c r="V132" s="235"/>
      <c r="W132" s="227"/>
      <c r="X132" s="235"/>
      <c r="Y132" s="235"/>
      <c r="Z132" s="235"/>
      <c r="AA132" s="235"/>
      <c r="AB132" s="235"/>
      <c r="AC132" s="235"/>
      <c r="AD132" s="235"/>
      <c r="AE132" s="187"/>
      <c r="AF132" s="187"/>
      <c r="AG132" s="187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</row>
    <row r="133" spans="3:45" s="239" customFormat="1" ht="20.100000000000001" customHeight="1">
      <c r="C133" s="270"/>
      <c r="D133" s="243"/>
      <c r="E133" s="227"/>
      <c r="F133" s="262"/>
      <c r="G133" s="227"/>
      <c r="H133" s="235"/>
      <c r="I133" s="227"/>
      <c r="J133" s="235"/>
      <c r="K133" s="262"/>
      <c r="L133" s="262"/>
      <c r="M133" s="235"/>
      <c r="N133" s="235"/>
      <c r="O133" s="235"/>
      <c r="P133" s="235"/>
      <c r="Q133" s="270"/>
      <c r="R133" s="243"/>
      <c r="S133" s="227"/>
      <c r="T133" s="262"/>
      <c r="U133" s="227"/>
      <c r="V133" s="235"/>
      <c r="W133" s="227"/>
      <c r="X133" s="235"/>
      <c r="Y133" s="235"/>
      <c r="Z133" s="235"/>
      <c r="AA133" s="235"/>
      <c r="AB133" s="235"/>
      <c r="AC133" s="235"/>
      <c r="AD133" s="235"/>
      <c r="AE133" s="187"/>
      <c r="AF133" s="187"/>
      <c r="AG133" s="187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</row>
    <row r="134" spans="3:45" s="239" customFormat="1" ht="20.100000000000001" customHeight="1">
      <c r="C134" s="270"/>
      <c r="D134" s="243"/>
      <c r="E134" s="227"/>
      <c r="F134" s="262"/>
      <c r="G134" s="227"/>
      <c r="H134" s="235"/>
      <c r="I134" s="227"/>
      <c r="J134" s="235"/>
      <c r="K134" s="262"/>
      <c r="L134" s="262"/>
      <c r="M134" s="235"/>
      <c r="N134" s="235"/>
      <c r="O134" s="235"/>
      <c r="P134" s="235"/>
      <c r="Q134" s="270"/>
      <c r="R134" s="243"/>
      <c r="S134" s="227"/>
      <c r="T134" s="262"/>
      <c r="U134" s="227"/>
      <c r="V134" s="235"/>
      <c r="W134" s="227"/>
      <c r="X134" s="235"/>
      <c r="Y134" s="235"/>
      <c r="Z134" s="235"/>
      <c r="AA134" s="235"/>
      <c r="AB134" s="235"/>
      <c r="AC134" s="235"/>
      <c r="AD134" s="235"/>
      <c r="AE134" s="187"/>
      <c r="AF134" s="187"/>
      <c r="AG134" s="187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</row>
    <row r="135" spans="3:45" s="239" customFormat="1" ht="20.100000000000001" customHeight="1">
      <c r="C135" s="270"/>
      <c r="D135" s="243"/>
      <c r="E135" s="227"/>
      <c r="F135" s="262"/>
      <c r="G135" s="227"/>
      <c r="H135" s="235"/>
      <c r="I135" s="227"/>
      <c r="J135" s="235"/>
      <c r="K135" s="262"/>
      <c r="L135" s="262"/>
      <c r="M135" s="235"/>
      <c r="N135" s="235"/>
      <c r="O135" s="235"/>
      <c r="P135" s="235"/>
      <c r="Q135" s="270"/>
      <c r="R135" s="243"/>
      <c r="S135" s="227"/>
      <c r="T135" s="262"/>
      <c r="U135" s="227"/>
      <c r="V135" s="235"/>
      <c r="W135" s="227"/>
      <c r="X135" s="235"/>
      <c r="Y135" s="235"/>
      <c r="Z135" s="235"/>
      <c r="AA135" s="235"/>
      <c r="AB135" s="235"/>
      <c r="AC135" s="235"/>
      <c r="AD135" s="235"/>
      <c r="AE135" s="187"/>
      <c r="AF135" s="187"/>
      <c r="AG135" s="187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</row>
    <row r="136" spans="3:45" s="239" customFormat="1" ht="20.100000000000001" customHeight="1">
      <c r="C136" s="270"/>
      <c r="D136" s="243"/>
      <c r="E136" s="227"/>
      <c r="F136" s="262"/>
      <c r="G136" s="227"/>
      <c r="H136" s="235"/>
      <c r="I136" s="227"/>
      <c r="J136" s="235"/>
      <c r="K136" s="262"/>
      <c r="L136" s="262"/>
      <c r="M136" s="235"/>
      <c r="N136" s="235"/>
      <c r="O136" s="235"/>
      <c r="P136" s="235"/>
      <c r="Q136" s="270"/>
      <c r="R136" s="243"/>
      <c r="S136" s="227"/>
      <c r="T136" s="262"/>
      <c r="U136" s="227"/>
      <c r="V136" s="235"/>
      <c r="W136" s="227"/>
      <c r="X136" s="235"/>
      <c r="Y136" s="235"/>
      <c r="Z136" s="235"/>
      <c r="AA136" s="235"/>
      <c r="AB136" s="235"/>
      <c r="AC136" s="235"/>
      <c r="AD136" s="235"/>
      <c r="AE136" s="187"/>
      <c r="AF136" s="187"/>
      <c r="AG136" s="187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</row>
    <row r="137" spans="3:45" s="239" customFormat="1" ht="20.100000000000001" customHeight="1">
      <c r="C137" s="270"/>
      <c r="D137" s="243"/>
      <c r="E137" s="227"/>
      <c r="F137" s="262"/>
      <c r="G137" s="227"/>
      <c r="H137" s="235"/>
      <c r="I137" s="227"/>
      <c r="J137" s="235"/>
      <c r="K137" s="262"/>
      <c r="L137" s="262"/>
      <c r="M137" s="235"/>
      <c r="N137" s="235"/>
      <c r="O137" s="235"/>
      <c r="P137" s="235"/>
      <c r="Q137" s="270"/>
      <c r="R137" s="243"/>
      <c r="S137" s="227"/>
      <c r="T137" s="262"/>
      <c r="U137" s="227"/>
      <c r="V137" s="235"/>
      <c r="W137" s="227"/>
      <c r="X137" s="235"/>
      <c r="Y137" s="235"/>
      <c r="Z137" s="235"/>
      <c r="AA137" s="235"/>
      <c r="AB137" s="235"/>
      <c r="AC137" s="235"/>
      <c r="AD137" s="235"/>
      <c r="AE137" s="187"/>
      <c r="AF137" s="187"/>
      <c r="AG137" s="187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</row>
    <row r="138" spans="3:45" s="239" customFormat="1" ht="20.100000000000001" customHeight="1">
      <c r="C138" s="270"/>
      <c r="D138" s="243"/>
      <c r="E138" s="227"/>
      <c r="F138" s="262"/>
      <c r="G138" s="227"/>
      <c r="H138" s="235"/>
      <c r="I138" s="227"/>
      <c r="J138" s="235"/>
      <c r="K138" s="262"/>
      <c r="L138" s="262"/>
      <c r="M138" s="235"/>
      <c r="N138" s="235"/>
      <c r="O138" s="235"/>
      <c r="P138" s="235"/>
      <c r="Q138" s="270"/>
      <c r="R138" s="243"/>
      <c r="S138" s="227"/>
      <c r="T138" s="262"/>
      <c r="U138" s="227"/>
      <c r="V138" s="235"/>
      <c r="W138" s="227"/>
      <c r="X138" s="235"/>
      <c r="Y138" s="235"/>
      <c r="Z138" s="235"/>
      <c r="AA138" s="235"/>
      <c r="AB138" s="235"/>
      <c r="AC138" s="235"/>
      <c r="AD138" s="235"/>
      <c r="AE138" s="187"/>
      <c r="AF138" s="187"/>
      <c r="AG138" s="187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</row>
    <row r="139" spans="3:45" s="239" customFormat="1" ht="20.100000000000001" customHeight="1">
      <c r="C139" s="270"/>
      <c r="D139" s="243"/>
      <c r="E139" s="227"/>
      <c r="F139" s="262"/>
      <c r="G139" s="227"/>
      <c r="H139" s="235"/>
      <c r="I139" s="227"/>
      <c r="J139" s="235"/>
      <c r="K139" s="262"/>
      <c r="L139" s="262"/>
      <c r="M139" s="235"/>
      <c r="N139" s="235"/>
      <c r="O139" s="235"/>
      <c r="P139" s="235"/>
      <c r="Q139" s="270"/>
      <c r="R139" s="243"/>
      <c r="S139" s="227"/>
      <c r="T139" s="262"/>
      <c r="U139" s="227"/>
      <c r="V139" s="235"/>
      <c r="W139" s="227"/>
      <c r="X139" s="235"/>
      <c r="Y139" s="235"/>
      <c r="Z139" s="235"/>
      <c r="AA139" s="235"/>
      <c r="AB139" s="235"/>
      <c r="AC139" s="235"/>
      <c r="AD139" s="235"/>
      <c r="AE139" s="187"/>
      <c r="AF139" s="187"/>
      <c r="AG139" s="187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</row>
    <row r="140" spans="3:45" s="239" customFormat="1" ht="20.100000000000001" customHeight="1">
      <c r="C140" s="270"/>
      <c r="D140" s="243"/>
      <c r="E140" s="227"/>
      <c r="F140" s="262"/>
      <c r="G140" s="227"/>
      <c r="H140" s="235"/>
      <c r="I140" s="227"/>
      <c r="J140" s="235"/>
      <c r="K140" s="262"/>
      <c r="L140" s="262"/>
      <c r="M140" s="235"/>
      <c r="N140" s="235"/>
      <c r="O140" s="235"/>
      <c r="P140" s="235"/>
      <c r="Q140" s="270"/>
      <c r="R140" s="243"/>
      <c r="S140" s="227"/>
      <c r="T140" s="262"/>
      <c r="U140" s="227"/>
      <c r="V140" s="235"/>
      <c r="W140" s="227"/>
      <c r="X140" s="235"/>
      <c r="Y140" s="235"/>
      <c r="Z140" s="235"/>
      <c r="AA140" s="235"/>
      <c r="AB140" s="235"/>
      <c r="AC140" s="235"/>
      <c r="AD140" s="235"/>
      <c r="AE140" s="187"/>
      <c r="AF140" s="187"/>
      <c r="AG140" s="187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</row>
    <row r="141" spans="3:45" s="239" customFormat="1" ht="20.100000000000001" customHeight="1">
      <c r="C141" s="270"/>
      <c r="D141" s="243"/>
      <c r="E141" s="227"/>
      <c r="F141" s="262"/>
      <c r="G141" s="227"/>
      <c r="H141" s="235"/>
      <c r="I141" s="227"/>
      <c r="J141" s="235"/>
      <c r="K141" s="262"/>
      <c r="L141" s="262"/>
      <c r="M141" s="235"/>
      <c r="N141" s="235"/>
      <c r="O141" s="235"/>
      <c r="P141" s="235"/>
      <c r="Q141" s="270"/>
      <c r="R141" s="243"/>
      <c r="S141" s="227"/>
      <c r="T141" s="262"/>
      <c r="U141" s="227"/>
      <c r="V141" s="235"/>
      <c r="W141" s="227"/>
      <c r="X141" s="235"/>
      <c r="Y141" s="235"/>
      <c r="Z141" s="235"/>
      <c r="AA141" s="235"/>
      <c r="AB141" s="235"/>
      <c r="AC141" s="235"/>
      <c r="AD141" s="235"/>
      <c r="AE141" s="187"/>
      <c r="AF141" s="187"/>
      <c r="AG141" s="187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</row>
    <row r="142" spans="3:45" s="239" customFormat="1" ht="20.100000000000001" customHeight="1">
      <c r="C142" s="270"/>
      <c r="D142" s="243"/>
      <c r="E142" s="227"/>
      <c r="F142" s="262"/>
      <c r="G142" s="227"/>
      <c r="H142" s="235"/>
      <c r="I142" s="227"/>
      <c r="J142" s="235"/>
      <c r="K142" s="262"/>
      <c r="L142" s="262"/>
      <c r="M142" s="235"/>
      <c r="N142" s="235"/>
      <c r="O142" s="235"/>
      <c r="P142" s="235"/>
      <c r="Q142" s="270"/>
      <c r="R142" s="243"/>
      <c r="S142" s="227"/>
      <c r="T142" s="262"/>
      <c r="U142" s="227"/>
      <c r="V142" s="235"/>
      <c r="W142" s="227"/>
      <c r="X142" s="235"/>
      <c r="Y142" s="235"/>
      <c r="Z142" s="235"/>
      <c r="AA142" s="235"/>
      <c r="AB142" s="235"/>
      <c r="AC142" s="235"/>
      <c r="AD142" s="235"/>
      <c r="AE142" s="187"/>
      <c r="AF142" s="187"/>
      <c r="AG142" s="187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</row>
    <row r="143" spans="3:45" s="239" customFormat="1" ht="20.100000000000001" hidden="1" customHeight="1">
      <c r="C143" s="270"/>
      <c r="D143" s="243"/>
      <c r="E143" s="227"/>
      <c r="F143" s="262"/>
      <c r="G143" s="227"/>
      <c r="H143" s="235"/>
      <c r="I143" s="227"/>
      <c r="J143" s="235"/>
      <c r="K143" s="262"/>
      <c r="L143" s="262"/>
      <c r="M143" s="235"/>
      <c r="N143" s="235"/>
      <c r="O143" s="235"/>
      <c r="P143" s="235"/>
      <c r="Q143" s="270"/>
      <c r="R143" s="243"/>
      <c r="S143" s="227"/>
      <c r="T143" s="262"/>
      <c r="U143" s="227"/>
      <c r="V143" s="235"/>
      <c r="W143" s="227"/>
      <c r="X143" s="235"/>
      <c r="Y143" s="235"/>
      <c r="Z143" s="235"/>
      <c r="AA143" s="235"/>
      <c r="AB143" s="235"/>
      <c r="AC143" s="235"/>
      <c r="AD143" s="235"/>
      <c r="AE143" s="187"/>
      <c r="AF143" s="187"/>
      <c r="AG143" s="187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</row>
    <row r="144" spans="3:45" s="239" customFormat="1" ht="20.100000000000001" hidden="1" customHeight="1">
      <c r="C144" s="270"/>
      <c r="D144" s="243"/>
      <c r="E144" s="227"/>
      <c r="F144" s="262"/>
      <c r="G144" s="227"/>
      <c r="H144" s="235"/>
      <c r="I144" s="227"/>
      <c r="J144" s="235"/>
      <c r="K144" s="262"/>
      <c r="L144" s="262"/>
      <c r="M144" s="235"/>
      <c r="N144" s="235"/>
      <c r="O144" s="235"/>
      <c r="P144" s="235"/>
      <c r="Q144" s="270"/>
      <c r="R144" s="243"/>
      <c r="S144" s="227"/>
      <c r="T144" s="262"/>
      <c r="U144" s="227"/>
      <c r="V144" s="235"/>
      <c r="W144" s="227"/>
      <c r="X144" s="235"/>
      <c r="Y144" s="235"/>
      <c r="Z144" s="235"/>
      <c r="AA144" s="235"/>
      <c r="AB144" s="235"/>
      <c r="AC144" s="235"/>
      <c r="AD144" s="235"/>
      <c r="AE144" s="187"/>
      <c r="AF144" s="187"/>
      <c r="AG144" s="187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</row>
    <row r="145" spans="3:45" s="239" customFormat="1" ht="20.100000000000001" hidden="1" customHeight="1">
      <c r="C145" s="270"/>
      <c r="D145" s="243"/>
      <c r="E145" s="227"/>
      <c r="F145" s="262"/>
      <c r="G145" s="227"/>
      <c r="H145" s="235"/>
      <c r="I145" s="227"/>
      <c r="J145" s="235"/>
      <c r="K145" s="262"/>
      <c r="L145" s="262"/>
      <c r="M145" s="235"/>
      <c r="N145" s="262"/>
      <c r="O145" s="235"/>
      <c r="P145" s="235"/>
      <c r="Q145" s="270"/>
      <c r="R145" s="243"/>
      <c r="S145" s="227"/>
      <c r="T145" s="262"/>
      <c r="U145" s="227"/>
      <c r="V145" s="235"/>
      <c r="W145" s="227"/>
      <c r="X145" s="235"/>
      <c r="Y145" s="235"/>
      <c r="Z145" s="235"/>
      <c r="AA145" s="235"/>
      <c r="AB145" s="235"/>
      <c r="AC145" s="235"/>
      <c r="AD145" s="235"/>
      <c r="AE145" s="187"/>
      <c r="AF145" s="187"/>
      <c r="AG145" s="187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</row>
    <row r="146" spans="3:45" s="239" customFormat="1" ht="20.100000000000001" hidden="1" customHeight="1">
      <c r="C146" s="270"/>
      <c r="D146" s="243"/>
      <c r="E146" s="227"/>
      <c r="F146" s="262"/>
      <c r="G146" s="227"/>
      <c r="H146" s="235"/>
      <c r="I146" s="227"/>
      <c r="J146" s="235"/>
      <c r="K146" s="262"/>
      <c r="L146" s="262"/>
      <c r="M146" s="235"/>
      <c r="N146" s="278"/>
      <c r="O146" s="262"/>
      <c r="P146" s="235"/>
      <c r="Q146" s="270"/>
      <c r="R146" s="243"/>
      <c r="S146" s="227"/>
      <c r="T146" s="262"/>
      <c r="U146" s="227"/>
      <c r="V146" s="235"/>
      <c r="W146" s="227"/>
      <c r="X146" s="235"/>
      <c r="Y146" s="235"/>
      <c r="Z146" s="235"/>
      <c r="AA146" s="235"/>
      <c r="AB146" s="235"/>
      <c r="AC146" s="235"/>
      <c r="AD146" s="235"/>
      <c r="AE146" s="187"/>
      <c r="AF146" s="187"/>
      <c r="AG146" s="187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</row>
    <row r="147" spans="3:45" s="239" customFormat="1" ht="20.100000000000001" hidden="1" customHeight="1">
      <c r="C147" s="16"/>
      <c r="D147" s="243"/>
      <c r="E147" s="279"/>
      <c r="F147" s="262"/>
      <c r="G147" s="235"/>
      <c r="H147" s="262"/>
      <c r="I147" s="262"/>
      <c r="J147" s="262"/>
      <c r="K147" s="152"/>
      <c r="L147" s="152"/>
      <c r="M147" s="262"/>
      <c r="N147" s="152"/>
      <c r="O147" s="278"/>
      <c r="P147" s="235"/>
      <c r="Q147" s="268"/>
      <c r="R147" s="160"/>
      <c r="S147" s="187"/>
      <c r="T147" s="187"/>
      <c r="U147" s="187"/>
      <c r="V147" s="187"/>
      <c r="W147" s="187"/>
      <c r="X147" s="187"/>
      <c r="Y147" s="187"/>
      <c r="Z147" s="187"/>
      <c r="AA147" s="187"/>
      <c r="AB147" s="187"/>
      <c r="AC147" s="187"/>
      <c r="AD147" s="187"/>
      <c r="AE147" s="187"/>
      <c r="AF147" s="187"/>
      <c r="AG147" s="187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</row>
    <row r="148" spans="3:45" s="239" customFormat="1" ht="20.100000000000001" hidden="1" customHeight="1">
      <c r="C148" s="238"/>
      <c r="D148" s="280"/>
      <c r="E148" s="278"/>
      <c r="F148" s="262"/>
      <c r="G148" s="278"/>
      <c r="H148" s="152"/>
      <c r="I148" s="152"/>
      <c r="J148" s="152"/>
      <c r="K148" s="2"/>
      <c r="L148" s="2"/>
      <c r="M148" s="278"/>
      <c r="N148" s="2"/>
      <c r="O148" s="152"/>
      <c r="P148" s="235"/>
      <c r="Q148" s="268"/>
      <c r="R148" s="160"/>
      <c r="S148" s="187"/>
      <c r="T148" s="187"/>
      <c r="U148" s="187"/>
      <c r="V148" s="187"/>
      <c r="W148" s="187"/>
      <c r="X148" s="187"/>
      <c r="Y148" s="187"/>
      <c r="Z148" s="187"/>
      <c r="AA148" s="281">
        <f t="shared" ref="AA148:AA154" si="8">Z149*X149</f>
        <v>342</v>
      </c>
      <c r="AB148" s="282"/>
      <c r="AC148" s="1"/>
      <c r="AD148" s="187"/>
      <c r="AE148" s="187"/>
      <c r="AF148" s="187"/>
      <c r="AG148" s="187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</row>
    <row r="149" spans="3:45" s="239" customFormat="1" ht="20.100000000000001" hidden="1" customHeight="1">
      <c r="C149" s="153"/>
      <c r="D149" s="231"/>
      <c r="E149" s="152"/>
      <c r="F149" s="283"/>
      <c r="G149" s="152"/>
      <c r="H149" s="2"/>
      <c r="I149" s="2"/>
      <c r="J149" s="2"/>
      <c r="K149" s="235"/>
      <c r="L149" s="235"/>
      <c r="M149" s="152"/>
      <c r="N149" s="235"/>
      <c r="O149" s="2"/>
      <c r="P149" s="235"/>
      <c r="Q149" s="128"/>
      <c r="R149" s="223"/>
      <c r="S149" s="284" t="s">
        <v>18</v>
      </c>
      <c r="T149" s="284"/>
      <c r="U149" s="285">
        <v>0</v>
      </c>
      <c r="V149" s="285"/>
      <c r="W149" s="286">
        <v>7500</v>
      </c>
      <c r="X149" s="287">
        <v>4.5600000000000002E-2</v>
      </c>
      <c r="Y149" s="286" t="str">
        <f t="shared" ref="Y149:Y154" si="9">IF($S$11+$W$23+$AA$11&gt;W149,"oui","non")</f>
        <v>oui</v>
      </c>
      <c r="Z149" s="286">
        <f>IF(Y149="oui",W149,S11+W23+AA11)</f>
        <v>7500</v>
      </c>
      <c r="AA149" s="281">
        <f t="shared" si="8"/>
        <v>285</v>
      </c>
      <c r="AB149" s="282"/>
      <c r="AC149" s="1"/>
      <c r="AD149" s="243"/>
      <c r="AE149" s="288">
        <v>0</v>
      </c>
      <c r="AF149" s="187"/>
      <c r="AG149" s="187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3:45" s="239" customFormat="1" ht="20.100000000000001" hidden="1" customHeight="1">
      <c r="C150" s="153"/>
      <c r="D150" s="231"/>
      <c r="E150" s="152"/>
      <c r="F150" s="278"/>
      <c r="G150" s="2"/>
      <c r="H150" s="235"/>
      <c r="I150" s="235"/>
      <c r="J150" s="235"/>
      <c r="K150" s="235"/>
      <c r="L150" s="235"/>
      <c r="M150" s="2"/>
      <c r="N150" s="235"/>
      <c r="O150" s="235"/>
      <c r="P150" s="235"/>
      <c r="Q150" s="128"/>
      <c r="R150" s="223"/>
      <c r="S150" s="289" t="s">
        <v>19</v>
      </c>
      <c r="T150" s="289"/>
      <c r="U150" s="285">
        <v>7500</v>
      </c>
      <c r="V150" s="285"/>
      <c r="W150" s="286">
        <v>17500</v>
      </c>
      <c r="X150" s="287">
        <v>2.8500000000000001E-2</v>
      </c>
      <c r="Y150" s="286" t="str">
        <f t="shared" si="9"/>
        <v>oui</v>
      </c>
      <c r="Z150" s="286">
        <f>IF(Y150="oui",W150-W149,'Crédit foncier'!$S$11+$W$23-Z149)</f>
        <v>10000</v>
      </c>
      <c r="AA150" s="281">
        <f t="shared" si="8"/>
        <v>285</v>
      </c>
      <c r="AB150" s="282"/>
      <c r="AC150" s="1"/>
      <c r="AD150" s="2"/>
      <c r="AE150" s="288">
        <v>25000</v>
      </c>
      <c r="AF150" s="288">
        <v>391.1</v>
      </c>
      <c r="AG150" s="235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</row>
    <row r="151" spans="3:45" s="239" customFormat="1" ht="20.100000000000001" hidden="1" customHeight="1">
      <c r="C151" s="153"/>
      <c r="D151" s="290"/>
      <c r="E151" s="291"/>
      <c r="F151" s="278"/>
      <c r="G151" s="235"/>
      <c r="H151" s="235"/>
      <c r="I151" s="235"/>
      <c r="J151" s="235"/>
      <c r="K151" s="235"/>
      <c r="L151" s="235"/>
      <c r="M151" s="235"/>
      <c r="N151" s="235"/>
      <c r="O151" s="235"/>
      <c r="P151" s="235"/>
      <c r="Q151" s="128"/>
      <c r="R151" s="223"/>
      <c r="S151" s="292"/>
      <c r="T151" s="292"/>
      <c r="U151" s="285">
        <v>17500</v>
      </c>
      <c r="V151" s="285"/>
      <c r="W151" s="286">
        <v>30000</v>
      </c>
      <c r="X151" s="287">
        <v>2.2800000000000001E-2</v>
      </c>
      <c r="Y151" s="286" t="str">
        <f t="shared" si="9"/>
        <v>oui</v>
      </c>
      <c r="Z151" s="286">
        <f>IF(Y151="oui",W151-W150,'Crédit foncier'!$S$11+$W$23-Z150-Z149)</f>
        <v>12500</v>
      </c>
      <c r="AA151" s="281">
        <f t="shared" si="8"/>
        <v>264.96449999999999</v>
      </c>
      <c r="AB151" s="282"/>
      <c r="AC151" s="1"/>
      <c r="AD151" s="16"/>
      <c r="AE151" s="288">
        <v>30000</v>
      </c>
      <c r="AF151" s="288">
        <v>391.1</v>
      </c>
      <c r="AG151" s="2"/>
      <c r="AH151" s="2"/>
      <c r="AI151" s="2"/>
      <c r="AJ151" s="2"/>
      <c r="AM151" s="2"/>
      <c r="AN151" s="2"/>
      <c r="AO151" s="2"/>
      <c r="AP151" s="2"/>
      <c r="AQ151" s="2"/>
      <c r="AR151" s="2"/>
      <c r="AS151" s="2"/>
    </row>
    <row r="152" spans="3:45" s="239" customFormat="1" ht="20.100000000000001" hidden="1" customHeight="1">
      <c r="C152" s="16"/>
      <c r="D152" s="243"/>
      <c r="E152" s="291"/>
      <c r="F152" s="262"/>
      <c r="G152" s="235"/>
      <c r="H152" s="235"/>
      <c r="I152" s="235"/>
      <c r="J152" s="235"/>
      <c r="K152" s="235"/>
      <c r="L152" s="235"/>
      <c r="M152" s="235"/>
      <c r="N152" s="235"/>
      <c r="O152" s="235"/>
      <c r="P152" s="235"/>
      <c r="Q152" s="128"/>
      <c r="R152" s="223"/>
      <c r="S152" s="292"/>
      <c r="T152" s="292"/>
      <c r="U152" s="285">
        <v>30000</v>
      </c>
      <c r="V152" s="285"/>
      <c r="W152" s="286">
        <v>45495</v>
      </c>
      <c r="X152" s="287">
        <v>1.7100000000000001E-2</v>
      </c>
      <c r="Y152" s="286" t="str">
        <f t="shared" si="9"/>
        <v>oui</v>
      </c>
      <c r="Z152" s="286">
        <f>IF(Y152="oui",W152-W151,'Crédit foncier'!$S$11+$S$23-Z151-Z150-Z149)</f>
        <v>15495</v>
      </c>
      <c r="AA152" s="281">
        <f t="shared" si="8"/>
        <v>212.04000000000002</v>
      </c>
      <c r="AB152" s="282"/>
      <c r="AC152" s="1"/>
      <c r="AD152" s="2"/>
      <c r="AE152" s="288">
        <v>40000</v>
      </c>
      <c r="AF152" s="288">
        <v>423.98</v>
      </c>
      <c r="AG152" s="16"/>
      <c r="AH152" s="2"/>
      <c r="AI152" s="2"/>
      <c r="AJ152" s="2"/>
      <c r="AM152" s="2"/>
      <c r="AN152" s="2"/>
      <c r="AO152" s="2"/>
      <c r="AP152" s="2"/>
      <c r="AQ152" s="2"/>
      <c r="AR152" s="2"/>
      <c r="AS152" s="2"/>
    </row>
    <row r="153" spans="3:45" s="239" customFormat="1" ht="20.100000000000001" hidden="1" customHeight="1">
      <c r="C153" s="16"/>
      <c r="D153" s="243"/>
      <c r="E153" s="291"/>
      <c r="F153" s="262"/>
      <c r="G153" s="235"/>
      <c r="H153" s="235"/>
      <c r="I153" s="235"/>
      <c r="J153" s="235"/>
      <c r="K153" s="235"/>
      <c r="L153" s="235"/>
      <c r="M153" s="235"/>
      <c r="N153" s="235"/>
      <c r="O153" s="235"/>
      <c r="P153" s="235"/>
      <c r="Q153" s="128"/>
      <c r="R153" s="223"/>
      <c r="S153" s="292"/>
      <c r="T153" s="292"/>
      <c r="U153" s="285">
        <v>45495</v>
      </c>
      <c r="V153" s="285"/>
      <c r="W153" s="286">
        <v>64095</v>
      </c>
      <c r="X153" s="287">
        <v>1.14E-2</v>
      </c>
      <c r="Y153" s="286" t="str">
        <f t="shared" si="9"/>
        <v>oui</v>
      </c>
      <c r="Z153" s="286">
        <f>IF(Y153="oui",W153-W152,'Crédit foncier'!$S$11+$W$23-Z152-Z151-Z150-Z149)</f>
        <v>18600</v>
      </c>
      <c r="AA153" s="281">
        <f t="shared" si="8"/>
        <v>204.6585</v>
      </c>
      <c r="AB153" s="282"/>
      <c r="AC153" s="1"/>
      <c r="AD153" s="187"/>
      <c r="AE153" s="288">
        <v>50000</v>
      </c>
      <c r="AF153" s="288">
        <v>431.08</v>
      </c>
      <c r="AG153" s="2"/>
      <c r="AH153" s="2"/>
      <c r="AI153" s="2"/>
      <c r="AJ153" s="2"/>
      <c r="AM153" s="2"/>
      <c r="AN153" s="2"/>
      <c r="AO153" s="2"/>
      <c r="AP153" s="2"/>
      <c r="AQ153" s="2"/>
      <c r="AR153" s="2"/>
      <c r="AS153" s="2"/>
    </row>
    <row r="154" spans="3:45" s="239" customFormat="1" ht="20.100000000000001" hidden="1" customHeight="1">
      <c r="C154" s="16"/>
      <c r="D154" s="243"/>
      <c r="E154" s="291"/>
      <c r="F154" s="262"/>
      <c r="G154" s="235"/>
      <c r="H154" s="235"/>
      <c r="I154" s="235"/>
      <c r="J154" s="235"/>
      <c r="K154" s="235"/>
      <c r="L154" s="235"/>
      <c r="M154" s="235"/>
      <c r="N154" s="235"/>
      <c r="O154" s="235"/>
      <c r="P154" s="235"/>
      <c r="Q154" s="128"/>
      <c r="R154" s="223"/>
      <c r="S154" s="292"/>
      <c r="T154" s="292"/>
      <c r="U154" s="285">
        <v>64095</v>
      </c>
      <c r="V154" s="285"/>
      <c r="W154" s="286">
        <v>250095</v>
      </c>
      <c r="X154" s="287">
        <v>5.7000000000000002E-3</v>
      </c>
      <c r="Y154" s="286" t="str">
        <f t="shared" si="9"/>
        <v>non</v>
      </c>
      <c r="Z154" s="286">
        <f>IF(Y154="oui",W154-W153,'Crédit foncier'!$S$11+$W$23-Z153-Z152-Z151-Z150-Z149)</f>
        <v>35905</v>
      </c>
      <c r="AA154" s="281">
        <f t="shared" si="8"/>
        <v>0</v>
      </c>
      <c r="AB154" s="282"/>
      <c r="AC154" s="1"/>
      <c r="AD154" s="187"/>
      <c r="AE154" s="288">
        <v>60000</v>
      </c>
      <c r="AF154" s="288">
        <v>453.29</v>
      </c>
      <c r="AG154" s="187"/>
      <c r="AH154" s="2"/>
      <c r="AI154" s="2"/>
      <c r="AJ154" s="2"/>
      <c r="AM154" s="2"/>
      <c r="AN154" s="2"/>
      <c r="AO154" s="2"/>
      <c r="AP154" s="2"/>
      <c r="AQ154" s="2"/>
      <c r="AR154" s="2"/>
      <c r="AS154" s="2"/>
    </row>
    <row r="155" spans="3:45" s="239" customFormat="1" ht="20.100000000000001" hidden="1" customHeight="1">
      <c r="C155" s="16"/>
      <c r="D155" s="243"/>
      <c r="E155" s="279"/>
      <c r="F155" s="262"/>
      <c r="G155" s="235"/>
      <c r="H155" s="235"/>
      <c r="I155" s="235"/>
      <c r="J155" s="235"/>
      <c r="K155" s="235"/>
      <c r="L155" s="235"/>
      <c r="M155" s="235"/>
      <c r="N155" s="235"/>
      <c r="O155" s="235"/>
      <c r="P155" s="198"/>
      <c r="Q155" s="128"/>
      <c r="R155" s="223"/>
      <c r="S155" s="292"/>
      <c r="T155" s="292"/>
      <c r="U155" s="285">
        <v>250095</v>
      </c>
      <c r="V155" s="285"/>
      <c r="W155" s="286"/>
      <c r="X155" s="287">
        <v>5.6999999999999998E-4</v>
      </c>
      <c r="Y155" s="286" t="s">
        <v>7</v>
      </c>
      <c r="Z155" s="286">
        <f>IF(S11+W23+AA11&gt;=U155,S11+W23-AA11,0)</f>
        <v>0</v>
      </c>
      <c r="AA155" s="292"/>
      <c r="AB155" s="282"/>
      <c r="AC155" s="1"/>
      <c r="AD155" s="187"/>
      <c r="AE155" s="288">
        <v>70000</v>
      </c>
      <c r="AF155" s="288">
        <v>464.69</v>
      </c>
      <c r="AG155" s="187"/>
      <c r="AH155" s="2"/>
      <c r="AI155" s="2"/>
      <c r="AJ155" s="2"/>
      <c r="AM155" s="2"/>
      <c r="AN155" s="2"/>
      <c r="AO155" s="2"/>
      <c r="AP155" s="2"/>
      <c r="AQ155" s="2"/>
      <c r="AR155" s="2"/>
      <c r="AS155" s="2"/>
    </row>
    <row r="156" spans="3:45" s="239" customFormat="1" ht="20.100000000000001" hidden="1" customHeight="1">
      <c r="C156" s="16"/>
      <c r="D156" s="243"/>
      <c r="E156" s="279"/>
      <c r="F156" s="262"/>
      <c r="G156" s="235"/>
      <c r="H156" s="235"/>
      <c r="I156" s="235"/>
      <c r="J156" s="235"/>
      <c r="K156" s="198"/>
      <c r="L156" s="198"/>
      <c r="M156" s="235"/>
      <c r="N156" s="198"/>
      <c r="O156" s="235"/>
      <c r="P156" s="235"/>
      <c r="Q156" s="128"/>
      <c r="R156" s="223"/>
      <c r="S156" s="292"/>
      <c r="T156" s="292"/>
      <c r="U156" s="293"/>
      <c r="V156" s="293"/>
      <c r="W156" s="293"/>
      <c r="X156" s="292"/>
      <c r="Y156" s="292"/>
      <c r="Z156" s="292"/>
      <c r="AA156" s="281">
        <f t="shared" ref="AA156:AA162" si="10">Z157*X157</f>
        <v>128.25</v>
      </c>
      <c r="AB156" s="282"/>
      <c r="AC156" s="1"/>
      <c r="AD156" s="187"/>
      <c r="AE156" s="288">
        <v>80000</v>
      </c>
      <c r="AF156" s="288">
        <v>472.58</v>
      </c>
      <c r="AG156" s="187"/>
      <c r="AH156" s="2"/>
      <c r="AI156" s="2"/>
      <c r="AJ156" s="2"/>
      <c r="AM156" s="2"/>
      <c r="AN156" s="2"/>
      <c r="AO156" s="2"/>
      <c r="AP156" s="2"/>
      <c r="AQ156" s="2"/>
      <c r="AR156" s="2"/>
      <c r="AS156" s="2"/>
    </row>
    <row r="157" spans="3:45" s="239" customFormat="1" ht="20.100000000000001" hidden="1" customHeight="1">
      <c r="C157" s="16"/>
      <c r="D157" s="290"/>
      <c r="E157" s="279"/>
      <c r="F157" s="261"/>
      <c r="G157" s="235"/>
      <c r="H157" s="198"/>
      <c r="I157" s="198"/>
      <c r="J157" s="198"/>
      <c r="K157" s="235"/>
      <c r="L157" s="235"/>
      <c r="M157" s="235"/>
      <c r="N157" s="235"/>
      <c r="O157" s="198"/>
      <c r="P157" s="235"/>
      <c r="Q157" s="128"/>
      <c r="R157" s="223"/>
      <c r="S157" s="294" t="s">
        <v>20</v>
      </c>
      <c r="T157" s="294"/>
      <c r="U157" s="285">
        <v>0</v>
      </c>
      <c r="V157" s="285"/>
      <c r="W157" s="286">
        <v>7500</v>
      </c>
      <c r="X157" s="287">
        <v>1.7100000000000001E-2</v>
      </c>
      <c r="Y157" s="286" t="str">
        <f t="shared" ref="Y157:Y162" si="11">IF($S$11+$W$23+$AA$11&gt;W157,"oui","non")</f>
        <v>oui</v>
      </c>
      <c r="Z157" s="286">
        <f>IF(Y157="oui",W157,S11+W23+AA11)</f>
        <v>7500</v>
      </c>
      <c r="AA157" s="281">
        <f t="shared" si="10"/>
        <v>136.79999999999998</v>
      </c>
      <c r="AB157" s="282"/>
      <c r="AC157" s="1"/>
      <c r="AD157" s="187"/>
      <c r="AE157" s="288">
        <v>90000</v>
      </c>
      <c r="AF157" s="288">
        <v>496.1</v>
      </c>
      <c r="AG157" s="187"/>
      <c r="AH157" s="2"/>
      <c r="AI157" s="2"/>
      <c r="AJ157" s="2"/>
      <c r="AM157" s="2"/>
      <c r="AN157" s="2"/>
      <c r="AO157" s="2"/>
      <c r="AP157" s="2"/>
      <c r="AQ157" s="2"/>
      <c r="AR157" s="2"/>
      <c r="AS157" s="2"/>
    </row>
    <row r="158" spans="3:45" s="239" customFormat="1" ht="20.100000000000001" hidden="1" customHeight="1">
      <c r="D158" s="260"/>
      <c r="E158" s="261"/>
      <c r="F158" s="262"/>
      <c r="G158" s="198"/>
      <c r="H158" s="235"/>
      <c r="I158" s="235"/>
      <c r="J158" s="235"/>
      <c r="K158" s="235"/>
      <c r="L158" s="235"/>
      <c r="M158" s="198"/>
      <c r="N158" s="235"/>
      <c r="O158" s="235"/>
      <c r="P158" s="235"/>
      <c r="Q158" s="128"/>
      <c r="R158" s="223"/>
      <c r="S158" s="295" t="s">
        <v>21</v>
      </c>
      <c r="T158" s="295"/>
      <c r="U158" s="285">
        <v>7500</v>
      </c>
      <c r="V158" s="285"/>
      <c r="W158" s="286">
        <v>17500</v>
      </c>
      <c r="X158" s="287">
        <v>1.3679999999999999E-2</v>
      </c>
      <c r="Y158" s="286" t="str">
        <f t="shared" si="11"/>
        <v>oui</v>
      </c>
      <c r="Z158" s="286">
        <f>IF(Y158="oui",W158-W157,($S$11+$W$23+$AA$11)-Z157)</f>
        <v>10000</v>
      </c>
      <c r="AA158" s="281">
        <f t="shared" si="10"/>
        <v>114</v>
      </c>
      <c r="AB158" s="282"/>
      <c r="AC158" s="1"/>
      <c r="AD158" s="187"/>
      <c r="AE158" s="288">
        <v>100000</v>
      </c>
      <c r="AF158" s="288">
        <v>501.8</v>
      </c>
      <c r="AG158" s="187"/>
      <c r="AH158" s="2"/>
      <c r="AI158" s="2"/>
      <c r="AJ158" s="2"/>
      <c r="AM158" s="2"/>
      <c r="AN158" s="2"/>
      <c r="AO158" s="2"/>
      <c r="AP158" s="2"/>
      <c r="AQ158" s="2"/>
      <c r="AR158" s="2"/>
      <c r="AS158" s="2"/>
    </row>
    <row r="159" spans="3:45" s="239" customFormat="1" ht="20.100000000000001" hidden="1" customHeight="1">
      <c r="C159" s="268"/>
      <c r="D159" s="243"/>
      <c r="E159" s="291"/>
      <c r="F159" s="262"/>
      <c r="G159" s="235"/>
      <c r="H159" s="235"/>
      <c r="I159" s="235"/>
      <c r="J159" s="235"/>
      <c r="K159" s="235"/>
      <c r="L159" s="235"/>
      <c r="M159" s="235"/>
      <c r="N159" s="235"/>
      <c r="O159" s="235"/>
      <c r="P159" s="235"/>
      <c r="Q159" s="128"/>
      <c r="R159" s="223"/>
      <c r="S159" s="295"/>
      <c r="T159" s="295"/>
      <c r="U159" s="285">
        <v>17500</v>
      </c>
      <c r="V159" s="285"/>
      <c r="W159" s="286">
        <v>30000</v>
      </c>
      <c r="X159" s="287">
        <v>9.1199999999999996E-3</v>
      </c>
      <c r="Y159" s="286" t="str">
        <f t="shared" si="11"/>
        <v>oui</v>
      </c>
      <c r="Z159" s="286">
        <f>IF(Y159="oui",W159-W158,($S$11+$W$23+$AA$11)-Z158-Z157)</f>
        <v>12500</v>
      </c>
      <c r="AA159" s="281">
        <f t="shared" si="10"/>
        <v>105.9858</v>
      </c>
      <c r="AB159" s="282"/>
      <c r="AC159" s="1"/>
      <c r="AD159" s="187"/>
      <c r="AE159" s="288">
        <v>125000</v>
      </c>
      <c r="AF159" s="288">
        <v>525.33000000000004</v>
      </c>
      <c r="AG159" s="187"/>
      <c r="AH159" s="2"/>
      <c r="AI159" s="2"/>
      <c r="AJ159" s="2"/>
      <c r="AM159" s="2"/>
      <c r="AN159" s="2"/>
      <c r="AO159" s="2"/>
      <c r="AP159" s="2"/>
      <c r="AQ159" s="2"/>
      <c r="AR159" s="2"/>
      <c r="AS159" s="2"/>
    </row>
    <row r="160" spans="3:45" s="239" customFormat="1" ht="20.100000000000001" hidden="1" customHeight="1">
      <c r="C160" s="16"/>
      <c r="D160" s="243"/>
      <c r="E160" s="291"/>
      <c r="F160" s="262"/>
      <c r="G160" s="235"/>
      <c r="H160" s="235"/>
      <c r="I160" s="235"/>
      <c r="J160" s="235"/>
      <c r="K160" s="235"/>
      <c r="L160" s="235"/>
      <c r="M160" s="235"/>
      <c r="N160" s="235"/>
      <c r="O160" s="235"/>
      <c r="P160" s="235"/>
      <c r="Q160" s="128"/>
      <c r="R160" s="223"/>
      <c r="S160" s="282"/>
      <c r="T160" s="282"/>
      <c r="U160" s="285">
        <v>30000</v>
      </c>
      <c r="V160" s="285"/>
      <c r="W160" s="286">
        <v>45495</v>
      </c>
      <c r="X160" s="287">
        <v>6.8399999999999997E-3</v>
      </c>
      <c r="Y160" s="286" t="str">
        <f t="shared" si="11"/>
        <v>oui</v>
      </c>
      <c r="Z160" s="286">
        <f>IF(Y160="oui",W160-W159,($S$11+$W$23+$AA$11)-Z159-Z158-Z157)</f>
        <v>15495</v>
      </c>
      <c r="AA160" s="281">
        <f t="shared" si="10"/>
        <v>84.816000000000003</v>
      </c>
      <c r="AB160" s="282"/>
      <c r="AC160" s="1"/>
      <c r="AD160" s="2"/>
      <c r="AE160" s="288">
        <v>150000</v>
      </c>
      <c r="AF160" s="288">
        <v>557.97</v>
      </c>
      <c r="AG160" s="187"/>
      <c r="AH160" s="2"/>
      <c r="AI160" s="2"/>
      <c r="AJ160" s="2"/>
      <c r="AM160" s="2"/>
      <c r="AN160" s="2"/>
      <c r="AO160" s="2"/>
      <c r="AP160" s="2"/>
      <c r="AQ160" s="2"/>
      <c r="AR160" s="2"/>
      <c r="AS160" s="2"/>
    </row>
    <row r="161" spans="3:45" s="239" customFormat="1" ht="20.100000000000001" hidden="1" customHeight="1">
      <c r="C161" s="16"/>
      <c r="D161" s="243"/>
      <c r="E161" s="279"/>
      <c r="F161" s="262"/>
      <c r="G161" s="235"/>
      <c r="H161" s="235"/>
      <c r="I161" s="235"/>
      <c r="J161" s="235"/>
      <c r="K161" s="235"/>
      <c r="L161" s="235"/>
      <c r="M161" s="235"/>
      <c r="N161" s="235"/>
      <c r="O161" s="235"/>
      <c r="P161" s="235"/>
      <c r="Q161" s="128"/>
      <c r="R161" s="223"/>
      <c r="S161" s="282"/>
      <c r="T161" s="282"/>
      <c r="U161" s="285">
        <v>45495</v>
      </c>
      <c r="V161" s="285"/>
      <c r="W161" s="286">
        <v>64095</v>
      </c>
      <c r="X161" s="287">
        <v>4.5599999999999998E-3</v>
      </c>
      <c r="Y161" s="286" t="str">
        <f t="shared" si="11"/>
        <v>oui</v>
      </c>
      <c r="Z161" s="286">
        <f>IF(Y161="oui",W161-W160,($S$11+$W$23+$AA$11)-Z160-Z159-Z158-Z157)</f>
        <v>18600</v>
      </c>
      <c r="AA161" s="281">
        <f t="shared" si="10"/>
        <v>81.863399999999999</v>
      </c>
      <c r="AB161" s="282"/>
      <c r="AC161" s="1"/>
      <c r="AD161" s="187"/>
      <c r="AE161" s="288">
        <v>175000</v>
      </c>
      <c r="AF161" s="288">
        <v>589.47</v>
      </c>
      <c r="AG161" s="2"/>
      <c r="AH161" s="2"/>
      <c r="AI161" s="2"/>
      <c r="AJ161" s="2"/>
      <c r="AM161" s="2"/>
      <c r="AN161" s="2"/>
      <c r="AO161" s="2"/>
      <c r="AP161" s="2"/>
      <c r="AQ161" s="2"/>
      <c r="AR161" s="2"/>
      <c r="AS161" s="2"/>
    </row>
    <row r="162" spans="3:45" s="6" customFormat="1" ht="20.100000000000001" hidden="1" customHeight="1">
      <c r="C162" s="16"/>
      <c r="D162" s="243"/>
      <c r="E162" s="279"/>
      <c r="F162" s="262"/>
      <c r="G162" s="235"/>
      <c r="H162" s="235"/>
      <c r="I162" s="235"/>
      <c r="J162" s="235"/>
      <c r="K162" s="235"/>
      <c r="L162" s="235"/>
      <c r="M162" s="235"/>
      <c r="N162" s="235"/>
      <c r="O162" s="235"/>
      <c r="P162" s="198"/>
      <c r="Q162" s="19"/>
      <c r="R162" s="223"/>
      <c r="S162" s="282"/>
      <c r="T162" s="282"/>
      <c r="U162" s="285">
        <v>64095</v>
      </c>
      <c r="V162" s="285"/>
      <c r="W162" s="286">
        <v>250095</v>
      </c>
      <c r="X162" s="287">
        <v>2.2799999999999999E-3</v>
      </c>
      <c r="Y162" s="286" t="str">
        <f t="shared" si="11"/>
        <v>non</v>
      </c>
      <c r="Z162" s="286">
        <f>IF(Y162="oui",W162-W161,($S$11+$W$23+$AA$11)-Z161-Z160-Z159-Z158-Z157)</f>
        <v>35905</v>
      </c>
      <c r="AA162" s="281">
        <f t="shared" si="10"/>
        <v>0</v>
      </c>
      <c r="AB162" s="282"/>
      <c r="AC162" s="1"/>
      <c r="AD162" s="187"/>
      <c r="AE162" s="288">
        <v>200000</v>
      </c>
      <c r="AF162" s="288">
        <v>623.26</v>
      </c>
      <c r="AG162" s="187"/>
      <c r="AH162" s="2"/>
      <c r="AI162" s="2"/>
      <c r="AJ162" s="239"/>
      <c r="AM162" s="239"/>
      <c r="AN162" s="239"/>
      <c r="AO162" s="239"/>
      <c r="AP162" s="239"/>
      <c r="AQ162" s="239"/>
      <c r="AR162" s="239"/>
      <c r="AS162" s="239"/>
    </row>
    <row r="163" spans="3:45" s="6" customFormat="1" ht="20.100000000000001" hidden="1" customHeight="1">
      <c r="C163" s="16"/>
      <c r="D163" s="243"/>
      <c r="E163" s="279"/>
      <c r="F163" s="262"/>
      <c r="G163" s="235"/>
      <c r="H163" s="235"/>
      <c r="I163" s="235"/>
      <c r="J163" s="235"/>
      <c r="K163" s="235"/>
      <c r="L163" s="235"/>
      <c r="M163" s="235"/>
      <c r="N163" s="235"/>
      <c r="O163" s="235"/>
      <c r="P163" s="261"/>
      <c r="Q163" s="19"/>
      <c r="R163" s="223"/>
      <c r="S163" s="282"/>
      <c r="T163" s="282"/>
      <c r="U163" s="285">
        <v>250095</v>
      </c>
      <c r="V163" s="285"/>
      <c r="W163" s="286"/>
      <c r="X163" s="296">
        <v>4.5600000000000003E-4</v>
      </c>
      <c r="Y163" s="286" t="s">
        <v>7</v>
      </c>
      <c r="Z163" s="286">
        <f>IF((S11+W23+AA11)&gt;=U163,(S11+W23+AA11)-W162,0)</f>
        <v>0</v>
      </c>
      <c r="AA163" s="297"/>
      <c r="AB163" s="282"/>
      <c r="AC163" s="1"/>
      <c r="AD163" s="187"/>
      <c r="AE163" s="288">
        <v>250000</v>
      </c>
      <c r="AF163" s="288">
        <v>654.66999999999996</v>
      </c>
      <c r="AG163" s="187"/>
      <c r="AH163" s="2"/>
      <c r="AI163" s="2"/>
      <c r="AJ163" s="239"/>
      <c r="AM163" s="239"/>
      <c r="AN163" s="239"/>
      <c r="AO163" s="239"/>
      <c r="AP163" s="239"/>
      <c r="AQ163" s="239"/>
      <c r="AR163" s="239"/>
      <c r="AS163" s="239"/>
    </row>
    <row r="164" spans="3:45" s="6" customFormat="1" ht="20.100000000000001" hidden="1" customHeight="1">
      <c r="C164" s="16"/>
      <c r="D164" s="243"/>
      <c r="E164" s="279"/>
      <c r="F164" s="198"/>
      <c r="G164" s="235"/>
      <c r="H164" s="235"/>
      <c r="I164" s="235"/>
      <c r="J164" s="235"/>
      <c r="K164" s="198"/>
      <c r="L164" s="198"/>
      <c r="M164" s="235"/>
      <c r="N164" s="198"/>
      <c r="O164" s="235"/>
      <c r="P164" s="261"/>
      <c r="Q164" s="128"/>
      <c r="R164" s="223"/>
      <c r="S164" s="282"/>
      <c r="T164" s="282"/>
      <c r="U164" s="297"/>
      <c r="V164" s="297"/>
      <c r="W164" s="297"/>
      <c r="X164" s="297"/>
      <c r="Y164" s="297"/>
      <c r="Z164" s="297"/>
      <c r="AA164" s="281">
        <f t="shared" ref="AA164:AA170" si="12">Z165*X165</f>
        <v>0</v>
      </c>
      <c r="AB164" s="298"/>
      <c r="AC164" s="1"/>
      <c r="AD164" s="187"/>
      <c r="AE164" s="288">
        <v>500000</v>
      </c>
      <c r="AF164" s="288">
        <v>697.66</v>
      </c>
      <c r="AG164" s="187"/>
      <c r="AH164" s="2"/>
      <c r="AI164" s="2"/>
      <c r="AJ164" s="239"/>
      <c r="AM164" s="239"/>
      <c r="AN164" s="239"/>
      <c r="AO164" s="239"/>
      <c r="AP164" s="239"/>
      <c r="AQ164" s="239"/>
      <c r="AR164" s="239"/>
      <c r="AS164" s="239"/>
    </row>
    <row r="165" spans="3:45" s="6" customFormat="1" ht="20.100000000000001" hidden="1" customHeight="1">
      <c r="C165" s="16"/>
      <c r="D165" s="243"/>
      <c r="E165" s="279"/>
      <c r="F165" s="198"/>
      <c r="G165" s="235"/>
      <c r="H165" s="198"/>
      <c r="I165" s="198"/>
      <c r="J165" s="198"/>
      <c r="K165" s="235"/>
      <c r="L165" s="235"/>
      <c r="M165" s="235"/>
      <c r="N165" s="235"/>
      <c r="O165" s="198"/>
      <c r="P165" s="261"/>
      <c r="Q165" s="128"/>
      <c r="R165" s="223"/>
      <c r="S165" s="294" t="s">
        <v>20</v>
      </c>
      <c r="T165" s="294"/>
      <c r="U165" s="285">
        <v>0</v>
      </c>
      <c r="V165" s="285"/>
      <c r="W165" s="286">
        <v>7500</v>
      </c>
      <c r="X165" s="299">
        <v>3.9899999999999996E-3</v>
      </c>
      <c r="Y165" s="286" t="str">
        <f>IF(AA6&gt;W165,"oui","non")</f>
        <v>non</v>
      </c>
      <c r="Z165" s="286">
        <f>IF(Y165="oui",W165,AA6)</f>
        <v>0</v>
      </c>
      <c r="AA165" s="281">
        <f t="shared" si="12"/>
        <v>0</v>
      </c>
      <c r="AB165" s="298"/>
      <c r="AC165" s="1"/>
      <c r="AD165" s="187"/>
      <c r="AE165" s="288">
        <v>1000000000</v>
      </c>
      <c r="AF165" s="288">
        <v>952.92</v>
      </c>
      <c r="AG165" s="187"/>
      <c r="AH165" s="2"/>
      <c r="AI165" s="2"/>
      <c r="AJ165" s="239"/>
      <c r="AM165" s="239"/>
      <c r="AN165" s="239"/>
      <c r="AO165" s="239"/>
      <c r="AP165" s="239"/>
      <c r="AQ165" s="239"/>
      <c r="AR165" s="239"/>
      <c r="AS165" s="239"/>
    </row>
    <row r="166" spans="3:45" s="6" customFormat="1" ht="20.100000000000001" hidden="1" customHeight="1">
      <c r="C166" s="239"/>
      <c r="D166" s="260"/>
      <c r="E166" s="198"/>
      <c r="F166" s="198"/>
      <c r="G166" s="198"/>
      <c r="H166" s="235"/>
      <c r="I166" s="235"/>
      <c r="J166" s="235"/>
      <c r="K166" s="235"/>
      <c r="L166" s="235"/>
      <c r="M166" s="198"/>
      <c r="N166" s="235"/>
      <c r="O166" s="235"/>
      <c r="P166" s="261"/>
      <c r="Q166" s="128"/>
      <c r="R166" s="223"/>
      <c r="S166" s="295" t="s">
        <v>33</v>
      </c>
      <c r="T166" s="295"/>
      <c r="U166" s="285">
        <v>7500</v>
      </c>
      <c r="V166" s="285"/>
      <c r="W166" s="286">
        <v>17500</v>
      </c>
      <c r="X166" s="299">
        <v>3.4199999999999999E-3</v>
      </c>
      <c r="Y166" s="286" t="str">
        <f>IF(AA6&gt;W166,"oui","non")</f>
        <v>non</v>
      </c>
      <c r="Z166" s="286">
        <f>IF(Y166="oui",W166-W165,(AA6)-Z165)</f>
        <v>0</v>
      </c>
      <c r="AA166" s="281">
        <f t="shared" si="12"/>
        <v>0</v>
      </c>
      <c r="AB166" s="298"/>
      <c r="AC166" s="1"/>
      <c r="AD166" s="187"/>
      <c r="AE166" s="187"/>
      <c r="AF166" s="288">
        <v>952.92</v>
      </c>
      <c r="AG166" s="187"/>
      <c r="AH166" s="2"/>
      <c r="AI166" s="2"/>
      <c r="AJ166" s="239"/>
      <c r="AM166" s="239"/>
      <c r="AN166" s="239"/>
      <c r="AO166" s="239"/>
      <c r="AP166" s="239"/>
      <c r="AQ166" s="239"/>
      <c r="AR166" s="239"/>
      <c r="AS166" s="239"/>
    </row>
    <row r="167" spans="3:45" s="6" customFormat="1" ht="20.100000000000001" hidden="1" customHeight="1">
      <c r="C167" s="268"/>
      <c r="D167" s="243"/>
      <c r="E167" s="279"/>
      <c r="F167" s="84"/>
      <c r="G167" s="235"/>
      <c r="H167" s="235"/>
      <c r="I167" s="235"/>
      <c r="J167" s="235"/>
      <c r="K167" s="235"/>
      <c r="L167" s="235"/>
      <c r="M167" s="235"/>
      <c r="N167" s="235"/>
      <c r="O167" s="235"/>
      <c r="P167" s="77"/>
      <c r="Q167" s="128"/>
      <c r="R167" s="223"/>
      <c r="S167" s="295"/>
      <c r="T167" s="295"/>
      <c r="U167" s="285">
        <v>17500</v>
      </c>
      <c r="V167" s="285"/>
      <c r="W167" s="286">
        <v>30000</v>
      </c>
      <c r="X167" s="299">
        <v>2.2799999999999999E-3</v>
      </c>
      <c r="Y167" s="286" t="str">
        <f>IF(AA6&gt;W167,"oui","non")</f>
        <v>non</v>
      </c>
      <c r="Z167" s="286">
        <f>IF(Y167="oui",W167-W166,(AA6)-Z166-Z165)</f>
        <v>0</v>
      </c>
      <c r="AA167" s="281">
        <f t="shared" si="12"/>
        <v>0</v>
      </c>
      <c r="AB167" s="298"/>
      <c r="AC167" s="1"/>
      <c r="AD167" s="187"/>
      <c r="AE167" s="187"/>
      <c r="AF167" s="187"/>
      <c r="AG167" s="187"/>
      <c r="AH167" s="2"/>
      <c r="AI167" s="2"/>
      <c r="AJ167" s="239"/>
      <c r="AM167" s="239"/>
      <c r="AN167" s="239"/>
      <c r="AO167" s="239"/>
      <c r="AP167" s="239"/>
      <c r="AQ167" s="239"/>
      <c r="AR167" s="239"/>
      <c r="AS167" s="239"/>
    </row>
    <row r="168" spans="3:45" s="6" customFormat="1" ht="20.100000000000001" hidden="1" customHeight="1">
      <c r="C168" s="16"/>
      <c r="D168" s="243"/>
      <c r="E168" s="279"/>
      <c r="F168" s="225"/>
      <c r="G168" s="235"/>
      <c r="H168" s="235"/>
      <c r="I168" s="235"/>
      <c r="J168" s="235"/>
      <c r="K168" s="235"/>
      <c r="L168" s="235"/>
      <c r="M168" s="235"/>
      <c r="N168" s="235"/>
      <c r="O168" s="235"/>
      <c r="Q168" s="128"/>
      <c r="R168" s="223"/>
      <c r="S168" s="282"/>
      <c r="T168" s="282"/>
      <c r="U168" s="285">
        <v>30000</v>
      </c>
      <c r="V168" s="285"/>
      <c r="W168" s="286">
        <v>45495</v>
      </c>
      <c r="X168" s="299">
        <v>1.7099999999999999E-3</v>
      </c>
      <c r="Y168" s="286" t="str">
        <f>IF(AA6&gt;W168,"oui","non")</f>
        <v>non</v>
      </c>
      <c r="Z168" s="286">
        <f>IF(Y168="oui",W168-W167,(AA6)-Z167-Z166-Z165)</f>
        <v>0</v>
      </c>
      <c r="AA168" s="281">
        <f t="shared" si="12"/>
        <v>0</v>
      </c>
      <c r="AB168" s="298"/>
      <c r="AC168" s="1"/>
      <c r="AD168" s="2"/>
      <c r="AE168" s="2"/>
      <c r="AF168" s="187"/>
      <c r="AG168" s="187"/>
      <c r="AH168" s="2"/>
      <c r="AI168" s="2"/>
      <c r="AJ168" s="239"/>
      <c r="AK168" s="239"/>
      <c r="AL168" s="239"/>
      <c r="AM168" s="239"/>
      <c r="AN168" s="239"/>
      <c r="AO168" s="239"/>
      <c r="AP168" s="239"/>
      <c r="AQ168" s="239"/>
      <c r="AR168" s="239"/>
      <c r="AS168" s="239"/>
    </row>
    <row r="169" spans="3:45" s="6" customFormat="1" ht="20.100000000000001" hidden="1" customHeight="1">
      <c r="C169" s="16"/>
      <c r="D169" s="243"/>
      <c r="E169" s="279"/>
      <c r="F169" s="262"/>
      <c r="G169" s="235"/>
      <c r="H169" s="235"/>
      <c r="I169" s="235"/>
      <c r="J169" s="235"/>
      <c r="K169" s="235"/>
      <c r="L169" s="235"/>
      <c r="M169" s="235"/>
      <c r="N169" s="235"/>
      <c r="O169" s="235"/>
      <c r="Q169" s="128"/>
      <c r="R169" s="223"/>
      <c r="S169" s="282"/>
      <c r="T169" s="282"/>
      <c r="U169" s="285">
        <v>45495</v>
      </c>
      <c r="V169" s="285"/>
      <c r="W169" s="286">
        <v>64095</v>
      </c>
      <c r="X169" s="299">
        <v>1.14E-3</v>
      </c>
      <c r="Y169" s="286" t="str">
        <f>IF(AA6&gt;W169,"oui","non")</f>
        <v>non</v>
      </c>
      <c r="Z169" s="286">
        <f>IF(Y169="oui",W169-W168,(AA6)-Z168-Z167-Z166-Z165)</f>
        <v>0</v>
      </c>
      <c r="AA169" s="281">
        <f t="shared" si="12"/>
        <v>0</v>
      </c>
      <c r="AB169" s="298"/>
      <c r="AC169" s="1"/>
      <c r="AD169" s="187"/>
      <c r="AE169" s="187"/>
      <c r="AF169" s="2"/>
      <c r="AG169" s="2"/>
      <c r="AH169" s="2"/>
      <c r="AI169" s="2"/>
      <c r="AJ169" s="239"/>
      <c r="AK169" s="239"/>
      <c r="AL169" s="239"/>
      <c r="AM169" s="239"/>
      <c r="AN169" s="239"/>
      <c r="AO169" s="239"/>
      <c r="AP169" s="239"/>
      <c r="AQ169" s="239"/>
      <c r="AR169" s="239"/>
      <c r="AS169" s="239"/>
    </row>
    <row r="170" spans="3:45" s="6" customFormat="1" ht="20.100000000000001" hidden="1" customHeight="1">
      <c r="C170" s="16"/>
      <c r="D170" s="243"/>
      <c r="E170" s="279"/>
      <c r="F170" s="262"/>
      <c r="G170" s="235"/>
      <c r="H170" s="235"/>
      <c r="I170" s="235"/>
      <c r="J170" s="235"/>
      <c r="K170" s="235"/>
      <c r="L170" s="235"/>
      <c r="M170" s="235"/>
      <c r="N170" s="235"/>
      <c r="O170" s="235"/>
      <c r="Q170" s="128"/>
      <c r="R170" s="223"/>
      <c r="S170" s="282"/>
      <c r="T170" s="282"/>
      <c r="U170" s="285">
        <v>64095</v>
      </c>
      <c r="V170" s="285"/>
      <c r="W170" s="286">
        <v>250095</v>
      </c>
      <c r="X170" s="299">
        <v>5.6999999999999998E-4</v>
      </c>
      <c r="Y170" s="286" t="str">
        <f>IF(AA6&gt;W170,"oui","non")</f>
        <v>non</v>
      </c>
      <c r="Z170" s="286">
        <f>IF(Y170="oui",W170-W169,(AA6)-Z169-Z168-Z167-Z166-Z165)</f>
        <v>0</v>
      </c>
      <c r="AA170" s="281">
        <f t="shared" si="12"/>
        <v>0</v>
      </c>
      <c r="AB170" s="298"/>
      <c r="AC170" s="1"/>
      <c r="AD170" s="187"/>
      <c r="AE170" s="187"/>
      <c r="AF170" s="187"/>
      <c r="AG170" s="187"/>
      <c r="AH170" s="2"/>
      <c r="AI170" s="2"/>
      <c r="AJ170" s="239"/>
      <c r="AK170" s="239"/>
      <c r="AL170" s="239"/>
      <c r="AM170" s="239"/>
      <c r="AN170" s="239"/>
      <c r="AO170" s="239"/>
      <c r="AP170" s="239"/>
      <c r="AQ170" s="239"/>
      <c r="AR170" s="239"/>
      <c r="AS170" s="239"/>
    </row>
    <row r="171" spans="3:45" s="6" customFormat="1" ht="20.100000000000001" hidden="1" customHeight="1">
      <c r="C171" s="16"/>
      <c r="D171" s="243"/>
      <c r="E171" s="279"/>
      <c r="F171" s="262"/>
      <c r="G171" s="235"/>
      <c r="H171" s="235"/>
      <c r="I171" s="235"/>
      <c r="J171" s="235"/>
      <c r="K171" s="198"/>
      <c r="L171" s="198"/>
      <c r="M171" s="235"/>
      <c r="N171" s="198"/>
      <c r="O171" s="235"/>
      <c r="Q171" s="128"/>
      <c r="R171" s="223"/>
      <c r="S171" s="282"/>
      <c r="T171" s="282"/>
      <c r="U171" s="285">
        <v>250095</v>
      </c>
      <c r="V171" s="285"/>
      <c r="W171" s="286"/>
      <c r="X171" s="299">
        <v>2.3000000000000001E-4</v>
      </c>
      <c r="Y171" s="286" t="s">
        <v>7</v>
      </c>
      <c r="Z171" s="286">
        <f>IF((G35+S23+AA11)&gt;=U171,(AA11)-W170,0)</f>
        <v>0</v>
      </c>
      <c r="AA171" s="187"/>
      <c r="AB171" s="187"/>
      <c r="AC171" s="187"/>
      <c r="AD171" s="187"/>
      <c r="AE171" s="187"/>
      <c r="AF171" s="187"/>
      <c r="AG171" s="187"/>
      <c r="AH171" s="239"/>
      <c r="AI171" s="239"/>
      <c r="AJ171" s="239"/>
      <c r="AK171" s="239"/>
      <c r="AL171" s="239"/>
      <c r="AM171" s="239"/>
      <c r="AN171" s="239"/>
      <c r="AO171" s="239"/>
      <c r="AP171" s="239"/>
      <c r="AQ171" s="239"/>
      <c r="AR171" s="239"/>
      <c r="AS171" s="239"/>
    </row>
    <row r="172" spans="3:45" s="6" customFormat="1" ht="20.100000000000001" hidden="1" customHeight="1">
      <c r="C172" s="16"/>
      <c r="D172" s="243"/>
      <c r="E172" s="279"/>
      <c r="F172" s="262"/>
      <c r="G172" s="235"/>
      <c r="H172" s="198"/>
      <c r="I172" s="198"/>
      <c r="J172" s="198"/>
      <c r="K172" s="261"/>
      <c r="L172" s="261"/>
      <c r="M172" s="235"/>
      <c r="N172" s="261"/>
      <c r="O172" s="198"/>
      <c r="Q172" s="268"/>
      <c r="R172" s="160"/>
      <c r="S172" s="187"/>
      <c r="T172" s="187"/>
      <c r="U172" s="187"/>
      <c r="V172" s="187"/>
      <c r="W172" s="187"/>
      <c r="X172" s="187"/>
      <c r="Y172" s="187"/>
      <c r="Z172" s="187"/>
      <c r="AA172" s="187"/>
      <c r="AB172" s="187"/>
      <c r="AC172" s="187"/>
      <c r="AD172" s="187"/>
      <c r="AE172" s="187"/>
      <c r="AF172" s="187"/>
      <c r="AG172" s="187"/>
      <c r="AH172" s="239"/>
      <c r="AI172" s="239"/>
      <c r="AJ172" s="239"/>
      <c r="AK172" s="239"/>
      <c r="AL172" s="239"/>
      <c r="AM172" s="239"/>
      <c r="AN172" s="239"/>
      <c r="AO172" s="239"/>
      <c r="AP172" s="239"/>
      <c r="AQ172" s="239"/>
      <c r="AR172" s="239"/>
      <c r="AS172" s="239"/>
    </row>
    <row r="173" spans="3:45" s="6" customFormat="1" ht="20.100000000000001" hidden="1" customHeight="1">
      <c r="C173" s="260"/>
      <c r="D173" s="260"/>
      <c r="E173" s="198"/>
      <c r="F173" s="262"/>
      <c r="G173" s="198"/>
      <c r="H173" s="261"/>
      <c r="I173" s="261"/>
      <c r="J173" s="261"/>
      <c r="K173" s="261"/>
      <c r="L173" s="261"/>
      <c r="M173" s="198"/>
      <c r="N173" s="225"/>
      <c r="O173" s="261"/>
      <c r="Q173" s="268"/>
      <c r="R173" s="160"/>
      <c r="S173" s="187"/>
      <c r="T173" s="187"/>
      <c r="U173" s="187"/>
      <c r="V173" s="187"/>
      <c r="W173" s="187"/>
      <c r="X173" s="187"/>
      <c r="Y173" s="187"/>
      <c r="Z173" s="187"/>
      <c r="AA173" s="187"/>
      <c r="AB173" s="187"/>
      <c r="AC173" s="187"/>
      <c r="AD173" s="187"/>
      <c r="AE173" s="187"/>
      <c r="AF173" s="187"/>
      <c r="AG173" s="187"/>
      <c r="AH173" s="239"/>
      <c r="AI173" s="239"/>
      <c r="AJ173" s="239"/>
      <c r="AK173" s="239"/>
      <c r="AL173" s="239"/>
      <c r="AM173" s="239"/>
      <c r="AN173" s="239"/>
      <c r="AO173" s="239"/>
      <c r="AP173" s="239"/>
      <c r="AQ173" s="239"/>
      <c r="AR173" s="239"/>
      <c r="AS173" s="239"/>
    </row>
    <row r="174" spans="3:45" s="6" customFormat="1" ht="18" hidden="1" customHeight="1">
      <c r="C174" s="260"/>
      <c r="D174" s="260"/>
      <c r="E174" s="198"/>
      <c r="G174" s="198"/>
      <c r="H174" s="261"/>
      <c r="I174" s="261"/>
      <c r="J174" s="261"/>
      <c r="K174" s="261"/>
      <c r="L174" s="261"/>
      <c r="M174" s="261"/>
      <c r="N174" s="225"/>
      <c r="O174" s="225"/>
      <c r="Q174" s="268"/>
      <c r="R174" s="160"/>
      <c r="S174" s="187"/>
      <c r="T174" s="187"/>
      <c r="U174" s="187"/>
      <c r="V174" s="187"/>
      <c r="W174" s="187"/>
      <c r="X174" s="187"/>
      <c r="Y174" s="187"/>
      <c r="Z174" s="187"/>
      <c r="AA174" s="187"/>
      <c r="AB174" s="187"/>
      <c r="AC174" s="187"/>
      <c r="AD174" s="187"/>
      <c r="AE174" s="187"/>
      <c r="AF174" s="187"/>
      <c r="AG174" s="187"/>
      <c r="AH174" s="239"/>
      <c r="AI174" s="239"/>
      <c r="AJ174" s="239"/>
      <c r="AK174" s="239"/>
      <c r="AL174" s="239"/>
      <c r="AM174" s="239"/>
      <c r="AN174" s="239"/>
      <c r="AO174" s="239"/>
      <c r="AP174" s="239"/>
      <c r="AQ174" s="239"/>
      <c r="AR174" s="239"/>
      <c r="AS174" s="239"/>
    </row>
    <row r="175" spans="3:45" s="5" customFormat="1" ht="15.75" customHeight="1">
      <c r="C175" s="243"/>
      <c r="D175" s="243"/>
      <c r="E175" s="77"/>
      <c r="F175" s="6"/>
      <c r="G175" s="77"/>
      <c r="H175" s="225"/>
      <c r="I175" s="225"/>
      <c r="J175" s="225"/>
      <c r="K175" s="225"/>
      <c r="L175" s="225"/>
      <c r="M175" s="225"/>
      <c r="N175" s="225"/>
      <c r="O175" s="225"/>
      <c r="P175" s="6"/>
      <c r="Q175" s="268"/>
      <c r="R175" s="77"/>
      <c r="S175" s="87"/>
      <c r="T175" s="87"/>
      <c r="U175" s="87"/>
      <c r="V175" s="87"/>
      <c r="W175" s="87"/>
      <c r="X175" s="87"/>
      <c r="Y175" s="87"/>
      <c r="Z175" s="87"/>
      <c r="AA175" s="87"/>
      <c r="AB175" s="87"/>
      <c r="AC175" s="87"/>
      <c r="AD175" s="87"/>
      <c r="AE175" s="87"/>
      <c r="AF175" s="187"/>
      <c r="AG175" s="187"/>
      <c r="AH175" s="239"/>
      <c r="AI175" s="239"/>
      <c r="AJ175" s="300"/>
      <c r="AK175" s="300"/>
      <c r="AL175" s="300"/>
      <c r="AM175" s="300"/>
      <c r="AN175" s="300"/>
      <c r="AO175" s="300"/>
      <c r="AP175" s="300"/>
      <c r="AQ175" s="300"/>
      <c r="AR175" s="300"/>
      <c r="AS175" s="300"/>
    </row>
    <row r="176" spans="3:45" s="5" customFormat="1" ht="20.100000000000001" customHeight="1">
      <c r="C176" s="243"/>
      <c r="D176" s="243"/>
      <c r="E176" s="77"/>
      <c r="F176" s="6"/>
      <c r="G176" s="77"/>
      <c r="H176" s="225"/>
      <c r="I176" s="225"/>
      <c r="J176" s="225"/>
      <c r="K176" s="225"/>
      <c r="L176" s="225"/>
      <c r="M176" s="225"/>
      <c r="N176" s="225"/>
      <c r="O176" s="225"/>
      <c r="Q176" s="268"/>
      <c r="R176" s="77"/>
      <c r="S176" s="87"/>
      <c r="T176" s="87"/>
      <c r="U176" s="87"/>
      <c r="V176" s="87"/>
      <c r="W176" s="87"/>
      <c r="X176" s="87"/>
      <c r="Y176" s="87"/>
      <c r="Z176" s="87"/>
      <c r="AA176" s="87"/>
      <c r="AB176" s="87"/>
      <c r="AC176" s="87"/>
      <c r="AD176" s="87"/>
      <c r="AE176" s="87"/>
      <c r="AF176" s="87"/>
      <c r="AG176" s="87"/>
      <c r="AH176" s="239"/>
      <c r="AI176" s="239"/>
      <c r="AJ176" s="300"/>
      <c r="AK176" s="300"/>
      <c r="AL176" s="300"/>
      <c r="AM176" s="300"/>
      <c r="AN176" s="300"/>
      <c r="AO176" s="300"/>
      <c r="AP176" s="300"/>
      <c r="AQ176" s="300"/>
      <c r="AR176" s="300"/>
      <c r="AS176" s="300"/>
    </row>
    <row r="177" spans="3:45" s="5" customFormat="1" ht="20.100000000000001" customHeight="1">
      <c r="C177" s="243"/>
      <c r="D177" s="243"/>
      <c r="E177" s="77"/>
      <c r="F177" s="6"/>
      <c r="G177" s="77"/>
      <c r="H177" s="225"/>
      <c r="I177" s="225"/>
      <c r="J177" s="225"/>
      <c r="K177" s="225"/>
      <c r="L177" s="225"/>
      <c r="M177" s="225"/>
      <c r="N177" s="225"/>
      <c r="O177" s="225"/>
      <c r="Q177" s="77"/>
      <c r="R177" s="77"/>
      <c r="S177" s="77"/>
      <c r="T177" s="152"/>
      <c r="U177" s="301"/>
      <c r="V177" s="77"/>
      <c r="W177" s="77"/>
      <c r="X177" s="225"/>
      <c r="Y177" s="77"/>
      <c r="Z177" s="77"/>
      <c r="AA177" s="87"/>
      <c r="AB177" s="87"/>
      <c r="AC177" s="87"/>
      <c r="AD177" s="6"/>
      <c r="AE177" s="6"/>
      <c r="AF177" s="87"/>
      <c r="AG177" s="87"/>
      <c r="AH177" s="6"/>
      <c r="AI177" s="6"/>
      <c r="AJ177" s="300"/>
      <c r="AK177" s="300"/>
      <c r="AL177" s="300"/>
      <c r="AM177" s="300"/>
      <c r="AN177" s="300"/>
      <c r="AO177" s="300"/>
      <c r="AP177" s="300"/>
      <c r="AQ177" s="300"/>
      <c r="AR177" s="300"/>
      <c r="AS177" s="300"/>
    </row>
    <row r="178" spans="3:45" s="5" customFormat="1" ht="20.100000000000001" customHeight="1">
      <c r="C178" s="243"/>
      <c r="D178" s="243"/>
      <c r="E178" s="77"/>
      <c r="F178" s="6"/>
      <c r="G178" s="77"/>
      <c r="H178" s="225"/>
      <c r="I178" s="225"/>
      <c r="J178" s="225"/>
      <c r="K178" s="77"/>
      <c r="L178" s="77"/>
      <c r="M178" s="225"/>
      <c r="N178" s="77"/>
      <c r="O178" s="225"/>
      <c r="Q178" s="77"/>
      <c r="R178" s="77"/>
      <c r="S178" s="77"/>
      <c r="T178" s="152"/>
      <c r="U178" s="301"/>
      <c r="V178" s="77"/>
      <c r="W178" s="77"/>
      <c r="X178" s="225"/>
      <c r="Y178" s="77"/>
      <c r="Z178" s="77"/>
      <c r="AA178" s="77"/>
      <c r="AB178" s="6"/>
      <c r="AC178" s="6"/>
      <c r="AD178" s="6"/>
      <c r="AE178" s="6"/>
      <c r="AF178" s="6"/>
      <c r="AG178" s="6"/>
      <c r="AH178" s="6"/>
      <c r="AI178" s="6"/>
      <c r="AJ178" s="300"/>
      <c r="AK178" s="300"/>
      <c r="AL178" s="300"/>
      <c r="AM178" s="300"/>
      <c r="AN178" s="300"/>
      <c r="AO178" s="300"/>
      <c r="AP178" s="300"/>
      <c r="AQ178" s="300"/>
      <c r="AR178" s="300"/>
      <c r="AS178" s="300"/>
    </row>
    <row r="179" spans="3:45" s="5" customFormat="1" ht="20.100000000000001" customHeight="1">
      <c r="C179" s="243"/>
      <c r="D179" s="243"/>
      <c r="E179" s="77"/>
      <c r="F179" s="6"/>
      <c r="G179" s="77"/>
      <c r="H179" s="77"/>
      <c r="I179" s="77"/>
      <c r="J179" s="77"/>
      <c r="K179" s="6"/>
      <c r="L179" s="6"/>
      <c r="M179" s="225"/>
      <c r="N179" s="77"/>
      <c r="O179" s="77"/>
      <c r="Q179" s="77"/>
      <c r="R179" s="77"/>
      <c r="S179" s="77"/>
      <c r="T179" s="152"/>
      <c r="U179" s="301"/>
      <c r="V179" s="77"/>
      <c r="W179" s="77"/>
      <c r="X179" s="225"/>
      <c r="Y179" s="77"/>
      <c r="Z179" s="77"/>
      <c r="AA179" s="77"/>
      <c r="AB179" s="6"/>
      <c r="AC179" s="6"/>
      <c r="AD179" s="6"/>
      <c r="AE179" s="6"/>
      <c r="AF179" s="6"/>
      <c r="AG179" s="6"/>
      <c r="AH179" s="6"/>
      <c r="AI179" s="6"/>
      <c r="AJ179" s="300"/>
      <c r="AK179" s="300"/>
      <c r="AL179" s="300"/>
      <c r="AM179" s="300"/>
      <c r="AN179" s="300"/>
      <c r="AO179" s="300"/>
      <c r="AP179" s="300"/>
      <c r="AQ179" s="300"/>
      <c r="AR179" s="300"/>
      <c r="AS179" s="300"/>
    </row>
    <row r="180" spans="3:45" s="1" customFormat="1" ht="20.100000000000001" customHeight="1"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77"/>
      <c r="N180" s="77"/>
      <c r="O180" s="77"/>
      <c r="P180" s="5"/>
      <c r="Q180" s="77"/>
      <c r="R180" s="77"/>
      <c r="S180" s="77"/>
      <c r="T180" s="152"/>
      <c r="U180" s="301"/>
      <c r="V180" s="77"/>
      <c r="W180" s="77"/>
      <c r="X180" s="225"/>
      <c r="Y180" s="77"/>
      <c r="Z180" s="77"/>
      <c r="AA180" s="77"/>
      <c r="AB180" s="6"/>
      <c r="AC180" s="6"/>
      <c r="AD180" s="6"/>
      <c r="AE180" s="6"/>
      <c r="AF180" s="6"/>
      <c r="AG180" s="6"/>
      <c r="AH180" s="6"/>
      <c r="AI180" s="6"/>
      <c r="AJ180" s="300"/>
      <c r="AK180" s="300"/>
      <c r="AL180" s="300"/>
      <c r="AM180" s="300"/>
      <c r="AN180" s="300"/>
      <c r="AO180" s="300"/>
      <c r="AP180" s="300"/>
      <c r="AQ180" s="300"/>
      <c r="AR180" s="300"/>
      <c r="AS180" s="300"/>
    </row>
    <row r="181" spans="3:45" s="1" customFormat="1" ht="20.100000000000001" customHeight="1"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77"/>
      <c r="N181" s="77"/>
      <c r="O181" s="77"/>
      <c r="P181" s="5"/>
      <c r="Q181" s="77"/>
      <c r="R181" s="77"/>
      <c r="S181" s="77"/>
      <c r="T181" s="152"/>
      <c r="U181" s="301"/>
      <c r="V181" s="77"/>
      <c r="W181" s="77"/>
      <c r="X181" s="225"/>
      <c r="Y181" s="77"/>
      <c r="Z181" s="77"/>
      <c r="AA181" s="77"/>
      <c r="AB181" s="6"/>
      <c r="AC181" s="6"/>
      <c r="AD181" s="6"/>
      <c r="AE181" s="6"/>
      <c r="AF181" s="6"/>
      <c r="AG181" s="6"/>
      <c r="AH181" s="6"/>
      <c r="AI181" s="6"/>
      <c r="AJ181" s="300"/>
      <c r="AK181" s="300"/>
      <c r="AL181" s="300"/>
      <c r="AM181" s="300"/>
      <c r="AN181" s="300"/>
      <c r="AO181" s="300"/>
      <c r="AP181" s="300"/>
      <c r="AQ181" s="300"/>
      <c r="AR181" s="300"/>
      <c r="AS181" s="300"/>
    </row>
    <row r="182" spans="3:45" s="1" customFormat="1" ht="20.100000000000001" customHeight="1"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77"/>
      <c r="N182" s="77"/>
      <c r="O182" s="77"/>
      <c r="P182" s="5"/>
      <c r="Q182" s="77"/>
      <c r="R182" s="77"/>
      <c r="S182" s="77"/>
      <c r="T182" s="152"/>
      <c r="U182" s="301"/>
      <c r="V182" s="77"/>
      <c r="W182" s="77"/>
      <c r="X182" s="225"/>
      <c r="Y182" s="77"/>
      <c r="Z182" s="77"/>
      <c r="AA182" s="77"/>
      <c r="AB182" s="6"/>
      <c r="AC182" s="6"/>
      <c r="AD182" s="6"/>
      <c r="AE182" s="6"/>
      <c r="AF182" s="6"/>
      <c r="AG182" s="6"/>
      <c r="AH182" s="6"/>
      <c r="AI182" s="6"/>
      <c r="AJ182" s="300"/>
      <c r="AK182" s="300"/>
      <c r="AL182" s="300"/>
      <c r="AM182" s="300"/>
      <c r="AN182" s="300"/>
      <c r="AO182" s="300"/>
      <c r="AP182" s="300"/>
      <c r="AQ182" s="300"/>
      <c r="AR182" s="300"/>
      <c r="AS182" s="300"/>
    </row>
    <row r="183" spans="3:45" s="1" customFormat="1" ht="20.100000000000001" customHeight="1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77"/>
      <c r="N183" s="77"/>
      <c r="O183" s="77"/>
      <c r="P183" s="5"/>
      <c r="Q183" s="77"/>
      <c r="R183" s="77"/>
      <c r="S183" s="77"/>
      <c r="T183" s="152"/>
      <c r="U183" s="301"/>
      <c r="V183" s="77"/>
      <c r="W183" s="77"/>
      <c r="X183" s="225"/>
      <c r="Y183" s="77"/>
      <c r="Z183" s="77"/>
      <c r="AA183" s="77"/>
      <c r="AB183" s="6"/>
      <c r="AC183" s="6"/>
      <c r="AD183" s="6"/>
      <c r="AE183" s="6"/>
      <c r="AF183" s="6"/>
      <c r="AG183" s="6"/>
      <c r="AH183" s="6"/>
      <c r="AI183" s="6"/>
      <c r="AJ183" s="300"/>
      <c r="AK183" s="300"/>
      <c r="AL183" s="300"/>
      <c r="AM183" s="300"/>
      <c r="AN183" s="300"/>
      <c r="AO183" s="300"/>
      <c r="AP183" s="300"/>
      <c r="AQ183" s="300"/>
      <c r="AR183" s="300"/>
      <c r="AS183" s="300"/>
    </row>
    <row r="184" spans="3:45" s="1" customFormat="1" ht="20.100000000000001" customHeight="1"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77"/>
      <c r="N184" s="77"/>
      <c r="O184" s="77"/>
      <c r="P184" s="5"/>
      <c r="Q184" s="77"/>
      <c r="R184" s="77"/>
      <c r="S184" s="77"/>
      <c r="T184" s="152"/>
      <c r="U184" s="301"/>
      <c r="V184" s="77"/>
      <c r="W184" s="77"/>
      <c r="X184" s="225"/>
      <c r="Y184" s="77"/>
      <c r="Z184" s="77"/>
      <c r="AA184" s="77"/>
      <c r="AB184" s="6"/>
      <c r="AC184" s="6"/>
      <c r="AD184" s="6"/>
      <c r="AE184" s="6"/>
      <c r="AF184" s="6"/>
      <c r="AG184" s="6"/>
      <c r="AH184" s="6"/>
      <c r="AI184" s="6"/>
      <c r="AJ184" s="300"/>
      <c r="AK184" s="300"/>
      <c r="AL184" s="300"/>
      <c r="AM184" s="300"/>
      <c r="AN184" s="300"/>
      <c r="AO184" s="300"/>
      <c r="AP184" s="300"/>
      <c r="AQ184" s="300"/>
      <c r="AR184" s="300"/>
      <c r="AS184" s="300"/>
    </row>
    <row r="185" spans="3:45" s="1" customFormat="1" ht="20.100000000000001" customHeight="1"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77"/>
      <c r="N185" s="6"/>
      <c r="O185" s="77"/>
      <c r="P185" s="5"/>
      <c r="Q185" s="77"/>
      <c r="R185" s="77"/>
      <c r="S185" s="77"/>
      <c r="T185" s="152"/>
      <c r="U185" s="301"/>
      <c r="V185" s="77"/>
      <c r="W185" s="77"/>
      <c r="X185" s="225"/>
      <c r="Y185" s="77"/>
      <c r="Z185" s="77"/>
      <c r="AA185" s="77"/>
      <c r="AB185" s="6"/>
      <c r="AC185" s="6"/>
      <c r="AD185" s="6"/>
      <c r="AE185" s="6"/>
      <c r="AF185" s="6"/>
      <c r="AG185" s="6"/>
      <c r="AH185" s="6"/>
      <c r="AI185" s="6"/>
      <c r="AJ185" s="300"/>
      <c r="AK185" s="300"/>
      <c r="AL185" s="300"/>
      <c r="AM185" s="300"/>
      <c r="AN185" s="300"/>
      <c r="AO185" s="300"/>
      <c r="AP185" s="300"/>
      <c r="AQ185" s="300"/>
      <c r="AR185" s="300"/>
      <c r="AS185" s="300"/>
    </row>
    <row r="186" spans="3:45" s="1" customFormat="1" ht="20.100000000000001" customHeight="1"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77"/>
      <c r="N186" s="6"/>
      <c r="O186" s="6"/>
      <c r="P186" s="5"/>
      <c r="Q186" s="77"/>
      <c r="R186" s="77"/>
      <c r="S186" s="77"/>
      <c r="T186" s="152"/>
      <c r="U186" s="301"/>
      <c r="V186" s="77"/>
      <c r="W186" s="77"/>
      <c r="X186" s="225"/>
      <c r="Y186" s="77"/>
      <c r="Z186" s="77"/>
      <c r="AA186" s="77"/>
      <c r="AB186" s="6"/>
      <c r="AC186" s="6"/>
      <c r="AD186" s="6"/>
      <c r="AE186" s="6"/>
      <c r="AF186" s="6"/>
      <c r="AG186" s="6"/>
      <c r="AH186" s="6"/>
      <c r="AI186" s="6"/>
      <c r="AJ186" s="300"/>
      <c r="AK186" s="300"/>
      <c r="AL186" s="300"/>
      <c r="AM186" s="300"/>
      <c r="AN186" s="300"/>
      <c r="AO186" s="300"/>
      <c r="AP186" s="300"/>
      <c r="AQ186" s="300"/>
      <c r="AR186" s="300"/>
      <c r="AS186" s="300"/>
    </row>
    <row r="187" spans="3:45" s="1" customFormat="1" ht="20.100000000000001" customHeight="1"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5"/>
      <c r="Q187" s="77"/>
      <c r="R187" s="77"/>
      <c r="S187" s="77"/>
      <c r="T187" s="152"/>
      <c r="U187" s="301"/>
      <c r="V187" s="77"/>
      <c r="W187" s="77"/>
      <c r="X187" s="225"/>
      <c r="Y187" s="77"/>
      <c r="Z187" s="77"/>
      <c r="AA187" s="77"/>
      <c r="AB187" s="6"/>
      <c r="AC187" s="6"/>
      <c r="AD187" s="6"/>
      <c r="AE187" s="6"/>
      <c r="AF187" s="6"/>
      <c r="AG187" s="6"/>
      <c r="AH187" s="6"/>
      <c r="AI187" s="6"/>
      <c r="AJ187" s="300"/>
      <c r="AK187" s="300"/>
      <c r="AL187" s="300"/>
      <c r="AM187" s="300"/>
      <c r="AN187" s="300"/>
      <c r="AO187" s="300"/>
      <c r="AP187" s="300"/>
      <c r="AQ187" s="300"/>
      <c r="AR187" s="300"/>
      <c r="AS187" s="300"/>
    </row>
    <row r="188" spans="3:45" s="1" customFormat="1" ht="20.100000000000001" customHeight="1"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5"/>
      <c r="Q188" s="6"/>
      <c r="R188" s="77"/>
      <c r="S188" s="6"/>
      <c r="T188" s="6"/>
      <c r="U188" s="6"/>
      <c r="V188" s="6"/>
      <c r="W188" s="6"/>
      <c r="X188" s="6"/>
      <c r="Y188" s="6"/>
      <c r="Z188" s="6"/>
      <c r="AA188" s="77"/>
      <c r="AB188" s="6"/>
      <c r="AC188" s="6"/>
      <c r="AD188" s="6"/>
      <c r="AE188" s="6"/>
      <c r="AF188" s="6"/>
      <c r="AG188" s="6"/>
      <c r="AH188" s="6"/>
      <c r="AI188" s="6"/>
      <c r="AJ188" s="300"/>
      <c r="AK188" s="300"/>
      <c r="AL188" s="300"/>
      <c r="AM188" s="300"/>
      <c r="AN188" s="300"/>
      <c r="AO188" s="300"/>
      <c r="AP188" s="300"/>
      <c r="AQ188" s="300"/>
      <c r="AR188" s="300"/>
      <c r="AS188" s="300"/>
    </row>
    <row r="189" spans="3:45" s="1" customFormat="1" ht="20.100000000000001" customHeight="1"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5"/>
      <c r="Q189" s="6"/>
      <c r="R189" s="152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300"/>
      <c r="AK189" s="300"/>
      <c r="AL189" s="300"/>
      <c r="AM189" s="300"/>
      <c r="AN189" s="300"/>
      <c r="AO189" s="300"/>
      <c r="AP189" s="300"/>
      <c r="AQ189" s="300"/>
      <c r="AR189" s="300"/>
      <c r="AS189" s="300"/>
    </row>
    <row r="190" spans="3:45" s="1" customFormat="1" ht="20.100000000000001" customHeight="1"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5"/>
      <c r="Q190" s="6"/>
      <c r="R190" s="152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300"/>
      <c r="AK190" s="300"/>
      <c r="AL190" s="300"/>
      <c r="AM190" s="300"/>
      <c r="AN190" s="300"/>
      <c r="AO190" s="300"/>
      <c r="AP190" s="300"/>
      <c r="AQ190" s="300"/>
      <c r="AR190" s="300"/>
      <c r="AS190" s="300"/>
    </row>
    <row r="191" spans="3:45" s="1" customFormat="1" ht="20.100000000000001" customHeight="1"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5"/>
      <c r="Q191" s="6"/>
      <c r="R191" s="152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300"/>
      <c r="AK191" s="300"/>
      <c r="AL191" s="300"/>
      <c r="AM191" s="300"/>
      <c r="AN191" s="300"/>
      <c r="AO191" s="300"/>
      <c r="AP191" s="300"/>
      <c r="AQ191" s="300"/>
      <c r="AR191" s="300"/>
      <c r="AS191" s="300"/>
    </row>
    <row r="192" spans="3:45" s="1" customFormat="1" ht="20.100000000000001" customHeight="1"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5"/>
      <c r="Q192" s="6"/>
      <c r="R192" s="152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5"/>
      <c r="AI192" s="5"/>
      <c r="AJ192" s="300"/>
      <c r="AK192" s="300"/>
      <c r="AL192" s="300"/>
      <c r="AM192" s="300"/>
      <c r="AN192" s="300"/>
      <c r="AO192" s="300"/>
      <c r="AP192" s="300"/>
      <c r="AQ192" s="300"/>
      <c r="AR192" s="300"/>
      <c r="AS192" s="300"/>
    </row>
    <row r="193" spans="3:45" s="1" customFormat="1" ht="20.100000000000001" customHeight="1">
      <c r="C193" s="6"/>
      <c r="D193" s="6"/>
      <c r="E193" s="6"/>
      <c r="F193" s="6"/>
      <c r="G193" s="6"/>
      <c r="H193" s="6"/>
      <c r="I193" s="6"/>
      <c r="J193" s="6"/>
      <c r="K193" s="5"/>
      <c r="L193" s="5"/>
      <c r="M193" s="6"/>
      <c r="N193" s="5"/>
      <c r="O193" s="6"/>
      <c r="P193" s="5"/>
      <c r="Q193" s="6"/>
      <c r="R193" s="152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5"/>
      <c r="AI193" s="5"/>
      <c r="AJ193" s="300"/>
      <c r="AK193" s="300"/>
      <c r="AL193" s="300"/>
      <c r="AM193" s="300"/>
      <c r="AN193" s="300"/>
      <c r="AO193" s="300"/>
      <c r="AP193" s="300"/>
      <c r="AQ193" s="300"/>
      <c r="AR193" s="300"/>
      <c r="AS193" s="300"/>
    </row>
    <row r="194" spans="3:45" s="1" customFormat="1" ht="20.100000000000001" customHeight="1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6"/>
      <c r="N194" s="5"/>
      <c r="O194" s="5"/>
      <c r="P194" s="5"/>
      <c r="Q194" s="6"/>
      <c r="R194" s="152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5"/>
      <c r="AI194" s="5"/>
      <c r="AJ194" s="300"/>
      <c r="AK194" s="300"/>
      <c r="AL194" s="300"/>
      <c r="AM194" s="300"/>
      <c r="AN194" s="300"/>
      <c r="AO194" s="300"/>
      <c r="AP194" s="300"/>
      <c r="AQ194" s="300"/>
      <c r="AR194" s="300"/>
      <c r="AS194" s="300"/>
    </row>
    <row r="195" spans="3:45" s="1" customFormat="1" ht="20.100000000000001" customHeight="1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6"/>
      <c r="R195" s="152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5"/>
      <c r="AI195" s="5"/>
      <c r="AJ195" s="300"/>
      <c r="AK195" s="300"/>
      <c r="AL195" s="300"/>
      <c r="AM195" s="300"/>
      <c r="AN195" s="300"/>
      <c r="AO195" s="300"/>
      <c r="AP195" s="300"/>
      <c r="AQ195" s="300"/>
      <c r="AR195" s="300"/>
      <c r="AS195" s="300"/>
    </row>
    <row r="196" spans="3:45" s="1" customFormat="1" ht="20.100000000000001" customHeight="1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177"/>
      <c r="S196" s="5"/>
      <c r="T196" s="5"/>
      <c r="U196" s="5"/>
      <c r="V196" s="5"/>
      <c r="W196" s="5"/>
      <c r="X196" s="5"/>
      <c r="Y196" s="5"/>
      <c r="Z196" s="5"/>
      <c r="AA196" s="6"/>
      <c r="AB196" s="6"/>
      <c r="AC196" s="6"/>
      <c r="AD196" s="5"/>
      <c r="AE196" s="5"/>
      <c r="AF196" s="6"/>
      <c r="AG196" s="6"/>
      <c r="AH196" s="5"/>
      <c r="AI196" s="5"/>
      <c r="AJ196" s="300"/>
      <c r="AK196" s="300"/>
      <c r="AL196" s="300"/>
      <c r="AM196" s="300"/>
      <c r="AN196" s="300"/>
      <c r="AO196" s="300"/>
      <c r="AP196" s="300"/>
      <c r="AQ196" s="300"/>
      <c r="AR196" s="300"/>
      <c r="AS196" s="300"/>
    </row>
    <row r="197" spans="3:45" s="1" customFormat="1" ht="20.100000000000001" customHeight="1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177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300"/>
      <c r="AK197" s="300"/>
      <c r="AL197" s="300"/>
      <c r="AM197" s="300"/>
      <c r="AN197" s="300"/>
      <c r="AO197" s="300"/>
      <c r="AP197" s="300"/>
      <c r="AQ197" s="300"/>
      <c r="AR197" s="300"/>
      <c r="AS197" s="300"/>
    </row>
    <row r="198" spans="3:45" s="1" customFormat="1" ht="20.100000000000001" customHeight="1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177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300"/>
      <c r="AK198" s="300"/>
      <c r="AL198" s="300"/>
      <c r="AM198" s="300"/>
      <c r="AN198" s="300"/>
      <c r="AO198" s="300"/>
      <c r="AP198" s="300"/>
      <c r="AQ198" s="300"/>
      <c r="AR198" s="300"/>
      <c r="AS198" s="300"/>
    </row>
    <row r="199" spans="3:45" s="1" customFormat="1" ht="20.100000000000001" customHeight="1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177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300"/>
      <c r="AK199" s="300"/>
      <c r="AL199" s="300"/>
      <c r="AM199" s="300"/>
      <c r="AN199" s="300"/>
      <c r="AO199" s="300"/>
      <c r="AP199" s="300"/>
      <c r="AQ199" s="300"/>
      <c r="AR199" s="300"/>
      <c r="AS199" s="300"/>
    </row>
    <row r="200" spans="3:45" s="1" customFormat="1" ht="20.100000000000001" customHeight="1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177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300"/>
      <c r="AK200" s="300"/>
      <c r="AL200" s="300"/>
      <c r="AM200" s="300"/>
      <c r="AN200" s="300"/>
      <c r="AO200" s="300"/>
      <c r="AP200" s="300"/>
      <c r="AQ200" s="300"/>
      <c r="AR200" s="300"/>
      <c r="AS200" s="300"/>
    </row>
    <row r="201" spans="3:45" s="1" customFormat="1" ht="20.100000000000001" customHeight="1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177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3:45" s="1" customFormat="1" ht="20.100000000000001" customHeight="1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177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3:45" s="1" customFormat="1" ht="20.100000000000001" customHeight="1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177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3:45" s="1" customFormat="1" ht="20.100000000000001" customHeight="1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177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3:45" s="1" customFormat="1" ht="20.100000000000001" customHeight="1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177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3:45" s="1" customFormat="1" ht="20.100000000000001" customHeight="1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177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3:45" s="1" customFormat="1" ht="20.100000000000001" customHeight="1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177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3:45" s="1" customFormat="1" ht="20.100000000000001" customHeight="1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177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3:45" s="1" customFormat="1" ht="20.100000000000001" customHeight="1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177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3:45" s="1" customFormat="1" ht="20.100000000000001" customHeight="1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177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3:45" s="1" customFormat="1" ht="20.100000000000001" customHeight="1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177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3:45" s="1" customFormat="1" ht="20.100000000000001" customHeight="1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177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spans="3:45" s="1" customFormat="1" ht="20.100000000000001" customHeight="1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177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</row>
    <row r="214" spans="3:45" s="1" customFormat="1" ht="20.100000000000001" customHeight="1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177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spans="3:45" s="1" customFormat="1" ht="20.100000000000001" customHeight="1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177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16" spans="3:45" s="1" customFormat="1" ht="20.100000000000001" customHeight="1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177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</row>
    <row r="217" spans="3:45" s="1" customFormat="1" ht="20.100000000000001" customHeight="1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177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</row>
    <row r="218" spans="3:45" s="1" customFormat="1" ht="20.100000000000001" customHeight="1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177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</row>
    <row r="219" spans="3:45" s="1" customFormat="1" ht="20.100000000000001" customHeight="1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177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</row>
    <row r="220" spans="3:45" s="1" customFormat="1" ht="20.100000000000001" customHeight="1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177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</row>
    <row r="221" spans="3:45" s="1" customFormat="1" ht="20.100000000000001" customHeight="1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177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</row>
    <row r="222" spans="3:45" s="1" customFormat="1" ht="20.100000000000001" customHeight="1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177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</row>
    <row r="223" spans="3:45" s="1" customFormat="1" ht="20.100000000000001" customHeight="1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177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</row>
    <row r="224" spans="3:45" s="1" customFormat="1" ht="20.100000000000001" customHeight="1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177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</row>
    <row r="225" spans="3:45" s="1" customFormat="1" ht="20.100000000000001" customHeight="1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177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</row>
    <row r="226" spans="3:45" s="1" customFormat="1" ht="20.100000000000001" customHeight="1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177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</row>
    <row r="227" spans="3:45" s="1" customFormat="1" ht="20.100000000000001" customHeight="1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177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</row>
    <row r="228" spans="3:45" s="1" customFormat="1" ht="20.100000000000001" customHeight="1">
      <c r="C228" s="5"/>
      <c r="D228" s="5"/>
      <c r="E228" s="5"/>
      <c r="F228" s="5"/>
      <c r="G228" s="5"/>
      <c r="H228" s="5"/>
      <c r="I228" s="5"/>
      <c r="J228" s="5"/>
      <c r="K228" s="302"/>
      <c r="L228" s="5"/>
      <c r="M228" s="5"/>
      <c r="N228" s="302"/>
      <c r="O228" s="5"/>
      <c r="P228" s="5"/>
      <c r="Q228" s="5"/>
      <c r="R228" s="177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</row>
    <row r="229" spans="3:45" s="1" customFormat="1" ht="20.100000000000001" customHeight="1">
      <c r="C229" s="302"/>
      <c r="D229" s="5"/>
      <c r="E229" s="302"/>
      <c r="F229" s="302"/>
      <c r="G229" s="302"/>
      <c r="H229" s="5"/>
      <c r="I229" s="302"/>
      <c r="J229" s="302"/>
      <c r="K229" s="302"/>
      <c r="L229" s="5"/>
      <c r="M229" s="5"/>
      <c r="N229" s="302"/>
      <c r="O229" s="302"/>
      <c r="P229" s="5"/>
      <c r="Q229" s="302"/>
      <c r="R229" s="177"/>
      <c r="S229" s="302"/>
      <c r="T229" s="5"/>
      <c r="U229" s="302"/>
      <c r="V229" s="5"/>
      <c r="W229" s="302"/>
      <c r="X229" s="5"/>
      <c r="Y229" s="302"/>
      <c r="Z229" s="302"/>
      <c r="AA229" s="5"/>
      <c r="AB229" s="5"/>
      <c r="AC229" s="5"/>
      <c r="AD229" s="302"/>
      <c r="AE229" s="302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</row>
    <row r="230" spans="3:45" ht="20.100000000000001" customHeight="1">
      <c r="C230" s="302"/>
      <c r="D230" s="5"/>
      <c r="E230" s="302"/>
      <c r="F230" s="302"/>
      <c r="G230" s="302"/>
      <c r="H230" s="5"/>
      <c r="I230" s="302"/>
      <c r="J230" s="302"/>
      <c r="K230" s="302"/>
      <c r="L230" s="5"/>
      <c r="M230" s="302"/>
      <c r="N230" s="302"/>
      <c r="O230" s="302"/>
      <c r="P230" s="5"/>
      <c r="Q230" s="302"/>
      <c r="R230" s="177"/>
      <c r="S230" s="302"/>
      <c r="T230" s="5"/>
      <c r="U230" s="302"/>
      <c r="V230" s="5"/>
      <c r="W230" s="302"/>
      <c r="X230" s="5"/>
      <c r="Y230" s="302"/>
      <c r="Z230" s="302"/>
      <c r="AA230" s="302"/>
      <c r="AB230" s="302"/>
      <c r="AC230" s="302"/>
      <c r="AD230" s="302"/>
      <c r="AE230" s="302"/>
      <c r="AF230" s="302"/>
      <c r="AG230" s="302"/>
      <c r="AH230" s="5"/>
      <c r="AI230" s="5"/>
      <c r="AJ230" s="302"/>
      <c r="AK230" s="302"/>
      <c r="AL230" s="302"/>
      <c r="AM230" s="302"/>
      <c r="AN230" s="302"/>
      <c r="AO230" s="302"/>
      <c r="AP230" s="302"/>
      <c r="AQ230" s="302"/>
      <c r="AR230" s="302"/>
      <c r="AS230" s="302"/>
    </row>
    <row r="231" spans="3:45" ht="20.100000000000001" customHeight="1">
      <c r="C231" s="302"/>
      <c r="D231" s="5"/>
      <c r="E231" s="302"/>
      <c r="F231" s="302"/>
      <c r="G231" s="302"/>
      <c r="H231" s="5"/>
      <c r="I231" s="302"/>
      <c r="J231" s="302"/>
      <c r="K231" s="302"/>
      <c r="L231" s="5"/>
      <c r="M231" s="302"/>
      <c r="N231" s="302"/>
      <c r="O231" s="302"/>
      <c r="P231" s="5"/>
      <c r="Q231" s="302"/>
      <c r="R231" s="177"/>
      <c r="S231" s="302"/>
      <c r="T231" s="5"/>
      <c r="U231" s="302"/>
      <c r="V231" s="5"/>
      <c r="W231" s="302"/>
      <c r="X231" s="5"/>
      <c r="Y231" s="302"/>
      <c r="Z231" s="302"/>
      <c r="AA231" s="302"/>
      <c r="AB231" s="302"/>
      <c r="AC231" s="302"/>
      <c r="AD231" s="302"/>
      <c r="AE231" s="302"/>
      <c r="AF231" s="302"/>
      <c r="AG231" s="302"/>
      <c r="AH231" s="5"/>
      <c r="AI231" s="5"/>
      <c r="AJ231" s="302"/>
      <c r="AK231" s="302"/>
      <c r="AL231" s="302"/>
      <c r="AM231" s="302"/>
      <c r="AN231" s="302"/>
      <c r="AO231" s="302"/>
      <c r="AP231" s="302"/>
      <c r="AQ231" s="302"/>
      <c r="AR231" s="302"/>
      <c r="AS231" s="302"/>
    </row>
    <row r="232" spans="3:45" ht="20.100000000000001" customHeight="1">
      <c r="C232" s="302"/>
      <c r="D232" s="5"/>
      <c r="E232" s="302"/>
      <c r="F232" s="302"/>
      <c r="G232" s="302"/>
      <c r="H232" s="5"/>
      <c r="I232" s="302"/>
      <c r="J232" s="302"/>
      <c r="K232" s="302"/>
      <c r="L232" s="5"/>
      <c r="M232" s="302"/>
      <c r="N232" s="302"/>
      <c r="O232" s="302"/>
      <c r="P232" s="5"/>
      <c r="Q232" s="302"/>
      <c r="R232" s="177"/>
      <c r="S232" s="302"/>
      <c r="T232" s="5"/>
      <c r="U232" s="302"/>
      <c r="V232" s="5"/>
      <c r="W232" s="302"/>
      <c r="X232" s="5"/>
      <c r="Y232" s="302"/>
      <c r="Z232" s="302"/>
      <c r="AA232" s="302"/>
      <c r="AB232" s="302"/>
      <c r="AC232" s="302"/>
      <c r="AD232" s="302"/>
      <c r="AE232" s="302"/>
      <c r="AF232" s="302"/>
      <c r="AG232" s="302"/>
      <c r="AH232" s="5"/>
      <c r="AI232" s="5"/>
      <c r="AJ232" s="302"/>
      <c r="AK232" s="302"/>
      <c r="AL232" s="302"/>
      <c r="AM232" s="302"/>
      <c r="AN232" s="302"/>
      <c r="AO232" s="302"/>
      <c r="AP232" s="302"/>
      <c r="AQ232" s="302"/>
      <c r="AR232" s="302"/>
      <c r="AS232" s="302"/>
    </row>
    <row r="233" spans="3:45" ht="20.100000000000001" customHeight="1">
      <c r="C233" s="302"/>
      <c r="D233" s="5"/>
      <c r="E233" s="302"/>
      <c r="F233" s="302"/>
      <c r="G233" s="302"/>
      <c r="H233" s="5"/>
      <c r="I233" s="302"/>
      <c r="J233" s="302"/>
      <c r="K233" s="302"/>
      <c r="L233" s="5"/>
      <c r="M233" s="302"/>
      <c r="N233" s="302"/>
      <c r="O233" s="302"/>
      <c r="P233" s="5"/>
      <c r="Q233" s="302"/>
      <c r="R233" s="177"/>
      <c r="S233" s="302"/>
      <c r="T233" s="5"/>
      <c r="U233" s="302"/>
      <c r="V233" s="5"/>
      <c r="W233" s="302"/>
      <c r="X233" s="5"/>
      <c r="Y233" s="302"/>
      <c r="Z233" s="302"/>
      <c r="AA233" s="302"/>
      <c r="AB233" s="302"/>
      <c r="AC233" s="302"/>
      <c r="AD233" s="302"/>
      <c r="AE233" s="302"/>
      <c r="AF233" s="302"/>
      <c r="AG233" s="302"/>
      <c r="AH233" s="5"/>
      <c r="AI233" s="5"/>
      <c r="AJ233" s="302"/>
      <c r="AK233" s="302"/>
      <c r="AL233" s="302"/>
      <c r="AM233" s="302"/>
      <c r="AN233" s="302"/>
      <c r="AO233" s="302"/>
      <c r="AP233" s="302"/>
      <c r="AQ233" s="302"/>
      <c r="AR233" s="302"/>
      <c r="AS233" s="302"/>
    </row>
    <row r="234" spans="3:45" ht="20.100000000000001" customHeight="1">
      <c r="C234" s="302"/>
      <c r="D234" s="5"/>
      <c r="E234" s="302"/>
      <c r="F234" s="302"/>
      <c r="G234" s="302"/>
      <c r="H234" s="5"/>
      <c r="I234" s="302"/>
      <c r="J234" s="302"/>
      <c r="K234" s="302"/>
      <c r="L234" s="5"/>
      <c r="M234" s="302"/>
      <c r="N234" s="302"/>
      <c r="O234" s="302"/>
      <c r="P234" s="5"/>
      <c r="Q234" s="302"/>
      <c r="R234" s="177"/>
      <c r="S234" s="302"/>
      <c r="T234" s="5"/>
      <c r="U234" s="302"/>
      <c r="V234" s="5"/>
      <c r="W234" s="302"/>
      <c r="X234" s="5"/>
      <c r="Y234" s="302"/>
      <c r="Z234" s="302"/>
      <c r="AA234" s="302"/>
      <c r="AB234" s="302"/>
      <c r="AC234" s="302"/>
      <c r="AD234" s="302"/>
      <c r="AE234" s="302"/>
      <c r="AF234" s="302"/>
      <c r="AG234" s="302"/>
      <c r="AH234" s="5"/>
      <c r="AI234" s="5"/>
      <c r="AJ234" s="302"/>
      <c r="AK234" s="302"/>
      <c r="AL234" s="302"/>
      <c r="AM234" s="302"/>
      <c r="AN234" s="302"/>
      <c r="AO234" s="302"/>
      <c r="AP234" s="302"/>
      <c r="AQ234" s="302"/>
      <c r="AR234" s="302"/>
      <c r="AS234" s="302"/>
    </row>
    <row r="235" spans="3:45" ht="20.100000000000001" customHeight="1">
      <c r="C235" s="302"/>
      <c r="D235" s="5"/>
      <c r="E235" s="302"/>
      <c r="F235" s="302"/>
      <c r="G235" s="302"/>
      <c r="H235" s="5"/>
      <c r="I235" s="302"/>
      <c r="J235" s="302"/>
      <c r="K235" s="302"/>
      <c r="L235" s="5"/>
      <c r="M235" s="302"/>
      <c r="N235" s="302"/>
      <c r="O235" s="302"/>
      <c r="P235" s="5"/>
      <c r="Q235" s="302"/>
      <c r="R235" s="177"/>
      <c r="S235" s="302"/>
      <c r="T235" s="5"/>
      <c r="U235" s="302"/>
      <c r="V235" s="5"/>
      <c r="W235" s="302"/>
      <c r="X235" s="5"/>
      <c r="Y235" s="302"/>
      <c r="Z235" s="302"/>
      <c r="AA235" s="302"/>
      <c r="AB235" s="302"/>
      <c r="AC235" s="302"/>
      <c r="AD235" s="302"/>
      <c r="AE235" s="302"/>
      <c r="AF235" s="302"/>
      <c r="AG235" s="302"/>
      <c r="AH235" s="5"/>
      <c r="AI235" s="5"/>
      <c r="AJ235" s="302"/>
      <c r="AK235" s="302"/>
      <c r="AL235" s="302"/>
      <c r="AM235" s="302"/>
      <c r="AN235" s="302"/>
      <c r="AO235" s="302"/>
      <c r="AP235" s="302"/>
      <c r="AQ235" s="302"/>
      <c r="AR235" s="302"/>
      <c r="AS235" s="302"/>
    </row>
    <row r="236" spans="3:45" ht="20.100000000000001" customHeight="1">
      <c r="C236" s="302"/>
      <c r="D236" s="5"/>
      <c r="E236" s="302"/>
      <c r="F236" s="302"/>
      <c r="G236" s="302"/>
      <c r="H236" s="5"/>
      <c r="I236" s="302"/>
      <c r="J236" s="302"/>
      <c r="K236" s="302"/>
      <c r="L236" s="5"/>
      <c r="M236" s="302"/>
      <c r="N236" s="302"/>
      <c r="O236" s="302"/>
      <c r="P236" s="5"/>
      <c r="Q236" s="302"/>
      <c r="R236" s="177"/>
      <c r="S236" s="302"/>
      <c r="T236" s="5"/>
      <c r="U236" s="302"/>
      <c r="V236" s="5"/>
      <c r="W236" s="302"/>
      <c r="X236" s="5"/>
      <c r="Y236" s="302"/>
      <c r="Z236" s="302"/>
      <c r="AA236" s="302"/>
      <c r="AB236" s="302"/>
      <c r="AC236" s="302"/>
      <c r="AD236" s="302"/>
      <c r="AE236" s="302"/>
      <c r="AF236" s="302"/>
      <c r="AG236" s="302"/>
      <c r="AH236" s="5"/>
      <c r="AI236" s="5"/>
      <c r="AJ236" s="302"/>
      <c r="AK236" s="302"/>
      <c r="AL236" s="302"/>
      <c r="AM236" s="302"/>
      <c r="AN236" s="302"/>
      <c r="AO236" s="302"/>
      <c r="AP236" s="302"/>
      <c r="AQ236" s="302"/>
      <c r="AR236" s="302"/>
      <c r="AS236" s="302"/>
    </row>
    <row r="237" spans="3:45" ht="20.100000000000001" customHeight="1">
      <c r="C237" s="302"/>
      <c r="D237" s="5"/>
      <c r="E237" s="302"/>
      <c r="F237" s="302"/>
      <c r="G237" s="302"/>
      <c r="H237" s="5"/>
      <c r="I237" s="302"/>
      <c r="J237" s="302"/>
      <c r="K237" s="302"/>
      <c r="L237" s="5"/>
      <c r="M237" s="302"/>
      <c r="N237" s="302"/>
      <c r="O237" s="302"/>
      <c r="P237" s="5"/>
      <c r="Q237" s="302"/>
      <c r="R237" s="177"/>
      <c r="S237" s="302"/>
      <c r="T237" s="5"/>
      <c r="U237" s="302"/>
      <c r="V237" s="5"/>
      <c r="W237" s="302"/>
      <c r="X237" s="5"/>
      <c r="Y237" s="302"/>
      <c r="Z237" s="302"/>
      <c r="AA237" s="302"/>
      <c r="AB237" s="302"/>
      <c r="AC237" s="302"/>
      <c r="AD237" s="302"/>
      <c r="AE237" s="302"/>
      <c r="AF237" s="302"/>
      <c r="AG237" s="302"/>
      <c r="AH237" s="5"/>
      <c r="AI237" s="5"/>
      <c r="AJ237" s="302"/>
      <c r="AK237" s="302"/>
      <c r="AL237" s="302"/>
      <c r="AM237" s="302"/>
      <c r="AN237" s="302"/>
      <c r="AO237" s="302"/>
      <c r="AP237" s="302"/>
      <c r="AQ237" s="302"/>
      <c r="AR237" s="302"/>
      <c r="AS237" s="302"/>
    </row>
    <row r="238" spans="3:45" ht="20.100000000000001" customHeight="1">
      <c r="C238" s="302"/>
      <c r="D238" s="5"/>
      <c r="E238" s="302"/>
      <c r="F238" s="302"/>
      <c r="G238" s="302"/>
      <c r="H238" s="5"/>
      <c r="I238" s="302"/>
      <c r="J238" s="302"/>
      <c r="K238" s="302"/>
      <c r="L238" s="5"/>
      <c r="M238" s="302"/>
      <c r="N238" s="302"/>
      <c r="O238" s="302"/>
      <c r="P238" s="5"/>
      <c r="Q238" s="302"/>
      <c r="R238" s="177"/>
      <c r="S238" s="302"/>
      <c r="T238" s="5"/>
      <c r="U238" s="302"/>
      <c r="V238" s="5"/>
      <c r="W238" s="302"/>
      <c r="X238" s="5"/>
      <c r="Y238" s="302"/>
      <c r="Z238" s="302"/>
      <c r="AA238" s="302"/>
      <c r="AB238" s="302"/>
      <c r="AC238" s="302"/>
      <c r="AD238" s="302"/>
      <c r="AE238" s="302"/>
      <c r="AF238" s="302"/>
      <c r="AG238" s="302"/>
      <c r="AH238" s="5"/>
      <c r="AI238" s="5"/>
      <c r="AJ238" s="302"/>
      <c r="AK238" s="302"/>
      <c r="AL238" s="302"/>
      <c r="AM238" s="302"/>
      <c r="AN238" s="302"/>
      <c r="AO238" s="302"/>
      <c r="AP238" s="302"/>
      <c r="AQ238" s="302"/>
      <c r="AR238" s="302"/>
      <c r="AS238" s="302"/>
    </row>
    <row r="239" spans="3:45" ht="20.100000000000001" customHeight="1">
      <c r="C239" s="302"/>
      <c r="D239" s="5"/>
      <c r="E239" s="302"/>
      <c r="F239" s="302"/>
      <c r="G239" s="302"/>
      <c r="H239" s="5"/>
      <c r="I239" s="302"/>
      <c r="J239" s="302"/>
      <c r="K239" s="302"/>
      <c r="L239" s="5"/>
      <c r="M239" s="302"/>
      <c r="N239" s="302"/>
      <c r="O239" s="302"/>
      <c r="P239" s="5"/>
      <c r="Q239" s="302"/>
      <c r="R239" s="177"/>
      <c r="S239" s="302"/>
      <c r="T239" s="5"/>
      <c r="U239" s="302"/>
      <c r="V239" s="5"/>
      <c r="W239" s="302"/>
      <c r="X239" s="5"/>
      <c r="Y239" s="302"/>
      <c r="Z239" s="302"/>
      <c r="AA239" s="302"/>
      <c r="AB239" s="302"/>
      <c r="AC239" s="302"/>
      <c r="AD239" s="302"/>
      <c r="AE239" s="302"/>
      <c r="AF239" s="302"/>
      <c r="AG239" s="302"/>
      <c r="AH239" s="5"/>
      <c r="AI239" s="5"/>
      <c r="AJ239" s="302"/>
      <c r="AK239" s="302"/>
      <c r="AL239" s="302"/>
      <c r="AM239" s="302"/>
      <c r="AN239" s="302"/>
      <c r="AO239" s="302"/>
      <c r="AP239" s="302"/>
      <c r="AQ239" s="302"/>
      <c r="AR239" s="302"/>
      <c r="AS239" s="302"/>
    </row>
    <row r="240" spans="3:45" ht="20.100000000000001" customHeight="1">
      <c r="C240" s="302"/>
      <c r="D240" s="5"/>
      <c r="E240" s="302"/>
      <c r="F240" s="302"/>
      <c r="G240" s="302"/>
      <c r="H240" s="5"/>
      <c r="I240" s="302"/>
      <c r="J240" s="302"/>
      <c r="K240" s="302"/>
      <c r="L240" s="5"/>
      <c r="M240" s="302"/>
      <c r="N240" s="302"/>
      <c r="O240" s="302"/>
      <c r="P240" s="5"/>
      <c r="Q240" s="302"/>
      <c r="R240" s="177"/>
      <c r="S240" s="302"/>
      <c r="T240" s="5"/>
      <c r="U240" s="302"/>
      <c r="V240" s="5"/>
      <c r="W240" s="302"/>
      <c r="X240" s="5"/>
      <c r="Y240" s="302"/>
      <c r="Z240" s="302"/>
      <c r="AA240" s="302"/>
      <c r="AB240" s="302"/>
      <c r="AC240" s="302"/>
      <c r="AD240" s="302"/>
      <c r="AE240" s="302"/>
      <c r="AF240" s="302"/>
      <c r="AG240" s="302"/>
      <c r="AH240" s="5"/>
      <c r="AI240" s="5"/>
      <c r="AJ240" s="302"/>
      <c r="AK240" s="302"/>
      <c r="AL240" s="302"/>
      <c r="AM240" s="302"/>
      <c r="AN240" s="302"/>
      <c r="AO240" s="302"/>
      <c r="AP240" s="302"/>
      <c r="AQ240" s="302"/>
      <c r="AR240" s="302"/>
      <c r="AS240" s="302"/>
    </row>
    <row r="241" spans="3:45" ht="20.100000000000001" customHeight="1">
      <c r="C241" s="302"/>
      <c r="D241" s="5"/>
      <c r="E241" s="302"/>
      <c r="F241" s="302"/>
      <c r="G241" s="302"/>
      <c r="H241" s="5"/>
      <c r="I241" s="302"/>
      <c r="J241" s="302"/>
      <c r="K241" s="302"/>
      <c r="L241" s="5"/>
      <c r="M241" s="302"/>
      <c r="N241" s="302"/>
      <c r="O241" s="302"/>
      <c r="P241" s="5"/>
      <c r="Q241" s="302"/>
      <c r="R241" s="177"/>
      <c r="S241" s="302"/>
      <c r="T241" s="5"/>
      <c r="U241" s="302"/>
      <c r="V241" s="5"/>
      <c r="W241" s="302"/>
      <c r="X241" s="5"/>
      <c r="Y241" s="302"/>
      <c r="Z241" s="302"/>
      <c r="AA241" s="302"/>
      <c r="AB241" s="302"/>
      <c r="AC241" s="302"/>
      <c r="AD241" s="302"/>
      <c r="AE241" s="302"/>
      <c r="AF241" s="302"/>
      <c r="AG241" s="302"/>
      <c r="AH241" s="5"/>
      <c r="AI241" s="5"/>
      <c r="AJ241" s="302"/>
      <c r="AK241" s="302"/>
      <c r="AL241" s="302"/>
      <c r="AM241" s="302"/>
      <c r="AN241" s="302"/>
      <c r="AO241" s="302"/>
      <c r="AP241" s="302"/>
      <c r="AQ241" s="302"/>
      <c r="AR241" s="302"/>
      <c r="AS241" s="302"/>
    </row>
    <row r="242" spans="3:45" ht="20.100000000000001" customHeight="1">
      <c r="C242" s="302"/>
      <c r="D242" s="5"/>
      <c r="E242" s="302"/>
      <c r="F242" s="302"/>
      <c r="G242" s="302"/>
      <c r="H242" s="5"/>
      <c r="I242" s="302"/>
      <c r="J242" s="302"/>
      <c r="K242" s="302"/>
      <c r="L242" s="5"/>
      <c r="M242" s="302"/>
      <c r="N242" s="302"/>
      <c r="O242" s="302"/>
      <c r="P242" s="5"/>
      <c r="Q242" s="302"/>
      <c r="R242" s="177"/>
      <c r="S242" s="302"/>
      <c r="T242" s="5"/>
      <c r="U242" s="302"/>
      <c r="V242" s="5"/>
      <c r="W242" s="302"/>
      <c r="X242" s="5"/>
      <c r="Y242" s="302"/>
      <c r="Z242" s="302"/>
      <c r="AA242" s="302"/>
      <c r="AB242" s="302"/>
      <c r="AC242" s="302"/>
      <c r="AD242" s="302"/>
      <c r="AE242" s="302"/>
      <c r="AF242" s="302"/>
      <c r="AG242" s="302"/>
      <c r="AH242" s="5"/>
      <c r="AI242" s="5"/>
      <c r="AJ242" s="302"/>
      <c r="AK242" s="302"/>
      <c r="AL242" s="302"/>
      <c r="AM242" s="302"/>
      <c r="AN242" s="302"/>
      <c r="AO242" s="302"/>
      <c r="AP242" s="302"/>
      <c r="AQ242" s="302"/>
      <c r="AR242" s="302"/>
      <c r="AS242" s="302"/>
    </row>
    <row r="243" spans="3:45" ht="20.100000000000001" customHeight="1">
      <c r="C243" s="302"/>
      <c r="D243" s="5"/>
      <c r="E243" s="302"/>
      <c r="F243" s="302"/>
      <c r="G243" s="302"/>
      <c r="H243" s="5"/>
      <c r="I243" s="302"/>
      <c r="J243" s="302"/>
      <c r="K243" s="302"/>
      <c r="L243" s="5"/>
      <c r="M243" s="302"/>
      <c r="N243" s="302"/>
      <c r="O243" s="302"/>
      <c r="P243" s="5"/>
      <c r="Q243" s="302"/>
      <c r="R243" s="177"/>
      <c r="S243" s="302"/>
      <c r="T243" s="5"/>
      <c r="U243" s="302"/>
      <c r="V243" s="5"/>
      <c r="W243" s="302"/>
      <c r="X243" s="5"/>
      <c r="Y243" s="302"/>
      <c r="Z243" s="302"/>
      <c r="AA243" s="302"/>
      <c r="AB243" s="302"/>
      <c r="AC243" s="302"/>
      <c r="AD243" s="302"/>
      <c r="AE243" s="302"/>
      <c r="AF243" s="302"/>
      <c r="AG243" s="302"/>
      <c r="AH243" s="5"/>
      <c r="AI243" s="5"/>
      <c r="AJ243" s="302"/>
      <c r="AK243" s="302"/>
      <c r="AL243" s="302"/>
      <c r="AM243" s="302"/>
      <c r="AN243" s="302"/>
      <c r="AO243" s="302"/>
      <c r="AP243" s="302"/>
      <c r="AQ243" s="302"/>
      <c r="AR243" s="302"/>
      <c r="AS243" s="302"/>
    </row>
    <row r="244" spans="3:45" ht="20.100000000000001" customHeight="1">
      <c r="C244" s="302"/>
      <c r="D244" s="5"/>
      <c r="E244" s="302"/>
      <c r="F244" s="302"/>
      <c r="G244" s="302"/>
      <c r="H244" s="5"/>
      <c r="I244" s="302"/>
      <c r="J244" s="302"/>
      <c r="K244" s="302"/>
      <c r="L244" s="5"/>
      <c r="M244" s="302"/>
      <c r="N244" s="302"/>
      <c r="O244" s="302"/>
      <c r="P244" s="5"/>
      <c r="Q244" s="302"/>
      <c r="R244" s="177"/>
      <c r="S244" s="302"/>
      <c r="T244" s="5"/>
      <c r="U244" s="302"/>
      <c r="V244" s="5"/>
      <c r="W244" s="302"/>
      <c r="X244" s="5"/>
      <c r="Y244" s="302"/>
      <c r="Z244" s="302"/>
      <c r="AA244" s="302"/>
      <c r="AB244" s="302"/>
      <c r="AC244" s="302"/>
      <c r="AD244" s="302"/>
      <c r="AE244" s="302"/>
      <c r="AF244" s="302"/>
      <c r="AG244" s="302"/>
      <c r="AH244" s="5"/>
      <c r="AI244" s="5"/>
      <c r="AJ244" s="302"/>
      <c r="AK244" s="302"/>
      <c r="AL244" s="302"/>
      <c r="AM244" s="302"/>
      <c r="AN244" s="302"/>
      <c r="AO244" s="302"/>
      <c r="AP244" s="302"/>
      <c r="AQ244" s="302"/>
      <c r="AR244" s="302"/>
      <c r="AS244" s="302"/>
    </row>
    <row r="245" spans="3:45" ht="20.100000000000001" customHeight="1">
      <c r="C245" s="302"/>
      <c r="D245" s="5"/>
      <c r="E245" s="302"/>
      <c r="F245" s="302"/>
      <c r="G245" s="302"/>
      <c r="H245" s="5"/>
      <c r="I245" s="302"/>
      <c r="J245" s="302"/>
      <c r="K245" s="302"/>
      <c r="L245" s="5"/>
      <c r="M245" s="302"/>
      <c r="N245" s="302"/>
      <c r="O245" s="302"/>
      <c r="P245" s="5"/>
      <c r="Q245" s="302"/>
      <c r="R245" s="177"/>
      <c r="S245" s="302"/>
      <c r="T245" s="5"/>
      <c r="U245" s="302"/>
      <c r="V245" s="5"/>
      <c r="W245" s="302"/>
      <c r="X245" s="5"/>
      <c r="Y245" s="302"/>
      <c r="Z245" s="302"/>
      <c r="AA245" s="302"/>
      <c r="AB245" s="302"/>
      <c r="AC245" s="302"/>
      <c r="AD245" s="302"/>
      <c r="AE245" s="302"/>
      <c r="AF245" s="302"/>
      <c r="AG245" s="302"/>
      <c r="AH245" s="5"/>
      <c r="AI245" s="5"/>
      <c r="AJ245" s="302"/>
      <c r="AK245" s="302"/>
      <c r="AL245" s="302"/>
      <c r="AM245" s="302"/>
      <c r="AN245" s="302"/>
      <c r="AO245" s="302"/>
      <c r="AP245" s="302"/>
      <c r="AQ245" s="302"/>
      <c r="AR245" s="302"/>
      <c r="AS245" s="302"/>
    </row>
    <row r="246" spans="3:45" ht="20.100000000000001" customHeight="1">
      <c r="C246" s="302"/>
      <c r="D246" s="5"/>
      <c r="E246" s="302"/>
      <c r="F246" s="302"/>
      <c r="G246" s="302"/>
      <c r="H246" s="5"/>
      <c r="I246" s="302"/>
      <c r="J246" s="302"/>
      <c r="K246" s="302"/>
      <c r="L246" s="5"/>
      <c r="M246" s="302"/>
      <c r="N246" s="302"/>
      <c r="O246" s="302"/>
      <c r="P246" s="5"/>
      <c r="Q246" s="302"/>
      <c r="R246" s="177"/>
      <c r="S246" s="302"/>
      <c r="T246" s="5"/>
      <c r="U246" s="302"/>
      <c r="V246" s="5"/>
      <c r="W246" s="302"/>
      <c r="X246" s="5"/>
      <c r="Y246" s="302"/>
      <c r="Z246" s="302"/>
      <c r="AA246" s="302"/>
      <c r="AB246" s="302"/>
      <c r="AC246" s="302"/>
      <c r="AD246" s="302"/>
      <c r="AE246" s="302"/>
      <c r="AF246" s="302"/>
      <c r="AG246" s="302"/>
      <c r="AH246" s="5"/>
      <c r="AI246" s="5"/>
      <c r="AJ246" s="302"/>
      <c r="AK246" s="302"/>
      <c r="AL246" s="302"/>
      <c r="AM246" s="302"/>
      <c r="AN246" s="302"/>
      <c r="AO246" s="302"/>
      <c r="AP246" s="302"/>
      <c r="AQ246" s="302"/>
      <c r="AR246" s="302"/>
      <c r="AS246" s="302"/>
    </row>
    <row r="247" spans="3:45" ht="20.100000000000001" customHeight="1">
      <c r="C247" s="302"/>
      <c r="D247" s="5"/>
      <c r="E247" s="302"/>
      <c r="F247" s="302"/>
      <c r="G247" s="302"/>
      <c r="H247" s="5"/>
      <c r="I247" s="302"/>
      <c r="J247" s="302"/>
      <c r="K247" s="302"/>
      <c r="L247" s="5"/>
      <c r="M247" s="302"/>
      <c r="N247" s="302"/>
      <c r="O247" s="302"/>
      <c r="P247" s="5"/>
      <c r="Q247" s="302"/>
      <c r="R247" s="177"/>
      <c r="S247" s="302"/>
      <c r="T247" s="5"/>
      <c r="U247" s="302"/>
      <c r="V247" s="5"/>
      <c r="W247" s="302"/>
      <c r="X247" s="5"/>
      <c r="Y247" s="302"/>
      <c r="Z247" s="302"/>
      <c r="AA247" s="302"/>
      <c r="AB247" s="302"/>
      <c r="AC247" s="302"/>
      <c r="AD247" s="302"/>
      <c r="AE247" s="302"/>
      <c r="AF247" s="302"/>
      <c r="AG247" s="302"/>
      <c r="AH247" s="5"/>
      <c r="AI247" s="5"/>
      <c r="AJ247" s="302"/>
      <c r="AK247" s="302"/>
      <c r="AL247" s="302"/>
      <c r="AM247" s="302"/>
      <c r="AN247" s="302"/>
      <c r="AO247" s="302"/>
      <c r="AP247" s="302"/>
      <c r="AQ247" s="302"/>
      <c r="AR247" s="302"/>
      <c r="AS247" s="302"/>
    </row>
    <row r="248" spans="3:45" ht="20.100000000000001" customHeight="1">
      <c r="C248" s="302"/>
      <c r="D248" s="5"/>
      <c r="E248" s="302"/>
      <c r="F248" s="302"/>
      <c r="G248" s="302"/>
      <c r="H248" s="5"/>
      <c r="I248" s="302"/>
      <c r="J248" s="302"/>
      <c r="K248" s="302"/>
      <c r="L248" s="5"/>
      <c r="M248" s="302"/>
      <c r="N248" s="302"/>
      <c r="O248" s="302"/>
      <c r="P248" s="5"/>
      <c r="Q248" s="302"/>
      <c r="R248" s="177"/>
      <c r="S248" s="302"/>
      <c r="T248" s="5"/>
      <c r="U248" s="302"/>
      <c r="V248" s="5"/>
      <c r="W248" s="302"/>
      <c r="X248" s="5"/>
      <c r="Y248" s="302"/>
      <c r="Z248" s="302"/>
      <c r="AA248" s="302"/>
      <c r="AB248" s="302"/>
      <c r="AC248" s="302"/>
      <c r="AD248" s="302"/>
      <c r="AE248" s="302"/>
      <c r="AF248" s="302"/>
      <c r="AG248" s="302"/>
      <c r="AH248" s="5"/>
      <c r="AI248" s="5"/>
      <c r="AJ248" s="302"/>
      <c r="AK248" s="302"/>
      <c r="AL248" s="302"/>
      <c r="AM248" s="302"/>
      <c r="AN248" s="302"/>
      <c r="AO248" s="302"/>
      <c r="AP248" s="302"/>
      <c r="AQ248" s="302"/>
      <c r="AR248" s="302"/>
      <c r="AS248" s="302"/>
    </row>
    <row r="249" spans="3:45" ht="20.100000000000001" customHeight="1">
      <c r="C249" s="302"/>
      <c r="D249" s="5"/>
      <c r="E249" s="302"/>
      <c r="F249" s="302"/>
      <c r="G249" s="302"/>
      <c r="H249" s="5"/>
      <c r="I249" s="302"/>
      <c r="J249" s="302"/>
      <c r="K249" s="302"/>
      <c r="L249" s="5"/>
      <c r="M249" s="302"/>
      <c r="N249" s="302"/>
      <c r="O249" s="302"/>
      <c r="P249" s="5"/>
      <c r="Q249" s="302"/>
      <c r="R249" s="177"/>
      <c r="S249" s="302"/>
      <c r="T249" s="5"/>
      <c r="U249" s="302"/>
      <c r="V249" s="5"/>
      <c r="W249" s="302"/>
      <c r="X249" s="5"/>
      <c r="Y249" s="302"/>
      <c r="Z249" s="302"/>
      <c r="AA249" s="302"/>
      <c r="AB249" s="302"/>
      <c r="AC249" s="302"/>
      <c r="AD249" s="302"/>
      <c r="AE249" s="302"/>
      <c r="AF249" s="302"/>
      <c r="AG249" s="302"/>
      <c r="AH249" s="5"/>
      <c r="AI249" s="5"/>
    </row>
    <row r="250" spans="3:45" ht="20.100000000000001" customHeight="1">
      <c r="C250" s="302"/>
      <c r="D250" s="5"/>
      <c r="E250" s="302"/>
      <c r="F250" s="302"/>
      <c r="G250" s="302"/>
      <c r="H250" s="5"/>
      <c r="I250" s="302"/>
      <c r="J250" s="302"/>
      <c r="K250" s="302"/>
      <c r="L250" s="5"/>
      <c r="M250" s="302"/>
      <c r="N250" s="302"/>
      <c r="O250" s="302"/>
      <c r="P250" s="5"/>
      <c r="Q250" s="302"/>
      <c r="R250" s="177"/>
      <c r="S250" s="302"/>
      <c r="T250" s="5"/>
      <c r="U250" s="302"/>
      <c r="V250" s="5"/>
      <c r="W250" s="302"/>
      <c r="X250" s="5"/>
      <c r="Y250" s="302"/>
      <c r="Z250" s="302"/>
      <c r="AA250" s="302"/>
      <c r="AB250" s="302"/>
      <c r="AC250" s="302"/>
      <c r="AD250" s="302"/>
      <c r="AE250" s="302"/>
      <c r="AF250" s="302"/>
      <c r="AG250" s="302"/>
      <c r="AH250" s="5"/>
      <c r="AI250" s="5"/>
    </row>
    <row r="251" spans="3:45" ht="20.100000000000001" customHeight="1">
      <c r="C251" s="302"/>
      <c r="D251" s="5"/>
      <c r="E251" s="302"/>
      <c r="F251" s="302"/>
      <c r="G251" s="302"/>
      <c r="H251" s="5"/>
      <c r="I251" s="302"/>
      <c r="J251" s="302"/>
      <c r="K251" s="302"/>
      <c r="L251" s="5"/>
      <c r="M251" s="302"/>
      <c r="N251" s="302"/>
      <c r="O251" s="302"/>
      <c r="P251" s="5"/>
      <c r="Q251" s="302"/>
      <c r="R251" s="177"/>
      <c r="S251" s="302"/>
      <c r="T251" s="5"/>
      <c r="U251" s="302"/>
      <c r="V251" s="5"/>
      <c r="W251" s="302"/>
      <c r="X251" s="5"/>
      <c r="Y251" s="302"/>
      <c r="Z251" s="302"/>
      <c r="AA251" s="302"/>
      <c r="AB251" s="302"/>
      <c r="AC251" s="302"/>
      <c r="AD251" s="302"/>
      <c r="AE251" s="302"/>
      <c r="AF251" s="302"/>
      <c r="AG251" s="302"/>
      <c r="AH251" s="5"/>
      <c r="AI251" s="5"/>
    </row>
    <row r="252" spans="3:45" ht="20.100000000000001" customHeight="1">
      <c r="C252" s="302"/>
      <c r="D252" s="5"/>
      <c r="E252" s="302"/>
      <c r="F252" s="302"/>
      <c r="G252" s="302"/>
      <c r="H252" s="5"/>
      <c r="I252" s="302"/>
      <c r="J252" s="302"/>
      <c r="K252" s="302"/>
      <c r="L252" s="5"/>
      <c r="M252" s="302"/>
      <c r="N252" s="302"/>
      <c r="O252" s="302"/>
      <c r="P252" s="5"/>
      <c r="Q252" s="302"/>
      <c r="R252" s="177"/>
      <c r="S252" s="302"/>
      <c r="T252" s="5"/>
      <c r="U252" s="302"/>
      <c r="V252" s="5"/>
      <c r="W252" s="302"/>
      <c r="X252" s="5"/>
      <c r="Y252" s="302"/>
      <c r="Z252" s="302"/>
      <c r="AA252" s="302"/>
      <c r="AB252" s="302"/>
      <c r="AC252" s="302"/>
      <c r="AD252" s="302"/>
      <c r="AE252" s="302"/>
      <c r="AF252" s="302"/>
      <c r="AG252" s="302"/>
      <c r="AH252" s="5"/>
      <c r="AI252" s="5"/>
    </row>
    <row r="253" spans="3:45" ht="20.100000000000001" customHeight="1">
      <c r="C253" s="302"/>
      <c r="D253" s="5"/>
      <c r="E253" s="302"/>
      <c r="F253" s="302"/>
      <c r="G253" s="302"/>
      <c r="H253" s="5"/>
      <c r="I253" s="302"/>
      <c r="J253" s="302"/>
      <c r="K253" s="302"/>
      <c r="L253" s="5"/>
      <c r="M253" s="302"/>
      <c r="N253" s="302"/>
      <c r="O253" s="302"/>
      <c r="P253" s="5"/>
      <c r="Q253" s="302"/>
      <c r="R253" s="177"/>
      <c r="S253" s="302"/>
      <c r="T253" s="5"/>
      <c r="U253" s="302"/>
      <c r="V253" s="5"/>
      <c r="W253" s="302"/>
      <c r="X253" s="5"/>
      <c r="Y253" s="302"/>
      <c r="Z253" s="302"/>
      <c r="AA253" s="302"/>
      <c r="AB253" s="302"/>
      <c r="AC253" s="302"/>
      <c r="AD253" s="302"/>
      <c r="AE253" s="302"/>
      <c r="AF253" s="302"/>
      <c r="AG253" s="302"/>
      <c r="AH253" s="5"/>
      <c r="AI253" s="5"/>
    </row>
    <row r="254" spans="3:45" ht="20.100000000000001" customHeight="1">
      <c r="C254" s="302"/>
      <c r="D254" s="5"/>
      <c r="E254" s="302"/>
      <c r="F254" s="302"/>
      <c r="G254" s="302"/>
      <c r="H254" s="5"/>
      <c r="I254" s="302"/>
      <c r="J254" s="302"/>
      <c r="K254" s="302"/>
      <c r="L254" s="5"/>
      <c r="M254" s="302"/>
      <c r="N254" s="302"/>
      <c r="O254" s="302"/>
      <c r="P254" s="5"/>
      <c r="Q254" s="302"/>
      <c r="R254" s="177"/>
      <c r="S254" s="302"/>
      <c r="T254" s="5"/>
      <c r="U254" s="302"/>
      <c r="V254" s="5"/>
      <c r="W254" s="302"/>
      <c r="X254" s="5"/>
      <c r="Y254" s="302"/>
      <c r="Z254" s="302"/>
      <c r="AA254" s="302"/>
      <c r="AB254" s="302"/>
      <c r="AC254" s="302"/>
      <c r="AD254" s="302"/>
      <c r="AE254" s="302"/>
      <c r="AF254" s="302"/>
      <c r="AG254" s="302"/>
      <c r="AH254" s="5"/>
      <c r="AI254" s="5"/>
    </row>
    <row r="255" spans="3:45" ht="20.100000000000001" customHeight="1">
      <c r="C255" s="302"/>
      <c r="D255" s="5"/>
      <c r="E255" s="302"/>
      <c r="F255" s="302"/>
      <c r="G255" s="302"/>
      <c r="H255" s="5"/>
      <c r="I255" s="302"/>
      <c r="J255" s="302"/>
      <c r="K255" s="302"/>
      <c r="L255" s="5"/>
      <c r="M255" s="302"/>
      <c r="N255" s="302"/>
      <c r="O255" s="302"/>
      <c r="P255" s="5"/>
      <c r="Q255" s="302"/>
      <c r="R255" s="177"/>
      <c r="S255" s="302"/>
      <c r="T255" s="5"/>
      <c r="U255" s="302"/>
      <c r="V255" s="5"/>
      <c r="W255" s="302"/>
      <c r="X255" s="5"/>
      <c r="Y255" s="302"/>
      <c r="Z255" s="302"/>
      <c r="AA255" s="302"/>
      <c r="AB255" s="302"/>
      <c r="AC255" s="302"/>
      <c r="AD255" s="302"/>
      <c r="AE255" s="302"/>
      <c r="AF255" s="302"/>
      <c r="AG255" s="302"/>
      <c r="AH255" s="5"/>
      <c r="AI255" s="5"/>
    </row>
    <row r="256" spans="3:45" ht="20.100000000000001" customHeight="1">
      <c r="C256" s="302"/>
      <c r="D256" s="5"/>
      <c r="E256" s="302"/>
      <c r="F256" s="302"/>
      <c r="G256" s="302"/>
      <c r="H256" s="5"/>
      <c r="I256" s="302"/>
      <c r="J256" s="302"/>
      <c r="K256" s="302"/>
      <c r="L256" s="5"/>
      <c r="M256" s="302"/>
      <c r="N256" s="302"/>
      <c r="O256" s="302"/>
      <c r="P256" s="5"/>
      <c r="Q256" s="302"/>
      <c r="R256" s="177"/>
      <c r="S256" s="302"/>
      <c r="T256" s="5"/>
      <c r="U256" s="302"/>
      <c r="V256" s="5"/>
      <c r="W256" s="302"/>
      <c r="X256" s="5"/>
      <c r="Y256" s="302"/>
      <c r="Z256" s="302"/>
      <c r="AA256" s="302"/>
      <c r="AB256" s="302"/>
      <c r="AC256" s="302"/>
      <c r="AD256" s="302"/>
      <c r="AE256" s="302"/>
      <c r="AF256" s="302"/>
      <c r="AG256" s="302"/>
      <c r="AH256" s="5"/>
      <c r="AI256" s="5"/>
    </row>
    <row r="257" spans="3:35" ht="20.100000000000001" customHeight="1">
      <c r="C257" s="302"/>
      <c r="D257" s="5"/>
      <c r="E257" s="302"/>
      <c r="F257" s="302"/>
      <c r="G257" s="302"/>
      <c r="H257" s="5"/>
      <c r="I257" s="302"/>
      <c r="J257" s="302"/>
      <c r="K257" s="302"/>
      <c r="L257" s="5"/>
      <c r="M257" s="302"/>
      <c r="N257" s="302"/>
      <c r="O257" s="302"/>
      <c r="P257" s="5"/>
      <c r="Q257" s="302"/>
      <c r="R257" s="177"/>
      <c r="S257" s="302"/>
      <c r="T257" s="5"/>
      <c r="U257" s="302"/>
      <c r="V257" s="5"/>
      <c r="W257" s="302"/>
      <c r="X257" s="5"/>
      <c r="Y257" s="302"/>
      <c r="Z257" s="302"/>
      <c r="AA257" s="302"/>
      <c r="AB257" s="302"/>
      <c r="AC257" s="302"/>
      <c r="AD257" s="302"/>
      <c r="AE257" s="302"/>
      <c r="AF257" s="302"/>
      <c r="AG257" s="302"/>
      <c r="AH257" s="5"/>
      <c r="AI257" s="5"/>
    </row>
    <row r="258" spans="3:35" ht="20.100000000000001" customHeight="1">
      <c r="C258" s="302"/>
      <c r="D258" s="5"/>
      <c r="E258" s="302"/>
      <c r="F258" s="302"/>
      <c r="G258" s="302"/>
      <c r="H258" s="5"/>
      <c r="I258" s="302"/>
      <c r="J258" s="302"/>
      <c r="K258" s="302"/>
      <c r="L258" s="5"/>
      <c r="M258" s="302"/>
      <c r="N258" s="302"/>
      <c r="O258" s="302"/>
      <c r="P258" s="5"/>
      <c r="Q258" s="302"/>
      <c r="R258" s="177"/>
      <c r="S258" s="302"/>
      <c r="T258" s="5"/>
      <c r="U258" s="302"/>
      <c r="V258" s="5"/>
      <c r="W258" s="302"/>
      <c r="X258" s="5"/>
      <c r="Y258" s="302"/>
      <c r="Z258" s="302"/>
      <c r="AA258" s="302"/>
      <c r="AB258" s="302"/>
      <c r="AC258" s="302"/>
      <c r="AD258" s="302"/>
      <c r="AE258" s="302"/>
      <c r="AF258" s="302"/>
      <c r="AG258" s="302"/>
      <c r="AH258" s="5"/>
      <c r="AI258" s="5"/>
    </row>
    <row r="259" spans="3:35" ht="20.100000000000001" customHeight="1">
      <c r="C259" s="302"/>
      <c r="D259" s="5"/>
      <c r="E259" s="302"/>
      <c r="F259" s="302"/>
      <c r="G259" s="302"/>
      <c r="H259" s="5"/>
      <c r="I259" s="302"/>
      <c r="J259" s="302"/>
      <c r="K259" s="302"/>
      <c r="L259" s="5"/>
      <c r="M259" s="302"/>
      <c r="N259" s="302"/>
      <c r="O259" s="302"/>
      <c r="P259" s="5"/>
      <c r="Q259" s="302"/>
      <c r="R259" s="177"/>
      <c r="S259" s="302"/>
      <c r="T259" s="5"/>
      <c r="U259" s="302"/>
      <c r="V259" s="5"/>
      <c r="W259" s="302"/>
      <c r="X259" s="5"/>
      <c r="Y259" s="302"/>
      <c r="Z259" s="302"/>
      <c r="AA259" s="302"/>
      <c r="AB259" s="302"/>
      <c r="AC259" s="302"/>
      <c r="AD259" s="302"/>
      <c r="AE259" s="302"/>
      <c r="AF259" s="302"/>
      <c r="AG259" s="302"/>
      <c r="AH259" s="5"/>
      <c r="AI259" s="5"/>
    </row>
    <row r="260" spans="3:35" ht="20.100000000000001" customHeight="1">
      <c r="C260" s="302"/>
      <c r="D260" s="5"/>
      <c r="E260" s="302"/>
      <c r="F260" s="302"/>
      <c r="G260" s="302"/>
      <c r="H260" s="5"/>
      <c r="I260" s="302"/>
      <c r="J260" s="302"/>
      <c r="K260" s="302"/>
      <c r="L260" s="5"/>
      <c r="M260" s="302"/>
      <c r="N260" s="302"/>
      <c r="O260" s="302"/>
      <c r="P260" s="5"/>
      <c r="Q260" s="302"/>
      <c r="R260" s="177"/>
      <c r="S260" s="302"/>
      <c r="T260" s="5"/>
      <c r="U260" s="302"/>
      <c r="V260" s="5"/>
      <c r="W260" s="302"/>
      <c r="X260" s="5"/>
      <c r="Y260" s="302"/>
      <c r="Z260" s="302"/>
      <c r="AA260" s="302"/>
      <c r="AB260" s="302"/>
      <c r="AC260" s="302"/>
      <c r="AD260" s="302"/>
      <c r="AE260" s="302"/>
      <c r="AF260" s="302"/>
      <c r="AG260" s="302"/>
      <c r="AH260" s="5"/>
      <c r="AI260" s="5"/>
    </row>
    <row r="261" spans="3:35" ht="20.100000000000001" customHeight="1">
      <c r="C261" s="302"/>
      <c r="D261" s="5"/>
      <c r="E261" s="302"/>
      <c r="F261" s="302"/>
      <c r="G261" s="302"/>
      <c r="H261" s="5"/>
      <c r="I261" s="302"/>
      <c r="J261" s="302"/>
      <c r="K261" s="302"/>
      <c r="L261" s="5"/>
      <c r="M261" s="302"/>
      <c r="N261" s="302"/>
      <c r="O261" s="302"/>
      <c r="P261" s="5"/>
      <c r="Q261" s="302"/>
      <c r="R261" s="177"/>
      <c r="S261" s="302"/>
      <c r="T261" s="5"/>
      <c r="U261" s="302"/>
      <c r="V261" s="5"/>
      <c r="W261" s="302"/>
      <c r="X261" s="5"/>
      <c r="Y261" s="302"/>
      <c r="Z261" s="302"/>
      <c r="AA261" s="302"/>
      <c r="AB261" s="302"/>
      <c r="AC261" s="302"/>
      <c r="AD261" s="302"/>
      <c r="AE261" s="302"/>
      <c r="AF261" s="302"/>
      <c r="AG261" s="302"/>
      <c r="AH261" s="5"/>
      <c r="AI261" s="5"/>
    </row>
    <row r="262" spans="3:35" ht="20.100000000000001" customHeight="1">
      <c r="C262" s="302"/>
      <c r="D262" s="5"/>
      <c r="E262" s="302"/>
      <c r="F262" s="302"/>
      <c r="G262" s="302"/>
      <c r="H262" s="5"/>
      <c r="I262" s="302"/>
      <c r="J262" s="302"/>
      <c r="K262" s="302"/>
      <c r="L262" s="5"/>
      <c r="M262" s="302"/>
      <c r="N262" s="302"/>
      <c r="O262" s="302"/>
      <c r="P262" s="5"/>
      <c r="Q262" s="302"/>
      <c r="R262" s="177"/>
      <c r="S262" s="302"/>
      <c r="T262" s="5"/>
      <c r="U262" s="302"/>
      <c r="V262" s="5"/>
      <c r="W262" s="302"/>
      <c r="X262" s="5"/>
      <c r="Y262" s="302"/>
      <c r="Z262" s="302"/>
      <c r="AA262" s="302"/>
      <c r="AB262" s="302"/>
      <c r="AC262" s="302"/>
      <c r="AD262" s="302"/>
      <c r="AE262" s="302"/>
      <c r="AF262" s="302"/>
      <c r="AG262" s="302"/>
      <c r="AH262" s="5"/>
      <c r="AI262" s="5"/>
    </row>
    <row r="263" spans="3:35" ht="20.100000000000001" customHeight="1">
      <c r="C263" s="302"/>
      <c r="D263" s="5"/>
      <c r="E263" s="302"/>
      <c r="F263" s="302"/>
      <c r="G263" s="302"/>
      <c r="H263" s="5"/>
      <c r="I263" s="302"/>
      <c r="J263" s="302"/>
      <c r="K263" s="302"/>
      <c r="L263" s="5"/>
      <c r="M263" s="302"/>
      <c r="N263" s="302"/>
      <c r="O263" s="302"/>
      <c r="P263" s="5"/>
      <c r="Q263" s="302"/>
      <c r="R263" s="177"/>
      <c r="S263" s="302"/>
      <c r="T263" s="5"/>
      <c r="U263" s="302"/>
      <c r="V263" s="5"/>
      <c r="W263" s="302"/>
      <c r="X263" s="5"/>
      <c r="Y263" s="302"/>
      <c r="Z263" s="302"/>
      <c r="AA263" s="302"/>
      <c r="AB263" s="302"/>
      <c r="AC263" s="302"/>
      <c r="AD263" s="302"/>
      <c r="AE263" s="302"/>
      <c r="AF263" s="302"/>
      <c r="AG263" s="302"/>
      <c r="AH263" s="5"/>
      <c r="AI263" s="5"/>
    </row>
    <row r="264" spans="3:35" ht="20.100000000000001" customHeight="1">
      <c r="C264" s="302"/>
      <c r="D264" s="5"/>
      <c r="E264" s="302"/>
      <c r="F264" s="302"/>
      <c r="G264" s="302"/>
      <c r="H264" s="5"/>
      <c r="I264" s="302"/>
      <c r="J264" s="302"/>
      <c r="K264" s="302"/>
      <c r="L264" s="5"/>
      <c r="M264" s="302"/>
      <c r="N264" s="302"/>
      <c r="O264" s="302"/>
      <c r="P264" s="5"/>
      <c r="Q264" s="302"/>
      <c r="R264" s="177"/>
      <c r="S264" s="302"/>
      <c r="T264" s="5"/>
      <c r="U264" s="302"/>
      <c r="V264" s="5"/>
      <c r="W264" s="302"/>
      <c r="X264" s="5"/>
      <c r="Y264" s="302"/>
      <c r="Z264" s="302"/>
      <c r="AA264" s="302"/>
      <c r="AB264" s="302"/>
      <c r="AC264" s="302"/>
      <c r="AD264" s="302"/>
      <c r="AE264" s="302"/>
      <c r="AF264" s="302"/>
      <c r="AG264" s="302"/>
      <c r="AH264" s="5"/>
      <c r="AI264" s="5"/>
    </row>
    <row r="265" spans="3:35" ht="20.100000000000001" customHeight="1">
      <c r="C265" s="302"/>
      <c r="D265" s="5"/>
      <c r="E265" s="302"/>
      <c r="F265" s="302"/>
      <c r="G265" s="302"/>
      <c r="H265" s="5"/>
      <c r="I265" s="302"/>
      <c r="J265" s="302"/>
      <c r="K265" s="302"/>
      <c r="L265" s="5"/>
      <c r="M265" s="302"/>
      <c r="N265" s="302"/>
      <c r="O265" s="302"/>
      <c r="P265" s="5"/>
      <c r="Q265" s="302"/>
      <c r="R265" s="177"/>
      <c r="S265" s="302"/>
      <c r="T265" s="5"/>
      <c r="U265" s="302"/>
      <c r="V265" s="5"/>
      <c r="W265" s="302"/>
      <c r="X265" s="5"/>
      <c r="Y265" s="302"/>
      <c r="Z265" s="302"/>
      <c r="AA265" s="302"/>
      <c r="AB265" s="302"/>
      <c r="AC265" s="302"/>
      <c r="AD265" s="302"/>
      <c r="AE265" s="302"/>
      <c r="AF265" s="302"/>
      <c r="AG265" s="302"/>
      <c r="AH265" s="5"/>
      <c r="AI265" s="5"/>
    </row>
    <row r="266" spans="3:35" ht="20.100000000000001" customHeight="1">
      <c r="C266" s="302"/>
      <c r="D266" s="5"/>
      <c r="E266" s="302"/>
      <c r="F266" s="302"/>
      <c r="G266" s="302"/>
      <c r="H266" s="5"/>
      <c r="I266" s="302"/>
      <c r="J266" s="302"/>
      <c r="K266" s="302"/>
      <c r="L266" s="5"/>
      <c r="M266" s="302"/>
      <c r="N266" s="302"/>
      <c r="O266" s="302"/>
      <c r="P266" s="5"/>
      <c r="Q266" s="302"/>
      <c r="R266" s="177"/>
      <c r="S266" s="302"/>
      <c r="T266" s="5"/>
      <c r="U266" s="302"/>
      <c r="V266" s="5"/>
      <c r="W266" s="302"/>
      <c r="X266" s="5"/>
      <c r="Y266" s="302"/>
      <c r="Z266" s="302"/>
      <c r="AA266" s="302"/>
      <c r="AB266" s="302"/>
      <c r="AC266" s="302"/>
      <c r="AD266" s="302"/>
      <c r="AE266" s="302"/>
      <c r="AF266" s="302"/>
      <c r="AG266" s="302"/>
      <c r="AH266" s="5"/>
      <c r="AI266" s="5"/>
    </row>
    <row r="267" spans="3:35" ht="20.100000000000001" customHeight="1">
      <c r="C267" s="302"/>
      <c r="D267" s="5"/>
      <c r="E267" s="302"/>
      <c r="F267" s="302"/>
      <c r="G267" s="302"/>
      <c r="H267" s="5"/>
      <c r="I267" s="302"/>
      <c r="J267" s="302"/>
      <c r="K267" s="302"/>
      <c r="L267" s="5"/>
      <c r="M267" s="302"/>
      <c r="N267" s="302"/>
      <c r="O267" s="302"/>
      <c r="P267" s="5"/>
      <c r="Q267" s="302"/>
      <c r="R267" s="177"/>
      <c r="S267" s="302"/>
      <c r="T267" s="5"/>
      <c r="U267" s="302"/>
      <c r="V267" s="5"/>
      <c r="W267" s="302"/>
      <c r="X267" s="5"/>
      <c r="Y267" s="302"/>
      <c r="Z267" s="302"/>
      <c r="AA267" s="302"/>
      <c r="AB267" s="302"/>
      <c r="AC267" s="302"/>
      <c r="AD267" s="302"/>
      <c r="AE267" s="302"/>
      <c r="AF267" s="302"/>
      <c r="AG267" s="302"/>
      <c r="AH267" s="5"/>
      <c r="AI267" s="5"/>
    </row>
    <row r="268" spans="3:35" ht="20.100000000000001" customHeight="1">
      <c r="C268" s="302"/>
      <c r="D268" s="5"/>
      <c r="E268" s="302"/>
      <c r="F268" s="302"/>
      <c r="G268" s="302"/>
      <c r="H268" s="5"/>
      <c r="I268" s="302"/>
      <c r="J268" s="302"/>
      <c r="K268" s="302"/>
      <c r="L268" s="5"/>
      <c r="M268" s="302"/>
      <c r="N268" s="302"/>
      <c r="O268" s="302"/>
      <c r="P268" s="5"/>
      <c r="Q268" s="302"/>
      <c r="R268" s="177"/>
      <c r="S268" s="302"/>
      <c r="T268" s="5"/>
      <c r="U268" s="302"/>
      <c r="V268" s="5"/>
      <c r="W268" s="302"/>
      <c r="X268" s="5"/>
      <c r="Y268" s="302"/>
      <c r="Z268" s="302"/>
      <c r="AA268" s="302"/>
      <c r="AB268" s="302"/>
      <c r="AC268" s="302"/>
      <c r="AD268" s="302"/>
      <c r="AE268" s="302"/>
      <c r="AF268" s="302"/>
      <c r="AG268" s="302"/>
      <c r="AH268" s="5"/>
      <c r="AI268" s="5"/>
    </row>
    <row r="269" spans="3:35" ht="20.100000000000001" customHeight="1">
      <c r="C269" s="302"/>
      <c r="D269" s="5"/>
      <c r="E269" s="302"/>
      <c r="F269" s="302"/>
      <c r="G269" s="302"/>
      <c r="H269" s="5"/>
      <c r="I269" s="302"/>
      <c r="J269" s="302"/>
      <c r="K269" s="302"/>
      <c r="L269" s="5"/>
      <c r="M269" s="302"/>
      <c r="N269" s="302"/>
      <c r="O269" s="302"/>
      <c r="P269" s="5"/>
      <c r="Q269" s="302"/>
      <c r="R269" s="177"/>
      <c r="S269" s="302"/>
      <c r="T269" s="5"/>
      <c r="U269" s="302"/>
      <c r="V269" s="5"/>
      <c r="W269" s="302"/>
      <c r="X269" s="5"/>
      <c r="Y269" s="302"/>
      <c r="Z269" s="302"/>
      <c r="AA269" s="302"/>
      <c r="AB269" s="302"/>
      <c r="AC269" s="302"/>
      <c r="AD269" s="302"/>
      <c r="AE269" s="302"/>
      <c r="AF269" s="302"/>
      <c r="AG269" s="302"/>
      <c r="AH269" s="5"/>
      <c r="AI269" s="5"/>
    </row>
    <row r="270" spans="3:35" ht="20.100000000000001" customHeight="1">
      <c r="C270" s="302"/>
      <c r="D270" s="5"/>
      <c r="E270" s="302"/>
      <c r="F270" s="302"/>
      <c r="G270" s="302"/>
      <c r="H270" s="5"/>
      <c r="I270" s="302"/>
      <c r="J270" s="302"/>
      <c r="K270" s="302"/>
      <c r="L270" s="5"/>
      <c r="M270" s="302"/>
      <c r="N270" s="302"/>
      <c r="O270" s="302"/>
      <c r="P270" s="5"/>
      <c r="Q270" s="302"/>
      <c r="R270" s="177"/>
      <c r="S270" s="302"/>
      <c r="T270" s="5"/>
      <c r="U270" s="302"/>
      <c r="V270" s="5"/>
      <c r="W270" s="302"/>
      <c r="X270" s="5"/>
      <c r="Y270" s="302"/>
      <c r="Z270" s="302"/>
      <c r="AA270" s="302"/>
      <c r="AB270" s="302"/>
      <c r="AC270" s="302"/>
      <c r="AD270" s="302"/>
      <c r="AE270" s="302"/>
      <c r="AF270" s="302"/>
      <c r="AG270" s="302"/>
      <c r="AH270" s="5"/>
      <c r="AI270" s="5"/>
    </row>
    <row r="271" spans="3:35" ht="20.100000000000001" customHeight="1">
      <c r="C271" s="302"/>
      <c r="D271" s="5"/>
      <c r="E271" s="302"/>
      <c r="F271" s="302"/>
      <c r="G271" s="302"/>
      <c r="H271" s="5"/>
      <c r="I271" s="302"/>
      <c r="J271" s="302"/>
      <c r="K271" s="302"/>
      <c r="L271" s="5"/>
      <c r="M271" s="302"/>
      <c r="N271" s="302"/>
      <c r="O271" s="302"/>
      <c r="P271" s="5"/>
      <c r="Q271" s="302"/>
      <c r="R271" s="177"/>
      <c r="S271" s="302"/>
      <c r="T271" s="5"/>
      <c r="U271" s="302"/>
      <c r="V271" s="5"/>
      <c r="W271" s="302"/>
      <c r="X271" s="5"/>
      <c r="Y271" s="302"/>
      <c r="Z271" s="302"/>
      <c r="AA271" s="302"/>
      <c r="AB271" s="302"/>
      <c r="AC271" s="302"/>
      <c r="AD271" s="302"/>
      <c r="AE271" s="302"/>
      <c r="AF271" s="302"/>
      <c r="AG271" s="302"/>
      <c r="AH271" s="5"/>
      <c r="AI271" s="5"/>
    </row>
    <row r="272" spans="3:35" ht="20.100000000000001" customHeight="1">
      <c r="C272" s="302"/>
      <c r="D272" s="5"/>
      <c r="E272" s="302"/>
      <c r="F272" s="302"/>
      <c r="G272" s="302"/>
      <c r="H272" s="5"/>
      <c r="I272" s="302"/>
      <c r="J272" s="302"/>
      <c r="K272" s="302"/>
      <c r="L272" s="5"/>
      <c r="M272" s="302"/>
      <c r="N272" s="302"/>
      <c r="O272" s="302"/>
      <c r="P272" s="5"/>
      <c r="Q272" s="302"/>
      <c r="R272" s="177"/>
      <c r="S272" s="302"/>
      <c r="T272" s="5"/>
      <c r="U272" s="302"/>
      <c r="V272" s="5"/>
      <c r="W272" s="302"/>
      <c r="X272" s="5"/>
      <c r="Y272" s="302"/>
      <c r="Z272" s="302"/>
      <c r="AA272" s="302"/>
      <c r="AB272" s="302"/>
      <c r="AC272" s="302"/>
      <c r="AD272" s="302"/>
      <c r="AE272" s="302"/>
      <c r="AF272" s="302"/>
      <c r="AG272" s="302"/>
      <c r="AH272" s="5"/>
      <c r="AI272" s="5"/>
    </row>
    <row r="273" spans="3:35" ht="20.100000000000001" customHeight="1">
      <c r="C273" s="302"/>
      <c r="D273" s="5"/>
      <c r="E273" s="302"/>
      <c r="F273" s="302"/>
      <c r="G273" s="302"/>
      <c r="H273" s="5"/>
      <c r="I273" s="302"/>
      <c r="J273" s="302"/>
      <c r="K273" s="302"/>
      <c r="L273" s="5"/>
      <c r="M273" s="302"/>
      <c r="O273" s="302"/>
      <c r="P273" s="5"/>
      <c r="Q273" s="302"/>
      <c r="R273" s="177"/>
      <c r="S273" s="302"/>
      <c r="T273" s="5"/>
      <c r="U273" s="302"/>
      <c r="V273" s="5"/>
      <c r="W273" s="302"/>
      <c r="X273" s="5"/>
      <c r="Y273" s="302"/>
      <c r="Z273" s="302"/>
      <c r="AA273" s="302"/>
      <c r="AB273" s="302"/>
      <c r="AC273" s="302"/>
      <c r="AD273" s="302"/>
      <c r="AE273" s="302"/>
      <c r="AF273" s="302"/>
      <c r="AG273" s="302"/>
      <c r="AH273" s="5"/>
      <c r="AI273" s="5"/>
    </row>
    <row r="274" spans="3:35" ht="20.100000000000001" customHeight="1">
      <c r="C274" s="302"/>
      <c r="D274" s="5"/>
      <c r="E274" s="302"/>
      <c r="F274" s="302"/>
      <c r="G274" s="302"/>
      <c r="H274" s="5"/>
      <c r="I274" s="302"/>
      <c r="J274" s="302"/>
      <c r="K274" s="302"/>
      <c r="L274" s="5"/>
      <c r="M274" s="302"/>
      <c r="P274" s="5"/>
      <c r="Q274" s="302"/>
      <c r="R274" s="177"/>
      <c r="S274" s="302"/>
      <c r="T274" s="5"/>
      <c r="U274" s="302"/>
      <c r="V274" s="5"/>
      <c r="W274" s="302"/>
      <c r="X274" s="5"/>
      <c r="Y274" s="302"/>
      <c r="Z274" s="302"/>
      <c r="AA274" s="302"/>
      <c r="AB274" s="302"/>
      <c r="AC274" s="302"/>
      <c r="AD274" s="302"/>
      <c r="AE274" s="302"/>
      <c r="AF274" s="302"/>
      <c r="AG274" s="302"/>
      <c r="AH274" s="5"/>
      <c r="AI274" s="5"/>
    </row>
    <row r="275" spans="3:35" ht="20.100000000000001" customHeight="1">
      <c r="P275" s="5"/>
      <c r="AF275" s="302"/>
      <c r="AG275" s="302"/>
      <c r="AH275" s="5"/>
      <c r="AI275" s="5"/>
    </row>
    <row r="276" spans="3:35" ht="20.100000000000001" customHeight="1">
      <c r="P276" s="5"/>
      <c r="AH276" s="5"/>
      <c r="AI276" s="5"/>
    </row>
  </sheetData>
  <mergeCells count="7">
    <mergeCell ref="AA74:AC74"/>
    <mergeCell ref="M4:O4"/>
    <mergeCell ref="W4:Y4"/>
    <mergeCell ref="S25:AG25"/>
    <mergeCell ref="E4:G4"/>
    <mergeCell ref="I4:K4"/>
    <mergeCell ref="E25:G25"/>
  </mergeCells>
  <conditionalFormatting sqref="AH39 X45:AA45 T45:V45 S31:S32 U31:U32 W31:W32 Y31:Y32 AA31:AA32 AC31:AC32 AE31:AE32 AG31:AG32 S38:S45 AA39:AA45 AC39:AC45 AE39:AE45 AG39:AG45 U39:U45 Y39:Y45 W39:W45 S34:S35 U34:U35 W34:W35 Y34:Y35 AA34:AA35 AC34:AC35 AE34:AE35 AG34:AG35 T38:AG38 AG47:AG51 AC47:AC51 AA47:AA51 Y47:Y51 W47:W51 U47:U51 AE47:AE51 AG54:AG58 AC54:AC57 AA54:AA57 Y54:Y57 W54:W57 U54:U57 AE54:AE57 S47:S57 T52:AG53">
    <cfRule type="expression" dxfId="94" priority="210">
      <formula>COUNTA($S$6:$S$24)=0</formula>
    </cfRule>
  </conditionalFormatting>
  <conditionalFormatting sqref="AD153:AD159 S172:Z176 AA147:AC147 AA171:AC177 AD161:AD165 AG162:AG166 AG154:AG160 S147:Z148 AE118:AE146 AF167:AG168 AD166:AE167 AF170:AG177 AD169:AE176 AF118:AG149 AC117:AE117 AD147:AE148 AF62:AG67 AE60:AE66 AE68:AE102 AF69:AG102 AB103:AD103 Z104:AB116">
    <cfRule type="expression" dxfId="93" priority="211">
      <formula>S60&lt;=$K$15*40%</formula>
    </cfRule>
  </conditionalFormatting>
  <conditionalFormatting sqref="M68 O68 M82 O82 M96 O96 AC82 AA68 AC68">
    <cfRule type="expression" dxfId="92" priority="151">
      <formula>M68&lt;=$K$43*40%</formula>
    </cfRule>
  </conditionalFormatting>
  <conditionalFormatting sqref="S38:AG38">
    <cfRule type="expression" dxfId="91" priority="148">
      <formula>$S$38=300</formula>
    </cfRule>
  </conditionalFormatting>
  <conditionalFormatting sqref="S47 S52:AG52">
    <cfRule type="expression" dxfId="90" priority="139">
      <formula>$S$47=250</formula>
    </cfRule>
  </conditionalFormatting>
  <conditionalFormatting sqref="U47">
    <cfRule type="expression" dxfId="89" priority="138">
      <formula>$U$47=250</formula>
    </cfRule>
  </conditionalFormatting>
  <conditionalFormatting sqref="W47">
    <cfRule type="expression" dxfId="88" priority="137">
      <formula>$W$47=250</formula>
    </cfRule>
  </conditionalFormatting>
  <conditionalFormatting sqref="Y47">
    <cfRule type="expression" dxfId="87" priority="136">
      <formula>$Y$47=250</formula>
    </cfRule>
  </conditionalFormatting>
  <conditionalFormatting sqref="AA47">
    <cfRule type="expression" dxfId="86" priority="135">
      <formula>$AA$47=250</formula>
    </cfRule>
  </conditionalFormatting>
  <conditionalFormatting sqref="AC47">
    <cfRule type="expression" dxfId="85" priority="134">
      <formula>$AC$47=250</formula>
    </cfRule>
  </conditionalFormatting>
  <conditionalFormatting sqref="AE47">
    <cfRule type="expression" dxfId="84" priority="133">
      <formula>$AE$47=250</formula>
    </cfRule>
  </conditionalFormatting>
  <conditionalFormatting sqref="AG47">
    <cfRule type="expression" dxfId="83" priority="132">
      <formula>$AG$47=250</formula>
    </cfRule>
  </conditionalFormatting>
  <conditionalFormatting sqref="S34">
    <cfRule type="expression" dxfId="82" priority="131">
      <formula>$S$34=900</formula>
    </cfRule>
  </conditionalFormatting>
  <conditionalFormatting sqref="U34">
    <cfRule type="expression" dxfId="81" priority="130">
      <formula>$U$34=900</formula>
    </cfRule>
  </conditionalFormatting>
  <conditionalFormatting sqref="W34">
    <cfRule type="expression" dxfId="80" priority="129">
      <formula>$W$34=900</formula>
    </cfRule>
  </conditionalFormatting>
  <conditionalFormatting sqref="Y34">
    <cfRule type="expression" dxfId="79" priority="128">
      <formula>$Y$34=900</formula>
    </cfRule>
  </conditionalFormatting>
  <conditionalFormatting sqref="AA34">
    <cfRule type="expression" dxfId="78" priority="127">
      <formula>$AA$34=900</formula>
    </cfRule>
  </conditionalFormatting>
  <conditionalFormatting sqref="AC34">
    <cfRule type="expression" dxfId="77" priority="126">
      <formula>$AC$34=900</formula>
    </cfRule>
  </conditionalFormatting>
  <conditionalFormatting sqref="AE34">
    <cfRule type="expression" dxfId="76" priority="125">
      <formula>$AE$34=900</formula>
    </cfRule>
  </conditionalFormatting>
  <conditionalFormatting sqref="AG34">
    <cfRule type="expression" dxfId="75" priority="124">
      <formula>$AG$34=900</formula>
    </cfRule>
  </conditionalFormatting>
  <conditionalFormatting sqref="S41">
    <cfRule type="expression" dxfId="74" priority="91">
      <formula>$S$41=300</formula>
    </cfRule>
    <cfRule type="expression" dxfId="73" priority="123">
      <formula>$S$41=1300</formula>
    </cfRule>
  </conditionalFormatting>
  <conditionalFormatting sqref="U41">
    <cfRule type="expression" dxfId="72" priority="90">
      <formula>$U$41=300</formula>
    </cfRule>
    <cfRule type="expression" dxfId="71" priority="122">
      <formula>$U$41=1300</formula>
    </cfRule>
  </conditionalFormatting>
  <conditionalFormatting sqref="W41">
    <cfRule type="expression" dxfId="70" priority="89">
      <formula>$W$41=300</formula>
    </cfRule>
    <cfRule type="expression" dxfId="69" priority="121">
      <formula>$W$41=1300</formula>
    </cfRule>
  </conditionalFormatting>
  <conditionalFormatting sqref="Y41">
    <cfRule type="expression" dxfId="68" priority="88">
      <formula>$Y$41=300</formula>
    </cfRule>
    <cfRule type="expression" dxfId="67" priority="120">
      <formula>$Y$41=1300</formula>
    </cfRule>
  </conditionalFormatting>
  <conditionalFormatting sqref="AA41">
    <cfRule type="expression" dxfId="66" priority="87">
      <formula>$AA$41=300</formula>
    </cfRule>
    <cfRule type="expression" dxfId="65" priority="119">
      <formula>$AA$41=1300</formula>
    </cfRule>
  </conditionalFormatting>
  <conditionalFormatting sqref="AC41">
    <cfRule type="expression" dxfId="64" priority="86">
      <formula>$AC$41=300</formula>
    </cfRule>
    <cfRule type="expression" dxfId="63" priority="118">
      <formula>$AC$41=1300</formula>
    </cfRule>
  </conditionalFormatting>
  <conditionalFormatting sqref="AE41">
    <cfRule type="expression" dxfId="62" priority="85">
      <formula>$AE$41=300</formula>
    </cfRule>
    <cfRule type="expression" dxfId="61" priority="117">
      <formula>$AE$41=1300</formula>
    </cfRule>
  </conditionalFormatting>
  <conditionalFormatting sqref="AG41">
    <cfRule type="expression" dxfId="60" priority="84">
      <formula>$AG$41=300</formula>
    </cfRule>
    <cfRule type="expression" dxfId="59" priority="116">
      <formula>$AG$41=1300</formula>
    </cfRule>
  </conditionalFormatting>
  <conditionalFormatting sqref="S43">
    <cfRule type="expression" dxfId="58" priority="83">
      <formula>$S$43=300</formula>
    </cfRule>
    <cfRule type="expression" dxfId="57" priority="115">
      <formula>$S$43=2200</formula>
    </cfRule>
  </conditionalFormatting>
  <conditionalFormatting sqref="U43">
    <cfRule type="expression" dxfId="56" priority="82">
      <formula>$U$43=300</formula>
    </cfRule>
    <cfRule type="expression" dxfId="55" priority="114">
      <formula>$U$43=2200</formula>
    </cfRule>
  </conditionalFormatting>
  <conditionalFormatting sqref="W43">
    <cfRule type="expression" dxfId="54" priority="81">
      <formula>$W$43=300</formula>
    </cfRule>
    <cfRule type="expression" dxfId="53" priority="113">
      <formula>$W$43=2200</formula>
    </cfRule>
  </conditionalFormatting>
  <conditionalFormatting sqref="Y43">
    <cfRule type="expression" dxfId="52" priority="80">
      <formula>$Y$43=300</formula>
    </cfRule>
    <cfRule type="expression" dxfId="51" priority="112">
      <formula>$Y$43=2200</formula>
    </cfRule>
  </conditionalFormatting>
  <conditionalFormatting sqref="AA43">
    <cfRule type="expression" dxfId="50" priority="79">
      <formula>$AA$43=300</formula>
    </cfRule>
    <cfRule type="expression" dxfId="49" priority="111">
      <formula>$AA$43=2200</formula>
    </cfRule>
  </conditionalFormatting>
  <conditionalFormatting sqref="AC43">
    <cfRule type="expression" dxfId="48" priority="78">
      <formula>$AC$43=300</formula>
    </cfRule>
    <cfRule type="expression" dxfId="47" priority="110">
      <formula>$AC$43=2200</formula>
    </cfRule>
  </conditionalFormatting>
  <conditionalFormatting sqref="AE43">
    <cfRule type="expression" dxfId="46" priority="77">
      <formula>$AE$43=300</formula>
    </cfRule>
    <cfRule type="expression" dxfId="45" priority="109">
      <formula>$AE$43=2200</formula>
    </cfRule>
  </conditionalFormatting>
  <conditionalFormatting sqref="AG43">
    <cfRule type="expression" dxfId="44" priority="76">
      <formula>$AG$43=300</formula>
    </cfRule>
    <cfRule type="expression" dxfId="43" priority="108">
      <formula>$AG$43=2200</formula>
    </cfRule>
  </conditionalFormatting>
  <conditionalFormatting sqref="S45">
    <cfRule type="expression" dxfId="42" priority="75">
      <formula>$S$45=300</formula>
    </cfRule>
    <cfRule type="expression" dxfId="41" priority="107">
      <formula>$S$45=2200</formula>
    </cfRule>
  </conditionalFormatting>
  <conditionalFormatting sqref="U45">
    <cfRule type="expression" dxfId="40" priority="74">
      <formula>$U$45=300</formula>
    </cfRule>
    <cfRule type="expression" dxfId="39" priority="106">
      <formula>$U$45=2200</formula>
    </cfRule>
  </conditionalFormatting>
  <conditionalFormatting sqref="W45">
    <cfRule type="expression" dxfId="38" priority="73">
      <formula>$W$45=300</formula>
    </cfRule>
    <cfRule type="expression" dxfId="37" priority="105">
      <formula>$W$45=2200</formula>
    </cfRule>
  </conditionalFormatting>
  <conditionalFormatting sqref="Y45">
    <cfRule type="expression" dxfId="36" priority="72">
      <formula>$Y$45=300</formula>
    </cfRule>
    <cfRule type="expression" dxfId="35" priority="104">
      <formula>$Y$45=2200</formula>
    </cfRule>
  </conditionalFormatting>
  <conditionalFormatting sqref="AA45">
    <cfRule type="expression" dxfId="34" priority="71">
      <formula>$AA$45=300</formula>
    </cfRule>
    <cfRule type="expression" dxfId="33" priority="103">
      <formula>$AA$45=2200</formula>
    </cfRule>
  </conditionalFormatting>
  <conditionalFormatting sqref="AC45">
    <cfRule type="expression" dxfId="32" priority="70">
      <formula>$AC$45=300</formula>
    </cfRule>
    <cfRule type="expression" dxfId="31" priority="102">
      <formula>$AC$45=2200</formula>
    </cfRule>
  </conditionalFormatting>
  <conditionalFormatting sqref="AE45">
    <cfRule type="expression" dxfId="30" priority="69">
      <formula>$AE$45=300</formula>
    </cfRule>
    <cfRule type="expression" dxfId="29" priority="101">
      <formula>$AE$45=2200</formula>
    </cfRule>
  </conditionalFormatting>
  <conditionalFormatting sqref="AG45">
    <cfRule type="expression" dxfId="28" priority="68">
      <formula>$AG$45=300</formula>
    </cfRule>
    <cfRule type="expression" dxfId="27" priority="100">
      <formula>$AG$45=2200</formula>
    </cfRule>
  </conditionalFormatting>
  <conditionalFormatting sqref="S48 S53:AG53">
    <cfRule type="expression" dxfId="26" priority="58">
      <formula>$S$48=550</formula>
    </cfRule>
    <cfRule type="expression" dxfId="25" priority="67">
      <formula>$S$48=850</formula>
    </cfRule>
    <cfRule type="expression" dxfId="24" priority="99">
      <formula>$S$48=3750</formula>
    </cfRule>
  </conditionalFormatting>
  <conditionalFormatting sqref="U48">
    <cfRule type="expression" dxfId="23" priority="57">
      <formula>$U$48=550</formula>
    </cfRule>
    <cfRule type="expression" dxfId="22" priority="66">
      <formula>$U$48=850</formula>
    </cfRule>
    <cfRule type="expression" dxfId="21" priority="98">
      <formula>$U$48=3750</formula>
    </cfRule>
  </conditionalFormatting>
  <conditionalFormatting sqref="W48">
    <cfRule type="expression" dxfId="20" priority="56">
      <formula>$W$48=550</formula>
    </cfRule>
    <cfRule type="expression" dxfId="19" priority="65">
      <formula>$W$48=850</formula>
    </cfRule>
    <cfRule type="expression" dxfId="18" priority="97">
      <formula>$W$48=3750</formula>
    </cfRule>
  </conditionalFormatting>
  <conditionalFormatting sqref="Y48">
    <cfRule type="expression" dxfId="17" priority="55">
      <formula>$Y$48=550</formula>
    </cfRule>
    <cfRule type="expression" dxfId="16" priority="64">
      <formula>$Y$48=850</formula>
    </cfRule>
    <cfRule type="expression" dxfId="15" priority="96">
      <formula>$Y$48=3750</formula>
    </cfRule>
  </conditionalFormatting>
  <conditionalFormatting sqref="AA48">
    <cfRule type="expression" dxfId="14" priority="54">
      <formula>$AA$48=550</formula>
    </cfRule>
    <cfRule type="expression" dxfId="13" priority="63">
      <formula>$AA$48=850</formula>
    </cfRule>
    <cfRule type="expression" dxfId="12" priority="95">
      <formula>$AA$48=3750</formula>
    </cfRule>
  </conditionalFormatting>
  <conditionalFormatting sqref="AC48">
    <cfRule type="expression" dxfId="11" priority="53">
      <formula>$AC$48=550</formula>
    </cfRule>
    <cfRule type="expression" dxfId="10" priority="62">
      <formula>$AC$48=850</formula>
    </cfRule>
    <cfRule type="expression" dxfId="9" priority="94">
      <formula>$AC$48=3750</formula>
    </cfRule>
  </conditionalFormatting>
  <conditionalFormatting sqref="AE48">
    <cfRule type="expression" dxfId="8" priority="52">
      <formula>$AE$48=550</formula>
    </cfRule>
    <cfRule type="expression" dxfId="7" priority="61">
      <formula>$AE$48=850</formula>
    </cfRule>
    <cfRule type="expression" dxfId="6" priority="93">
      <formula>$AE$48=3750</formula>
    </cfRule>
  </conditionalFormatting>
  <conditionalFormatting sqref="AG48">
    <cfRule type="expression" dxfId="5" priority="51">
      <formula>$AG$48=550</formula>
    </cfRule>
    <cfRule type="expression" dxfId="4" priority="60">
      <formula>$AG$48=850</formula>
    </cfRule>
    <cfRule type="expression" dxfId="3" priority="92">
      <formula>$AG$48=3750</formula>
    </cfRule>
  </conditionalFormatting>
  <conditionalFormatting sqref="O47">
    <cfRule type="expression" dxfId="2" priority="48">
      <formula>O47&lt;=$M$62*40%</formula>
    </cfRule>
  </conditionalFormatting>
  <conditionalFormatting sqref="K48">
    <cfRule type="expression" dxfId="1" priority="47">
      <formula>$K$48&lt;=$K$43*40%</formula>
    </cfRule>
  </conditionalFormatting>
  <conditionalFormatting sqref="M48">
    <cfRule type="expression" priority="350">
      <formula>#REF!&lt;=$K$43*40%</formula>
    </cfRule>
    <cfRule type="expression" dxfId="0" priority="351">
      <formula>M48&lt;=$M$62*40%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8:S9 U15:U21 W15:W23 S33:AE33 S32:V32 S29:W29 AA29:AE29 AG29 AB32:AE32 Y29 AG32:AG33 AG40:AG42 AC40:AC42 AE40:AE42 S40:S47 AG44:AG45 U40:U47 W40:W47 Y40:Y47 AA40:AA47 AC44:AC45 AE44:AE45 S30:AG31 U39:AG39 E43:J43 M66 M31 K48 M63 P62 S50 U50 W50 Y50 AA50 N42 O62:O67 N47:O48 N37 N62:N64 K43 N43:O43 L48:L49 N45:O45 N59:N60 U49:AG49 U54:AG54" unlockedFormula="1"/>
    <ignoredError sqref="AC34" numberStoredAsText="1"/>
    <ignoredError sqref="E47 G47:K47 M47" twoDigitTextYear="1"/>
    <ignoredError sqref="L47" twoDigitTextYea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Crédit foncier</vt:lpstr>
      <vt:lpstr>'Crédit foncier'!Zone_d_impression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Lacy</cp:lastModifiedBy>
  <cp:lastPrinted>2011-08-12T12:16:55Z</cp:lastPrinted>
  <dcterms:created xsi:type="dcterms:W3CDTF">2008-03-12T18:15:50Z</dcterms:created>
  <dcterms:modified xsi:type="dcterms:W3CDTF">2011-08-14T05:40:09Z</dcterms:modified>
</cp:coreProperties>
</file>