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4400" windowHeight="12840" firstSheet="1" activeTab="6"/>
  </bookViews>
  <sheets>
    <sheet name="Henri's Hotel" sheetId="1" r:id="rId1"/>
    <sheet name="Tables" sheetId="2" r:id="rId2"/>
    <sheet name="EXEMPLE" sheetId="5" r:id="rId3"/>
    <sheet name="EXEMPLE 2" sheetId="6" r:id="rId4"/>
    <sheet name="Hotel occupancy" sheetId="3" r:id="rId5"/>
    <sheet name="Management Information" sheetId="4" r:id="rId6"/>
    <sheet name="Feuil1" sheetId="7" r:id="rId7"/>
  </sheets>
  <calcPr calcId="145621"/>
</workbook>
</file>

<file path=xl/calcChain.xml><?xml version="1.0" encoding="utf-8"?>
<calcChain xmlns="http://schemas.openxmlformats.org/spreadsheetml/2006/main">
  <c r="H3" i="7" l="1"/>
  <c r="H4" i="7" l="1"/>
  <c r="H5" i="7"/>
  <c r="H7" i="7"/>
  <c r="F4" i="7"/>
  <c r="F5" i="7"/>
  <c r="F6" i="7"/>
  <c r="H6" i="7" s="1"/>
  <c r="F7" i="7"/>
  <c r="F3" i="7"/>
  <c r="R4" i="7" l="1"/>
  <c r="R5" i="7"/>
  <c r="R6" i="7"/>
  <c r="R7" i="7"/>
  <c r="R3" i="7"/>
  <c r="G4" i="7"/>
  <c r="G5" i="7"/>
  <c r="G6" i="7"/>
  <c r="G7" i="7"/>
  <c r="G3" i="7"/>
  <c r="J4" i="7"/>
  <c r="K5" i="7"/>
  <c r="L5" i="7" s="1"/>
  <c r="J6" i="7"/>
  <c r="K7" i="7"/>
  <c r="L7" i="7" s="1"/>
  <c r="J3" i="7"/>
  <c r="M3" i="7" l="1"/>
  <c r="N3" i="7" s="1"/>
  <c r="M6" i="7"/>
  <c r="N6" i="7" s="1"/>
  <c r="M4" i="7"/>
  <c r="N4" i="7" s="1"/>
  <c r="K3" i="7"/>
  <c r="L3" i="7" s="1"/>
  <c r="K6" i="7"/>
  <c r="L6" i="7" s="1"/>
  <c r="P6" i="7" s="1"/>
  <c r="Q6" i="7" s="1"/>
  <c r="S6" i="7" s="1"/>
  <c r="K4" i="7"/>
  <c r="L4" i="7" s="1"/>
  <c r="P4" i="7" s="1"/>
  <c r="Q4" i="7" s="1"/>
  <c r="S4" i="7" s="1"/>
  <c r="J7" i="7"/>
  <c r="J5" i="7"/>
  <c r="M7" i="7"/>
  <c r="N7" i="7" s="1"/>
  <c r="M5" i="7"/>
  <c r="N5" i="7" s="1"/>
  <c r="Y10" i="1"/>
  <c r="Y11" i="1"/>
  <c r="Y12" i="1"/>
  <c r="Y13" i="1"/>
  <c r="Y14" i="1"/>
  <c r="Y15" i="1"/>
  <c r="Y16" i="1"/>
  <c r="Y17" i="1"/>
  <c r="Y18" i="1"/>
  <c r="Y19" i="1"/>
  <c r="Y20" i="1"/>
  <c r="Y21" i="1"/>
  <c r="Y22" i="1"/>
  <c r="Y23" i="1"/>
  <c r="Y24" i="1"/>
  <c r="Y25" i="1"/>
  <c r="Y26" i="1"/>
  <c r="Y27" i="1"/>
  <c r="Y28" i="1"/>
  <c r="Y9" i="1"/>
  <c r="AA3" i="1"/>
  <c r="AB5" i="1"/>
  <c r="Z9" i="1"/>
  <c r="AA9" i="1"/>
  <c r="P5" i="7" l="1"/>
  <c r="Q5" i="7" s="1"/>
  <c r="S5" i="7" s="1"/>
  <c r="P7" i="7"/>
  <c r="Q7" i="7" s="1"/>
  <c r="S7" i="7" s="1"/>
  <c r="P3" i="7"/>
  <c r="Q3" i="7" s="1"/>
  <c r="S3" i="7" s="1"/>
  <c r="AL10" i="1"/>
  <c r="AL11" i="1"/>
  <c r="AL12" i="1"/>
  <c r="AL13" i="1"/>
  <c r="AL14" i="1"/>
  <c r="AL15" i="1"/>
  <c r="AL16" i="1"/>
  <c r="AL17" i="1"/>
  <c r="AL20" i="1"/>
  <c r="AL21" i="1"/>
  <c r="AL25" i="1"/>
  <c r="AL26" i="1"/>
  <c r="AL27" i="1"/>
  <c r="AL28" i="1"/>
  <c r="AL9" i="1"/>
  <c r="BC9" i="1" l="1"/>
  <c r="BC10" i="1"/>
  <c r="BB9" i="1"/>
  <c r="BE9" i="1"/>
  <c r="BB10" i="1"/>
  <c r="BE10" i="1"/>
  <c r="BB11" i="1"/>
  <c r="BC11" i="1"/>
  <c r="BE11" i="1"/>
  <c r="BB12" i="1"/>
  <c r="BC12" i="1"/>
  <c r="BE12" i="1"/>
  <c r="BB13" i="1"/>
  <c r="BC13" i="1"/>
  <c r="BE13" i="1"/>
  <c r="BB14" i="1"/>
  <c r="BC14" i="1"/>
  <c r="BE14" i="1"/>
  <c r="BB15" i="1"/>
  <c r="BC15" i="1"/>
  <c r="BE15" i="1"/>
  <c r="BB16" i="1"/>
  <c r="BC16" i="1"/>
  <c r="BE16" i="1"/>
  <c r="BB17" i="1"/>
  <c r="BC17" i="1"/>
  <c r="BE17" i="1"/>
  <c r="BB18" i="1"/>
  <c r="BC18" i="1"/>
  <c r="BE18" i="1"/>
  <c r="BB19" i="1"/>
  <c r="BC19" i="1"/>
  <c r="BE19" i="1"/>
  <c r="BB20" i="1"/>
  <c r="BC20" i="1"/>
  <c r="BE20" i="1"/>
  <c r="BB21" i="1"/>
  <c r="BC21" i="1"/>
  <c r="BE21" i="1"/>
  <c r="BB22" i="1"/>
  <c r="BC22" i="1"/>
  <c r="BE22" i="1"/>
  <c r="BB23" i="1"/>
  <c r="BC23" i="1"/>
  <c r="BE23" i="1"/>
  <c r="BB24" i="1"/>
  <c r="BC24" i="1"/>
  <c r="BE24" i="1"/>
  <c r="BB25" i="1"/>
  <c r="BC25" i="1"/>
  <c r="BE25" i="1"/>
  <c r="BB26" i="1"/>
  <c r="BC26" i="1"/>
  <c r="BE26" i="1"/>
  <c r="BB27" i="1"/>
  <c r="BC27" i="1"/>
  <c r="BE27" i="1"/>
  <c r="BB28" i="1"/>
  <c r="BC28" i="1"/>
  <c r="BE28" i="1"/>
  <c r="AE9" i="1" l="1"/>
  <c r="AS11" i="1"/>
  <c r="AS13" i="1"/>
  <c r="AS14" i="1"/>
  <c r="AS15" i="1"/>
  <c r="AS16" i="1"/>
  <c r="AS17" i="1"/>
  <c r="AS20" i="1"/>
  <c r="AS21" i="1"/>
  <c r="AS25" i="1"/>
  <c r="AS26" i="1"/>
  <c r="AS27" i="1"/>
  <c r="AS28" i="1"/>
  <c r="AS9" i="1"/>
  <c r="O31" i="1"/>
  <c r="M33" i="1"/>
  <c r="B10" i="3"/>
  <c r="M31" i="1" s="1"/>
  <c r="M32" i="1" s="1"/>
  <c r="M34" i="1" l="1"/>
  <c r="BF9" i="1"/>
  <c r="AJ9" i="1"/>
  <c r="AB9" i="1" l="1"/>
  <c r="AC9" i="1"/>
  <c r="BG9" i="1"/>
  <c r="BD9" i="1"/>
  <c r="D10" i="2"/>
  <c r="D9" i="2"/>
  <c r="AR9" i="1" l="1"/>
  <c r="AK9" i="1"/>
  <c r="AF9" i="1"/>
  <c r="AF10" i="1"/>
  <c r="AF11" i="1"/>
  <c r="AF12" i="1"/>
  <c r="AF13" i="1"/>
  <c r="AF14" i="1"/>
  <c r="AF15" i="1"/>
  <c r="AF16" i="1"/>
  <c r="AF17" i="1"/>
  <c r="AF20" i="1"/>
  <c r="AF21" i="1"/>
  <c r="AF25" i="1"/>
  <c r="AF26" i="1"/>
  <c r="AF27" i="1"/>
  <c r="AF28" i="1"/>
  <c r="J31" i="1"/>
  <c r="AE31" i="1" s="1"/>
  <c r="X9" i="1"/>
  <c r="X28" i="1"/>
  <c r="K10" i="2"/>
  <c r="K9" i="2"/>
  <c r="K8" i="2"/>
  <c r="X10" i="1"/>
  <c r="X11" i="1"/>
  <c r="X12" i="1"/>
  <c r="X13" i="1"/>
  <c r="X14" i="1"/>
  <c r="X15" i="1"/>
  <c r="X16" i="1"/>
  <c r="X17" i="1"/>
  <c r="X18" i="1"/>
  <c r="X19" i="1"/>
  <c r="X20" i="1"/>
  <c r="X21" i="1"/>
  <c r="X22" i="1"/>
  <c r="X23" i="1"/>
  <c r="X24" i="1"/>
  <c r="X25" i="1"/>
  <c r="X26" i="1"/>
  <c r="X27" i="1"/>
  <c r="AG2" i="1"/>
  <c r="AQ10" i="1"/>
  <c r="AQ11" i="1"/>
  <c r="AQ12" i="1"/>
  <c r="AQ13" i="1"/>
  <c r="AQ14" i="1"/>
  <c r="AQ15" i="1"/>
  <c r="AQ16" i="1"/>
  <c r="AQ17" i="1"/>
  <c r="AQ18" i="1"/>
  <c r="AQ19" i="1"/>
  <c r="AQ20" i="1"/>
  <c r="AQ21" i="1"/>
  <c r="AQ22" i="1"/>
  <c r="AQ23" i="1"/>
  <c r="AQ24" i="1"/>
  <c r="AQ25" i="1"/>
  <c r="AQ26" i="1"/>
  <c r="AQ27" i="1"/>
  <c r="AQ28" i="1"/>
  <c r="AQ9" i="1"/>
  <c r="B20" i="2"/>
  <c r="B21" i="2"/>
  <c r="B22" i="2"/>
  <c r="B23" i="2"/>
  <c r="B24" i="2"/>
  <c r="B25" i="2"/>
  <c r="B26" i="2"/>
  <c r="B27" i="2"/>
  <c r="B28" i="2"/>
  <c r="B29" i="2"/>
  <c r="B30" i="2"/>
  <c r="B31" i="2"/>
  <c r="B32" i="2"/>
  <c r="AJ10" i="1"/>
  <c r="AJ11" i="1"/>
  <c r="AJ12" i="1"/>
  <c r="AJ13" i="1"/>
  <c r="AJ14" i="1"/>
  <c r="AJ15" i="1"/>
  <c r="AJ16" i="1"/>
  <c r="AJ17" i="1"/>
  <c r="AJ18" i="1"/>
  <c r="AJ19" i="1"/>
  <c r="AJ20" i="1"/>
  <c r="AJ21" i="1"/>
  <c r="AK21" i="1" s="1"/>
  <c r="AJ22" i="1"/>
  <c r="AJ23" i="1"/>
  <c r="AJ24" i="1"/>
  <c r="AJ25" i="1"/>
  <c r="AJ26" i="1"/>
  <c r="AJ27" i="1"/>
  <c r="AJ28" i="1"/>
  <c r="AI10" i="1"/>
  <c r="AI11" i="1"/>
  <c r="AI12" i="1"/>
  <c r="AI13" i="1"/>
  <c r="AI14" i="1"/>
  <c r="AI15" i="1"/>
  <c r="AI16" i="1"/>
  <c r="AI17" i="1"/>
  <c r="AI18" i="1"/>
  <c r="AI19" i="1"/>
  <c r="AI20" i="1"/>
  <c r="AI21" i="1"/>
  <c r="AI22" i="1"/>
  <c r="AI23" i="1"/>
  <c r="AI24" i="1"/>
  <c r="AI25" i="1"/>
  <c r="AI26" i="1"/>
  <c r="AI27" i="1"/>
  <c r="AI28" i="1"/>
  <c r="AI9" i="1"/>
  <c r="BD21" i="1" l="1"/>
  <c r="BD27" i="1"/>
  <c r="BD23" i="1"/>
  <c r="BD19" i="1"/>
  <c r="BD15" i="1"/>
  <c r="BD11" i="1"/>
  <c r="BD26" i="1"/>
  <c r="BD22" i="1"/>
  <c r="BD18" i="1"/>
  <c r="BD14" i="1"/>
  <c r="BD10" i="1"/>
  <c r="BD25" i="1"/>
  <c r="BD17" i="1"/>
  <c r="BD13" i="1"/>
  <c r="BD28" i="1"/>
  <c r="BD24" i="1"/>
  <c r="BD20" i="1"/>
  <c r="BD16" i="1"/>
  <c r="BD12" i="1"/>
  <c r="AK22" i="1"/>
  <c r="AE10" i="1"/>
  <c r="AE11" i="1"/>
  <c r="AE12" i="1"/>
  <c r="AE13" i="1"/>
  <c r="AE14" i="1"/>
  <c r="AE15" i="1"/>
  <c r="AE16" i="1"/>
  <c r="AE17" i="1"/>
  <c r="AE18" i="1"/>
  <c r="AE19" i="1"/>
  <c r="Z19" i="1" s="1"/>
  <c r="AE20" i="1"/>
  <c r="AE21" i="1"/>
  <c r="AE22" i="1"/>
  <c r="AE23" i="1"/>
  <c r="Z23" i="1" s="1"/>
  <c r="AE24" i="1"/>
  <c r="AE25" i="1"/>
  <c r="AE26" i="1"/>
  <c r="AE27" i="1"/>
  <c r="AE28" i="1"/>
  <c r="AA23" i="1" l="1"/>
  <c r="AB23" i="1" s="1"/>
  <c r="AC23" i="1"/>
  <c r="AA19" i="1"/>
  <c r="AB19" i="1" s="1"/>
  <c r="AC19" i="1"/>
  <c r="Z24" i="1"/>
  <c r="Z16" i="1"/>
  <c r="AC16" i="1" s="1"/>
  <c r="AA16" i="1"/>
  <c r="AB16" i="1" s="1"/>
  <c r="AK15" i="1"/>
  <c r="Z15" i="1"/>
  <c r="Z25" i="1"/>
  <c r="AC25" i="1" s="1"/>
  <c r="AA25" i="1"/>
  <c r="AB25" i="1" s="1"/>
  <c r="BF21" i="1"/>
  <c r="BG21" i="1" s="1"/>
  <c r="Z21" i="1"/>
  <c r="Z17" i="1"/>
  <c r="Z13" i="1"/>
  <c r="AK28" i="1"/>
  <c r="Z28" i="1"/>
  <c r="AK20" i="1"/>
  <c r="Z20" i="1"/>
  <c r="AK12" i="1"/>
  <c r="AS12" i="1" s="1"/>
  <c r="Z12" i="1"/>
  <c r="Z27" i="1"/>
  <c r="Z26" i="1"/>
  <c r="Z22" i="1"/>
  <c r="AK18" i="1"/>
  <c r="AS18" i="1" s="1"/>
  <c r="Z18" i="1"/>
  <c r="AK14" i="1"/>
  <c r="Z14" i="1"/>
  <c r="AC14" i="1" s="1"/>
  <c r="Z10" i="1"/>
  <c r="AK11" i="1"/>
  <c r="Z11" i="1"/>
  <c r="BF25" i="1"/>
  <c r="BG25" i="1" s="1"/>
  <c r="AR25" i="1"/>
  <c r="BF17" i="1"/>
  <c r="BG17" i="1" s="1"/>
  <c r="AR17" i="1"/>
  <c r="BF13" i="1"/>
  <c r="BG13" i="1" s="1"/>
  <c r="AR13" i="1"/>
  <c r="AK13" i="1"/>
  <c r="BF28" i="1"/>
  <c r="BG28" i="1" s="1"/>
  <c r="AR28" i="1"/>
  <c r="BF24" i="1"/>
  <c r="BG24" i="1" s="1"/>
  <c r="AR24" i="1"/>
  <c r="AF24" i="1"/>
  <c r="BF20" i="1"/>
  <c r="BG20" i="1" s="1"/>
  <c r="AR20" i="1"/>
  <c r="BF16" i="1"/>
  <c r="BG16" i="1" s="1"/>
  <c r="AR16" i="1"/>
  <c r="BF12" i="1"/>
  <c r="BG12" i="1" s="1"/>
  <c r="AR12" i="1"/>
  <c r="AK17" i="1"/>
  <c r="AK16" i="1"/>
  <c r="BF27" i="1"/>
  <c r="BG27" i="1" s="1"/>
  <c r="AR27" i="1"/>
  <c r="AK23" i="1"/>
  <c r="AS23" i="1" s="1"/>
  <c r="BF23" i="1"/>
  <c r="BG23" i="1" s="1"/>
  <c r="BF19" i="1"/>
  <c r="BG19" i="1" s="1"/>
  <c r="AR19" i="1"/>
  <c r="AF19" i="1"/>
  <c r="BF15" i="1"/>
  <c r="BG15" i="1" s="1"/>
  <c r="AR15" i="1"/>
  <c r="BF11" i="1"/>
  <c r="BG11" i="1" s="1"/>
  <c r="AR11" i="1"/>
  <c r="AK19" i="1"/>
  <c r="AS19" i="1" s="1"/>
  <c r="BF26" i="1"/>
  <c r="BG26" i="1" s="1"/>
  <c r="AR26" i="1"/>
  <c r="BF22" i="1"/>
  <c r="BG22" i="1" s="1"/>
  <c r="AR22" i="1"/>
  <c r="AF22" i="1"/>
  <c r="BF18" i="1"/>
  <c r="BG18" i="1" s="1"/>
  <c r="AR18" i="1"/>
  <c r="AF18" i="1"/>
  <c r="BF14" i="1"/>
  <c r="BG14" i="1" s="1"/>
  <c r="AR14" i="1"/>
  <c r="AR10" i="1"/>
  <c r="BF10" i="1"/>
  <c r="BG10" i="1" s="1"/>
  <c r="AK25" i="1"/>
  <c r="AK26" i="1"/>
  <c r="AK27" i="1"/>
  <c r="AK24" i="1"/>
  <c r="AS24" i="1" s="1"/>
  <c r="AR23" i="1"/>
  <c r="AF23" i="1"/>
  <c r="AS22" i="1"/>
  <c r="AR21" i="1"/>
  <c r="AK10" i="1"/>
  <c r="AA11" i="1" l="1"/>
  <c r="AB11" i="1" s="1"/>
  <c r="AC11" i="1"/>
  <c r="AA26" i="1"/>
  <c r="AB26" i="1" s="1"/>
  <c r="AC26" i="1"/>
  <c r="AA20" i="1"/>
  <c r="AB20" i="1" s="1"/>
  <c r="AC20" i="1"/>
  <c r="AA13" i="1"/>
  <c r="AB13" i="1" s="1"/>
  <c r="AC13" i="1"/>
  <c r="AA10" i="1"/>
  <c r="AB10" i="1" s="1"/>
  <c r="AC10" i="1"/>
  <c r="AA18" i="1"/>
  <c r="AB18" i="1" s="1"/>
  <c r="AC18" i="1"/>
  <c r="AA27" i="1"/>
  <c r="AB27" i="1" s="1"/>
  <c r="AC27" i="1"/>
  <c r="AA17" i="1"/>
  <c r="AB17" i="1" s="1"/>
  <c r="AC17" i="1"/>
  <c r="AA22" i="1"/>
  <c r="AB22" i="1" s="1"/>
  <c r="AC22" i="1"/>
  <c r="AA14" i="1"/>
  <c r="AB14" i="1" s="1"/>
  <c r="AA12" i="1"/>
  <c r="AB12" i="1" s="1"/>
  <c r="AC12" i="1"/>
  <c r="AA28" i="1"/>
  <c r="AB28" i="1" s="1"/>
  <c r="AC28" i="1"/>
  <c r="AA21" i="1"/>
  <c r="AB21" i="1" s="1"/>
  <c r="AC21" i="1"/>
  <c r="AA15" i="1"/>
  <c r="AB15" i="1" s="1"/>
  <c r="AC15" i="1"/>
  <c r="AA24" i="1"/>
  <c r="AB24" i="1" s="1"/>
  <c r="AC24" i="1"/>
  <c r="B6" i="4"/>
  <c r="B3" i="4"/>
  <c r="AE30" i="1"/>
  <c r="AS10" i="1"/>
  <c r="AS29" i="1" s="1"/>
  <c r="AL22" i="1" l="1"/>
  <c r="AL18" i="1"/>
  <c r="AL19" i="1"/>
  <c r="AL23" i="1"/>
  <c r="AL24" i="1"/>
  <c r="AT11" i="1"/>
  <c r="AU11" i="1" s="1"/>
  <c r="AT24" i="1"/>
  <c r="AT12" i="1"/>
  <c r="AU12" i="1" s="1"/>
  <c r="AT18" i="1"/>
  <c r="AT23" i="1"/>
  <c r="AT22" i="1"/>
  <c r="AT27" i="1"/>
  <c r="AU27" i="1" s="1"/>
  <c r="AX27" i="1" s="1"/>
  <c r="AT21" i="1"/>
  <c r="AU21" i="1" s="1"/>
  <c r="AV21" i="1" s="1"/>
  <c r="AW21" i="1" s="1"/>
  <c r="AT28" i="1"/>
  <c r="AU28" i="1" s="1"/>
  <c r="AT16" i="1"/>
  <c r="AU16" i="1" s="1"/>
  <c r="AT20" i="1"/>
  <c r="AU20" i="1" s="1"/>
  <c r="AT10" i="1"/>
  <c r="AU10" i="1" s="1"/>
  <c r="AT15" i="1"/>
  <c r="AU15" i="1" s="1"/>
  <c r="AT25" i="1"/>
  <c r="AU25" i="1" s="1"/>
  <c r="AV25" i="1" s="1"/>
  <c r="AW25" i="1" s="1"/>
  <c r="AT13" i="1"/>
  <c r="AU13" i="1" s="1"/>
  <c r="AX13" i="1" s="1"/>
  <c r="AT17" i="1"/>
  <c r="AU17" i="1" s="1"/>
  <c r="AV17" i="1" s="1"/>
  <c r="AW17" i="1" s="1"/>
  <c r="AT26" i="1"/>
  <c r="AU26" i="1" s="1"/>
  <c r="AT14" i="1"/>
  <c r="AU14" i="1" s="1"/>
  <c r="AT19" i="1"/>
  <c r="AT9" i="1"/>
  <c r="AU9" i="1" s="1"/>
  <c r="AU19" i="1" l="1"/>
  <c r="AV19" i="1" s="1"/>
  <c r="AW19" i="1" s="1"/>
  <c r="AU22" i="1"/>
  <c r="AV22" i="1" s="1"/>
  <c r="AW22" i="1" s="1"/>
  <c r="AU24" i="1"/>
  <c r="AX24" i="1" s="1"/>
  <c r="AU18" i="1"/>
  <c r="AX18" i="1" s="1"/>
  <c r="AU23" i="1"/>
  <c r="AV23" i="1" s="1"/>
  <c r="AW23" i="1" s="1"/>
  <c r="AX17" i="1"/>
  <c r="AY17" i="1" s="1"/>
  <c r="AX21" i="1"/>
  <c r="AY21" i="1" s="1"/>
  <c r="AV16" i="1"/>
  <c r="AW16" i="1" s="1"/>
  <c r="AX16" i="1"/>
  <c r="AV27" i="1"/>
  <c r="AW27" i="1" s="1"/>
  <c r="AY27" i="1" s="1"/>
  <c r="AV13" i="1"/>
  <c r="AW13" i="1" s="1"/>
  <c r="AY13" i="1" s="1"/>
  <c r="AV26" i="1"/>
  <c r="AW26" i="1" s="1"/>
  <c r="AX26" i="1"/>
  <c r="AV15" i="1"/>
  <c r="AW15" i="1" s="1"/>
  <c r="AX15" i="1"/>
  <c r="AV28" i="1"/>
  <c r="AW28" i="1" s="1"/>
  <c r="AX28" i="1"/>
  <c r="AV11" i="1"/>
  <c r="AW11" i="1" s="1"/>
  <c r="AX11" i="1"/>
  <c r="AX25" i="1"/>
  <c r="AY25" i="1" s="1"/>
  <c r="AV9" i="1"/>
  <c r="AW9" i="1" s="1"/>
  <c r="AX9" i="1"/>
  <c r="AV14" i="1"/>
  <c r="AW14" i="1" s="1"/>
  <c r="AX14" i="1"/>
  <c r="AX20" i="1"/>
  <c r="AV20" i="1"/>
  <c r="AW20" i="1" s="1"/>
  <c r="AX12" i="1"/>
  <c r="AV12" i="1"/>
  <c r="AW12" i="1" s="1"/>
  <c r="AX22" i="1"/>
  <c r="AV10" i="1"/>
  <c r="AW10" i="1" s="1"/>
  <c r="AX10" i="1"/>
  <c r="AX19" i="1" l="1"/>
  <c r="AY19" i="1" s="1"/>
  <c r="AV24" i="1"/>
  <c r="AW24" i="1" s="1"/>
  <c r="AX23" i="1"/>
  <c r="AV18" i="1"/>
  <c r="AW18" i="1" s="1"/>
  <c r="AY28" i="1"/>
  <c r="AY26" i="1"/>
  <c r="AY16" i="1"/>
  <c r="B7" i="4"/>
  <c r="AY9" i="1"/>
  <c r="AY11" i="1"/>
  <c r="AY20" i="1"/>
  <c r="AY12" i="1"/>
  <c r="AY14" i="1"/>
  <c r="AY15" i="1"/>
  <c r="AY23" i="1"/>
  <c r="AY18" i="1"/>
  <c r="AY22" i="1"/>
  <c r="AY10" i="1"/>
  <c r="AY24" i="1"/>
  <c r="B8" i="4" l="1"/>
  <c r="B14" i="4"/>
  <c r="B15" i="4"/>
  <c r="B16" i="4"/>
</calcChain>
</file>

<file path=xl/sharedStrings.xml><?xml version="1.0" encoding="utf-8"?>
<sst xmlns="http://schemas.openxmlformats.org/spreadsheetml/2006/main" count="301" uniqueCount="162">
  <si>
    <t>Employees</t>
  </si>
  <si>
    <t>Monday</t>
  </si>
  <si>
    <t>Tuesday</t>
  </si>
  <si>
    <t>Wednesday</t>
  </si>
  <si>
    <t>Thursday</t>
  </si>
  <si>
    <t>Friday</t>
  </si>
  <si>
    <t>Saturday</t>
  </si>
  <si>
    <t>Sunday</t>
  </si>
  <si>
    <t>Department</t>
  </si>
  <si>
    <t>Position</t>
  </si>
  <si>
    <t>Basic Wage</t>
  </si>
  <si>
    <t>F&amp;B Sales</t>
  </si>
  <si>
    <t>Service charge</t>
  </si>
  <si>
    <t>Situation</t>
  </si>
  <si>
    <t>Employee 1</t>
  </si>
  <si>
    <t>Front Office</t>
  </si>
  <si>
    <t>Supervisor</t>
  </si>
  <si>
    <t>Married</t>
  </si>
  <si>
    <t>Employee 2</t>
  </si>
  <si>
    <t>Employee 3</t>
  </si>
  <si>
    <t>Employee 4</t>
  </si>
  <si>
    <t>Others</t>
  </si>
  <si>
    <t>Employee 5</t>
  </si>
  <si>
    <t>Worker</t>
  </si>
  <si>
    <t>Divorced/Widowed</t>
  </si>
  <si>
    <t>Employee 6</t>
  </si>
  <si>
    <t>Employee 7</t>
  </si>
  <si>
    <t>Manager</t>
  </si>
  <si>
    <t>Employee 8</t>
  </si>
  <si>
    <t>F&amp;B</t>
  </si>
  <si>
    <t>Employee 9</t>
  </si>
  <si>
    <t>Employee 10</t>
  </si>
  <si>
    <t>Employee 11</t>
  </si>
  <si>
    <t>Employee 12</t>
  </si>
  <si>
    <t>Single</t>
  </si>
  <si>
    <t>Employee 13</t>
  </si>
  <si>
    <t>Employee 14</t>
  </si>
  <si>
    <t>Employee 15</t>
  </si>
  <si>
    <t>Employee 16</t>
  </si>
  <si>
    <t>Employee 17</t>
  </si>
  <si>
    <t>Employee 18</t>
  </si>
  <si>
    <t>Employee 19</t>
  </si>
  <si>
    <t>Employee 20</t>
  </si>
  <si>
    <t>Hourly rate</t>
  </si>
  <si>
    <t>Basic wage</t>
  </si>
  <si>
    <t>Tax Free Allowance</t>
  </si>
  <si>
    <t>Housekeeping</t>
  </si>
  <si>
    <t>Start time</t>
  </si>
  <si>
    <t>End time</t>
  </si>
  <si>
    <t>Working week</t>
  </si>
  <si>
    <t>Standard</t>
  </si>
  <si>
    <t>Under 45</t>
  </si>
  <si>
    <t>Over 45 hours</t>
  </si>
  <si>
    <t>Ratio</t>
  </si>
  <si>
    <t>Week wage</t>
  </si>
  <si>
    <t>Number of children</t>
  </si>
  <si>
    <t>Tax free allowance (per child)</t>
  </si>
  <si>
    <t>Number of days worked</t>
  </si>
  <si>
    <t>Time cells per day</t>
  </si>
  <si>
    <t>Number of hours (from Monday to Saturday</t>
  </si>
  <si>
    <t>Number of hours (Sunday)</t>
  </si>
  <si>
    <t>Service charge (5%)</t>
  </si>
  <si>
    <t>Total F&amp;B workers hours</t>
  </si>
  <si>
    <t>F&amp;B workers hours</t>
  </si>
  <si>
    <t>Hotel occupancy</t>
  </si>
  <si>
    <t>Weeks in a year</t>
  </si>
  <si>
    <t>heures hors dimanche</t>
  </si>
  <si>
    <t>ratio semaine</t>
  </si>
  <si>
    <t>wage sem</t>
  </si>
  <si>
    <t>heures dimanche</t>
  </si>
  <si>
    <t>ratio dimanche</t>
  </si>
  <si>
    <t>wage dimanche</t>
  </si>
  <si>
    <t>Number of hours in a day</t>
  </si>
  <si>
    <t>Gross wage</t>
  </si>
  <si>
    <t>Hotel Sales</t>
  </si>
  <si>
    <t>Bonus managers</t>
  </si>
  <si>
    <t>Bonus managers (%)</t>
  </si>
  <si>
    <t>Bonus managers ($)</t>
  </si>
  <si>
    <t>Under 50%</t>
  </si>
  <si>
    <t>Under 70%</t>
  </si>
  <si>
    <t>Under 90%</t>
  </si>
  <si>
    <t>Over 90%</t>
  </si>
  <si>
    <t>Lowest occ rate/week</t>
  </si>
  <si>
    <t>Total Managers</t>
  </si>
  <si>
    <t>Bonus per manager</t>
  </si>
  <si>
    <t>Total Sales</t>
  </si>
  <si>
    <t>Labour cost bonus</t>
  </si>
  <si>
    <t>Labour costs workers</t>
  </si>
  <si>
    <t>Total labour costs workers</t>
  </si>
  <si>
    <t>Labour cost workers</t>
  </si>
  <si>
    <t>Labour cost to get bonus</t>
  </si>
  <si>
    <t>Taxable Income</t>
  </si>
  <si>
    <t>Total Gross Wages</t>
  </si>
  <si>
    <t>Total Overtime at time and a quarter (in currency)</t>
  </si>
  <si>
    <t>Total Overtime at time and a quarter (in hours and minutes)</t>
  </si>
  <si>
    <t>Total Overtime at  time and a half (in currency)</t>
  </si>
  <si>
    <t>Total Overtime at  time and a half (in hours and minutes)</t>
  </si>
  <si>
    <t>Number of people who worked overtime</t>
  </si>
  <si>
    <t>Total Income Tax collected</t>
  </si>
  <si>
    <t>Total Social Charges collected</t>
  </si>
  <si>
    <t>Total Net Wages</t>
  </si>
  <si>
    <t>Gross Wages excluding service, bonuses etc as a percentage of sales</t>
  </si>
  <si>
    <t>Gross Wages including service, bonuses etc as a percentage of sales</t>
  </si>
  <si>
    <t>Average Gross Wage (excluding overtime)</t>
  </si>
  <si>
    <t>Average Gross Wage (including overtime)</t>
  </si>
  <si>
    <t>Average Net Wage</t>
  </si>
  <si>
    <t>Highest Net Wage</t>
  </si>
  <si>
    <t>Lowest Net Wage</t>
  </si>
  <si>
    <t>Income Tax Rates</t>
  </si>
  <si>
    <t>Up to 8000</t>
  </si>
  <si>
    <t>Under 13000</t>
  </si>
  <si>
    <t>Up to 16500</t>
  </si>
  <si>
    <t>Under 50000</t>
  </si>
  <si>
    <t>Over 50000</t>
  </si>
  <si>
    <t>Unde 25000</t>
  </si>
  <si>
    <t>Under 110000</t>
  </si>
  <si>
    <t>Over 110000</t>
  </si>
  <si>
    <t>Standard working week</t>
  </si>
  <si>
    <t>Overtime hours</t>
  </si>
  <si>
    <t>Working hours (excluding overtime)</t>
  </si>
  <si>
    <t>Married/Divorced/Widowed</t>
  </si>
  <si>
    <t>Social charges</t>
  </si>
  <si>
    <t>Social Charges Rates</t>
  </si>
  <si>
    <t>Up to 40000</t>
  </si>
  <si>
    <t>Over 40000</t>
  </si>
  <si>
    <t>Income</t>
  </si>
  <si>
    <t>Income after Tax</t>
  </si>
  <si>
    <t>Tax Collected</t>
  </si>
  <si>
    <t>Total Weekly working time</t>
  </si>
  <si>
    <t>Working hours wages (excluding overtime)</t>
  </si>
  <si>
    <t>Working overtime hours wages</t>
  </si>
  <si>
    <t>Overtime Hours</t>
  </si>
  <si>
    <t>Standard working Hours 39h</t>
  </si>
  <si>
    <t>Overtime  under 45h</t>
  </si>
  <si>
    <t>Overtime over 45h</t>
  </si>
  <si>
    <t>Worked hours on Sunday</t>
  </si>
  <si>
    <t>TEST TOTAL WAGE</t>
  </si>
  <si>
    <t>Nom</t>
  </si>
  <si>
    <t>Employé 1</t>
  </si>
  <si>
    <t>Employé 2</t>
  </si>
  <si>
    <t>Employé 3</t>
  </si>
  <si>
    <t>Employé 4</t>
  </si>
  <si>
    <t>Employé 5</t>
  </si>
  <si>
    <t>Département</t>
  </si>
  <si>
    <t xml:space="preserve">Autre 1 </t>
  </si>
  <si>
    <t>Autre 2</t>
  </si>
  <si>
    <t>Positions</t>
  </si>
  <si>
    <t>Salaire</t>
  </si>
  <si>
    <t>Heures de semaine</t>
  </si>
  <si>
    <t>Heures du dimanche</t>
  </si>
  <si>
    <t>Prix horaire du département</t>
  </si>
  <si>
    <t>Les heures au dessus de 44  ou dès 45 (below 45 = 44)</t>
  </si>
  <si>
    <t>Les heures jusqu'à 39</t>
  </si>
  <si>
    <t>Majorées de 25 %</t>
  </si>
  <si>
    <t>Majorées de 50 %</t>
  </si>
  <si>
    <t>Fois le prix horaire du département</t>
  </si>
  <si>
    <t>Majoration pour position</t>
  </si>
  <si>
    <t>Les heures above 39 et below 45
(au maximum 5, soit 40, 41, 42, 43 et 44)</t>
  </si>
  <si>
    <t>Total des heures majorées 
y c. dimanches
Colonnes J + L + N + O</t>
  </si>
  <si>
    <t>Fois la majoration selon la position
IDEM COLONNE H</t>
  </si>
  <si>
    <r>
      <t xml:space="preserve">Nombre d'heures total </t>
    </r>
    <r>
      <rPr>
        <b/>
        <sz val="11"/>
        <color rgb="FFFF0000"/>
        <rFont val="Calibri"/>
        <family val="2"/>
      </rPr>
      <t>(dimanche à double)</t>
    </r>
  </si>
  <si>
    <t>y compris 2 x le dimanche, donc toutes les heures du dimanche participent à la majoration des heures sup.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</si>
</sst>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quot;"/>
    <numFmt numFmtId="165" formatCode="_-[$$-409]* #,##0.00_ ;_-[$$-409]* \-#,##0.00\ ;_-[$$-409]* &quot;-&quot;??_ ;_-@_ "/>
    <numFmt numFmtId="166" formatCode="0.000%"/>
    <numFmt numFmtId="167" formatCode="[$-F400]h:mm:ss\ AM/PM"/>
  </numFmts>
  <fonts count="12" x14ac:knownFonts="1">
    <font>
      <sz val="11"/>
      <color rgb="FF000000"/>
      <name val="Calibri"/>
      <family val="2"/>
    </font>
    <font>
      <b/>
      <sz val="11"/>
      <color rgb="FF000000"/>
      <name val="Calibri"/>
      <family val="2"/>
    </font>
    <font>
      <sz val="11"/>
      <color rgb="FF000000"/>
      <name val="Calibri"/>
      <family val="2"/>
    </font>
    <font>
      <sz val="11"/>
      <color theme="1"/>
      <name val="Calibri"/>
      <family val="2"/>
    </font>
    <font>
      <sz val="11"/>
      <name val="Calibri"/>
      <family val="2"/>
    </font>
    <font>
      <b/>
      <sz val="12"/>
      <color rgb="FF000000"/>
      <name val="Calibri"/>
      <family val="2"/>
    </font>
    <font>
      <b/>
      <sz val="14"/>
      <color rgb="FFFF0000"/>
      <name val="Calibri"/>
      <family val="2"/>
    </font>
    <font>
      <sz val="11"/>
      <color rgb="FF0000FF"/>
      <name val="Calibri"/>
      <family val="2"/>
    </font>
    <font>
      <b/>
      <sz val="11"/>
      <color rgb="FFFF0000"/>
      <name val="Calibri"/>
      <family val="2"/>
    </font>
    <font>
      <b/>
      <sz val="11"/>
      <color rgb="FF00B050"/>
      <name val="Calibri"/>
      <family val="2"/>
    </font>
    <font>
      <sz val="11"/>
      <color rgb="FF00B050"/>
      <name val="Calibri"/>
      <family val="2"/>
    </font>
    <font>
      <b/>
      <sz val="14"/>
      <color rgb="FF00B050"/>
      <name val="Calibri"/>
      <family val="2"/>
    </font>
  </fonts>
  <fills count="16">
    <fill>
      <patternFill patternType="none"/>
    </fill>
    <fill>
      <patternFill patternType="gray125"/>
    </fill>
    <fill>
      <patternFill patternType="solid">
        <fgColor rgb="FF4F81BD"/>
        <bgColor rgb="FF4F81BD"/>
      </patternFill>
    </fill>
    <fill>
      <patternFill patternType="solid">
        <fgColor rgb="FFC5D9F1"/>
        <bgColor rgb="FFC5D9F1"/>
      </patternFill>
    </fill>
    <fill>
      <patternFill patternType="solid">
        <fgColor rgb="FFFFFFFF"/>
        <bgColor rgb="FFFFFFFF"/>
      </patternFill>
    </fill>
    <fill>
      <patternFill patternType="solid">
        <fgColor rgb="FF963634"/>
        <bgColor rgb="FF963634"/>
      </patternFill>
    </fill>
    <fill>
      <patternFill patternType="solid">
        <fgColor rgb="FFDA9694"/>
        <bgColor rgb="FFDA9694"/>
      </patternFill>
    </fill>
    <fill>
      <patternFill patternType="solid">
        <fgColor theme="0"/>
        <bgColor rgb="FF4F81BD"/>
      </patternFill>
    </fill>
    <fill>
      <patternFill patternType="solid">
        <fgColor theme="0"/>
        <bgColor theme="4" tint="0.79998168889431442"/>
      </patternFill>
    </fill>
    <fill>
      <patternFill patternType="solid">
        <fgColor theme="5" tint="0.39997558519241921"/>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bgColor rgb="FFFFFFFF"/>
      </patternFill>
    </fill>
    <fill>
      <patternFill patternType="solid">
        <fgColor theme="5" tint="0.39997558519241921"/>
        <bgColor rgb="FF4F81BD"/>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double">
        <color indexed="64"/>
      </left>
      <right/>
      <top style="double">
        <color indexed="64"/>
      </top>
      <bottom style="thin">
        <color rgb="FF000000"/>
      </bottom>
      <diagonal/>
    </border>
    <border>
      <left/>
      <right style="double">
        <color indexed="64"/>
      </right>
      <top style="double">
        <color indexed="64"/>
      </top>
      <bottom style="thin">
        <color rgb="FF000000"/>
      </bottom>
      <diagonal/>
    </border>
    <border>
      <left style="double">
        <color indexed="64"/>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9" fontId="2" fillId="0" borderId="0" applyFont="0" applyFill="0" applyBorder="0" applyAlignment="0" applyProtection="0"/>
  </cellStyleXfs>
  <cellXfs count="115">
    <xf numFmtId="0" fontId="0" fillId="0" borderId="0" xfId="0"/>
    <xf numFmtId="0" fontId="0" fillId="2" borderId="1" xfId="0" applyFill="1" applyBorder="1"/>
    <xf numFmtId="0" fontId="0" fillId="0" borderId="1" xfId="0" applyBorder="1"/>
    <xf numFmtId="0" fontId="0" fillId="5" borderId="1" xfId="0" applyFill="1" applyBorder="1"/>
    <xf numFmtId="0" fontId="0" fillId="6" borderId="1" xfId="0" applyFill="1" applyBorder="1"/>
    <xf numFmtId="0" fontId="0" fillId="7" borderId="1" xfId="0" applyFill="1" applyBorder="1"/>
    <xf numFmtId="0" fontId="0" fillId="3" borderId="2" xfId="0" applyFill="1" applyBorder="1"/>
    <xf numFmtId="0" fontId="0" fillId="7" borderId="9" xfId="0" applyFill="1" applyBorder="1"/>
    <xf numFmtId="0" fontId="0" fillId="7" borderId="4" xfId="0" applyFill="1" applyBorder="1"/>
    <xf numFmtId="0" fontId="0" fillId="7" borderId="9" xfId="0" applyFill="1" applyBorder="1" applyAlignment="1">
      <alignment horizontal="center"/>
    </xf>
    <xf numFmtId="0" fontId="0" fillId="7" borderId="4" xfId="0" applyFill="1" applyBorder="1" applyAlignment="1">
      <alignment horizontal="center"/>
    </xf>
    <xf numFmtId="46" fontId="0" fillId="4" borderId="3" xfId="0" applyNumberFormat="1" applyFill="1" applyBorder="1"/>
    <xf numFmtId="0" fontId="0" fillId="0" borderId="10" xfId="0" applyBorder="1"/>
    <xf numFmtId="0" fontId="3" fillId="8" borderId="1" xfId="0" applyFont="1" applyFill="1" applyBorder="1"/>
    <xf numFmtId="0" fontId="0" fillId="0" borderId="11" xfId="0" applyBorder="1"/>
    <xf numFmtId="0" fontId="0" fillId="0" borderId="12" xfId="0" applyBorder="1"/>
    <xf numFmtId="0" fontId="0" fillId="6" borderId="10" xfId="0" applyFill="1" applyBorder="1"/>
    <xf numFmtId="0" fontId="0" fillId="0" borderId="0" xfId="0" applyFill="1" applyBorder="1"/>
    <xf numFmtId="0" fontId="0" fillId="0" borderId="10" xfId="0" applyFill="1" applyBorder="1"/>
    <xf numFmtId="0" fontId="0" fillId="9" borderId="10" xfId="0" applyFill="1" applyBorder="1"/>
    <xf numFmtId="164" fontId="0" fillId="0" borderId="10" xfId="0" applyNumberFormat="1" applyBorder="1"/>
    <xf numFmtId="0" fontId="0" fillId="0" borderId="13" xfId="0" applyBorder="1" applyAlignment="1"/>
    <xf numFmtId="0" fontId="0" fillId="0" borderId="12" xfId="0" applyBorder="1" applyAlignment="1"/>
    <xf numFmtId="46" fontId="0" fillId="0" borderId="10" xfId="0" applyNumberFormat="1" applyBorder="1"/>
    <xf numFmtId="0" fontId="0" fillId="3" borderId="10" xfId="0" applyFill="1" applyBorder="1"/>
    <xf numFmtId="0" fontId="4" fillId="0" borderId="10" xfId="0" applyFont="1" applyBorder="1"/>
    <xf numFmtId="17" fontId="0" fillId="0" borderId="0" xfId="0" applyNumberFormat="1"/>
    <xf numFmtId="46" fontId="0" fillId="0" borderId="0" xfId="0" applyNumberFormat="1"/>
    <xf numFmtId="9" fontId="0" fillId="0" borderId="0" xfId="0" applyNumberFormat="1"/>
    <xf numFmtId="164" fontId="0" fillId="0" borderId="0" xfId="0" applyNumberFormat="1"/>
    <xf numFmtId="0" fontId="0" fillId="0" borderId="0" xfId="0" applyNumberFormat="1" applyBorder="1"/>
    <xf numFmtId="9" fontId="0" fillId="0" borderId="10" xfId="1" applyFont="1" applyBorder="1"/>
    <xf numFmtId="46" fontId="0" fillId="7" borderId="2" xfId="0" applyNumberFormat="1" applyFill="1" applyBorder="1"/>
    <xf numFmtId="165" fontId="0" fillId="9" borderId="10" xfId="0" applyNumberFormat="1" applyFill="1" applyBorder="1"/>
    <xf numFmtId="165" fontId="3" fillId="8" borderId="1" xfId="0" applyNumberFormat="1" applyFont="1" applyFill="1" applyBorder="1"/>
    <xf numFmtId="165" fontId="3" fillId="8" borderId="2" xfId="0" applyNumberFormat="1" applyFont="1" applyFill="1" applyBorder="1"/>
    <xf numFmtId="0" fontId="0" fillId="2" borderId="2" xfId="0" applyFill="1" applyBorder="1"/>
    <xf numFmtId="46" fontId="0" fillId="7" borderId="15" xfId="0" applyNumberFormat="1" applyFill="1" applyBorder="1"/>
    <xf numFmtId="19" fontId="0" fillId="7" borderId="15" xfId="0" applyNumberFormat="1" applyFill="1" applyBorder="1"/>
    <xf numFmtId="0" fontId="0" fillId="7" borderId="15" xfId="0" applyFill="1" applyBorder="1"/>
    <xf numFmtId="0" fontId="0" fillId="2" borderId="10" xfId="0" applyFill="1" applyBorder="1"/>
    <xf numFmtId="0" fontId="0" fillId="0" borderId="10" xfId="0" applyNumberFormat="1" applyBorder="1"/>
    <xf numFmtId="0" fontId="0" fillId="0" borderId="0" xfId="0" applyNumberFormat="1"/>
    <xf numFmtId="165" fontId="0" fillId="0" borderId="0" xfId="0" applyNumberFormat="1"/>
    <xf numFmtId="0" fontId="0" fillId="2" borderId="0" xfId="0" applyFill="1" applyBorder="1"/>
    <xf numFmtId="165" fontId="0" fillId="10" borderId="10" xfId="0" applyNumberFormat="1" applyFill="1" applyBorder="1"/>
    <xf numFmtId="165" fontId="0" fillId="0" borderId="10" xfId="0" applyNumberFormat="1" applyBorder="1"/>
    <xf numFmtId="0" fontId="0" fillId="0" borderId="0" xfId="0" applyBorder="1"/>
    <xf numFmtId="0" fontId="0" fillId="7" borderId="10" xfId="0" applyFill="1" applyBorder="1"/>
    <xf numFmtId="9" fontId="0" fillId="0" borderId="10" xfId="0" applyNumberFormat="1" applyBorder="1"/>
    <xf numFmtId="166" fontId="0" fillId="0" borderId="10" xfId="0" applyNumberFormat="1" applyBorder="1"/>
    <xf numFmtId="10" fontId="0" fillId="0" borderId="10" xfId="0" applyNumberFormat="1" applyBorder="1"/>
    <xf numFmtId="166" fontId="0" fillId="0" borderId="10" xfId="1" applyNumberFormat="1" applyFont="1" applyBorder="1"/>
    <xf numFmtId="10" fontId="0" fillId="0" borderId="0" xfId="0" applyNumberFormat="1"/>
    <xf numFmtId="0" fontId="5" fillId="0" borderId="10" xfId="0" applyFont="1" applyBorder="1" applyAlignment="1">
      <alignment horizontal="left" vertical="center" indent="1"/>
    </xf>
    <xf numFmtId="0" fontId="0" fillId="5" borderId="0" xfId="0" applyFill="1" applyBorder="1"/>
    <xf numFmtId="0" fontId="0" fillId="4" borderId="11" xfId="0" applyNumberFormat="1" applyFill="1" applyBorder="1" applyAlignment="1">
      <alignment horizontal="center"/>
    </xf>
    <xf numFmtId="167" fontId="0" fillId="0" borderId="0" xfId="0" applyNumberFormat="1"/>
    <xf numFmtId="2" fontId="0" fillId="0" borderId="10" xfId="0" applyNumberFormat="1" applyBorder="1"/>
    <xf numFmtId="0" fontId="0" fillId="11" borderId="10" xfId="0" applyFill="1" applyBorder="1"/>
    <xf numFmtId="0" fontId="0" fillId="12" borderId="10" xfId="0" applyFill="1" applyBorder="1"/>
    <xf numFmtId="0" fontId="4" fillId="12" borderId="10" xfId="0" applyFont="1" applyFill="1" applyBorder="1"/>
    <xf numFmtId="0" fontId="0" fillId="12" borderId="11" xfId="0" applyFill="1" applyBorder="1" applyAlignment="1"/>
    <xf numFmtId="0" fontId="0" fillId="13" borderId="10" xfId="0" applyFill="1" applyBorder="1"/>
    <xf numFmtId="21" fontId="0" fillId="0" borderId="10" xfId="0" applyNumberFormat="1" applyBorder="1"/>
    <xf numFmtId="46" fontId="0" fillId="4" borderId="10" xfId="0" applyNumberFormat="1" applyFill="1" applyBorder="1" applyAlignment="1">
      <alignment horizontal="center"/>
    </xf>
    <xf numFmtId="46" fontId="0" fillId="14" borderId="3" xfId="0" applyNumberFormat="1" applyFill="1" applyBorder="1"/>
    <xf numFmtId="46" fontId="0" fillId="4" borderId="14" xfId="0" applyNumberFormat="1" applyFill="1" applyBorder="1"/>
    <xf numFmtId="0" fontId="0" fillId="2" borderId="3" xfId="0" applyFill="1" applyBorder="1"/>
    <xf numFmtId="0" fontId="0" fillId="7" borderId="3" xfId="0" applyFill="1" applyBorder="1"/>
    <xf numFmtId="46" fontId="0" fillId="14" borderId="14" xfId="0" applyNumberFormat="1" applyFill="1" applyBorder="1"/>
    <xf numFmtId="167" fontId="0" fillId="4" borderId="4" xfId="0" applyNumberFormat="1" applyFill="1" applyBorder="1" applyAlignment="1">
      <alignment horizontal="center"/>
    </xf>
    <xf numFmtId="167" fontId="0" fillId="4" borderId="2" xfId="0" applyNumberFormat="1" applyFill="1" applyBorder="1" applyAlignment="1">
      <alignment horizontal="center"/>
    </xf>
    <xf numFmtId="165" fontId="0" fillId="4" borderId="0" xfId="0" applyNumberFormat="1" applyFill="1" applyBorder="1" applyAlignment="1">
      <alignment horizontal="center"/>
    </xf>
    <xf numFmtId="0" fontId="0" fillId="2" borderId="16" xfId="0" applyFill="1" applyBorder="1" applyAlignment="1">
      <alignment horizontal="center" vertical="center" wrapText="1"/>
    </xf>
    <xf numFmtId="0" fontId="0" fillId="2" borderId="15" xfId="0" applyFill="1" applyBorder="1" applyAlignment="1">
      <alignment horizontal="center" vertical="center" wrapText="1"/>
    </xf>
    <xf numFmtId="0" fontId="0" fillId="0" borderId="0" xfId="0" applyAlignment="1"/>
    <xf numFmtId="0" fontId="0" fillId="2" borderId="19" xfId="0" applyFill="1" applyBorder="1" applyAlignment="1">
      <alignment horizontal="center" vertical="center" wrapText="1"/>
    </xf>
    <xf numFmtId="0" fontId="0" fillId="2" borderId="20" xfId="0" applyFill="1" applyBorder="1" applyAlignment="1">
      <alignment horizontal="center" vertical="center" wrapText="1"/>
    </xf>
    <xf numFmtId="167" fontId="0" fillId="4" borderId="11" xfId="0" applyNumberFormat="1" applyFill="1" applyBorder="1" applyAlignment="1">
      <alignment horizontal="center"/>
    </xf>
    <xf numFmtId="0" fontId="6" fillId="15" borderId="16" xfId="0" applyFont="1" applyFill="1" applyBorder="1" applyAlignment="1">
      <alignment horizontal="center" vertical="center" wrapText="1"/>
    </xf>
    <xf numFmtId="0" fontId="6" fillId="15" borderId="15" xfId="0" applyFont="1" applyFill="1" applyBorder="1" applyAlignment="1">
      <alignment horizontal="center" vertical="center" wrapText="1"/>
    </xf>
    <xf numFmtId="1" fontId="0" fillId="0" borderId="0" xfId="0" applyNumberFormat="1"/>
    <xf numFmtId="0" fontId="7" fillId="0" borderId="0" xfId="0" applyFont="1"/>
    <xf numFmtId="0" fontId="1" fillId="0" borderId="0" xfId="0" applyFont="1" applyAlignment="1">
      <alignment horizontal="center" vertical="center" wrapText="1"/>
    </xf>
    <xf numFmtId="2" fontId="0" fillId="0" borderId="0" xfId="0" applyNumberFormat="1"/>
    <xf numFmtId="0" fontId="9" fillId="0" borderId="0" xfId="0" applyFont="1" applyAlignment="1">
      <alignment horizontal="center" vertical="center" wrapText="1"/>
    </xf>
    <xf numFmtId="0" fontId="10"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0" xfId="0" applyFont="1" applyAlignment="1">
      <alignment horizontal="center"/>
    </xf>
    <xf numFmtId="0" fontId="10" fillId="0" borderId="23" xfId="0" applyFont="1" applyBorder="1" applyAlignment="1">
      <alignment horizontal="center"/>
    </xf>
    <xf numFmtId="0" fontId="9" fillId="0" borderId="19" xfId="0" applyFont="1" applyBorder="1" applyAlignment="1">
      <alignment horizontal="center"/>
    </xf>
    <xf numFmtId="0" fontId="9" fillId="0" borderId="0" xfId="0" applyFont="1"/>
    <xf numFmtId="2" fontId="9" fillId="0" borderId="0" xfId="0" applyNumberFormat="1" applyFont="1"/>
    <xf numFmtId="0" fontId="10" fillId="0" borderId="24" xfId="0" applyFont="1" applyBorder="1" applyAlignment="1">
      <alignment horizontal="center"/>
    </xf>
    <xf numFmtId="0" fontId="9" fillId="0" borderId="20" xfId="0" applyFont="1" applyBorder="1" applyAlignment="1">
      <alignment horizontal="center"/>
    </xf>
    <xf numFmtId="0" fontId="10" fillId="0" borderId="0" xfId="0" applyFont="1" applyAlignment="1">
      <alignment horizontal="center"/>
    </xf>
    <xf numFmtId="0" fontId="10" fillId="0" borderId="0" xfId="0" applyFont="1"/>
    <xf numFmtId="0" fontId="0" fillId="2" borderId="16" xfId="0" applyFill="1" applyBorder="1" applyAlignment="1">
      <alignment horizontal="center" vertical="center"/>
    </xf>
    <xf numFmtId="0" fontId="0" fillId="2" borderId="15" xfId="0" applyFill="1" applyBorder="1" applyAlignment="1">
      <alignment horizontal="center" vertical="center"/>
    </xf>
    <xf numFmtId="0" fontId="0" fillId="2" borderId="17"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0" xfId="0"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0" fillId="2" borderId="7" xfId="0" applyFill="1" applyBorder="1" applyAlignment="1">
      <alignment horizontal="center"/>
    </xf>
    <xf numFmtId="0" fontId="0" fillId="2" borderId="8" xfId="0" applyFill="1" applyBorder="1" applyAlignment="1">
      <alignment horizontal="center"/>
    </xf>
    <xf numFmtId="0" fontId="0" fillId="12" borderId="10" xfId="0" applyFill="1" applyBorder="1" applyAlignment="1">
      <alignment horizontal="center"/>
    </xf>
    <xf numFmtId="0" fontId="0" fillId="0" borderId="0" xfId="0" applyBorder="1" applyAlignment="1">
      <alignment horizontal="center"/>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cellXfs>
  <cellStyles count="2">
    <cellStyle name="Normal" xfId="0" builtinId="0" customBuiltin="1"/>
    <cellStyle name="Pourcentage" xfId="1" builtinId="5"/>
  </cellStyles>
  <dxfs count="5">
    <dxf>
      <fill>
        <patternFill patternType="darkUp">
          <bgColor theme="0" tint="-0.3499862666707357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219075</xdr:colOff>
      <xdr:row>41</xdr:row>
      <xdr:rowOff>38100</xdr:rowOff>
    </xdr:from>
    <xdr:to>
      <xdr:col>14</xdr:col>
      <xdr:colOff>866775</xdr:colOff>
      <xdr:row>53</xdr:row>
      <xdr:rowOff>180975</xdr:rowOff>
    </xdr:to>
    <xdr:sp macro="" textlink="">
      <xdr:nvSpPr>
        <xdr:cNvPr id="3" name="TextBox 2"/>
        <xdr:cNvSpPr txBox="1"/>
      </xdr:nvSpPr>
      <xdr:spPr>
        <a:xfrm>
          <a:off x="1438275" y="7867650"/>
          <a:ext cx="6553200" cy="2428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 qui</a:t>
          </a:r>
          <a:r>
            <a:rPr lang="fr-FR" sz="1100" baseline="0"/>
            <a:t> ne fonctionne pas :</a:t>
          </a:r>
        </a:p>
        <a:p>
          <a:r>
            <a:rPr lang="fr-FR" sz="1100" baseline="0"/>
            <a:t>Format time incorrect quand changement</a:t>
          </a:r>
        </a:p>
        <a:p>
          <a:r>
            <a:rPr lang="fr-FR" sz="1100" baseline="0"/>
            <a:t>End time permet de dépasser minuit</a:t>
          </a:r>
        </a:p>
        <a:p>
          <a:r>
            <a:rPr lang="fr-FR" sz="1100" baseline="0"/>
            <a:t>Pas de warning quand 7/7</a:t>
          </a:r>
        </a:p>
        <a:p>
          <a:endParaRPr lang="fr-FR"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1114425</xdr:colOff>
      <xdr:row>9</xdr:row>
      <xdr:rowOff>0</xdr:rowOff>
    </xdr:from>
    <xdr:to>
      <xdr:col>14</xdr:col>
      <xdr:colOff>571500</xdr:colOff>
      <xdr:row>20</xdr:row>
      <xdr:rowOff>47625</xdr:rowOff>
    </xdr:to>
    <xdr:sp macro="" textlink="">
      <xdr:nvSpPr>
        <xdr:cNvPr id="2" name="TextBox 1"/>
        <xdr:cNvSpPr txBox="1"/>
      </xdr:nvSpPr>
      <xdr:spPr>
        <a:xfrm>
          <a:off x="7172325" y="1524000"/>
          <a:ext cx="6057900" cy="2143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u="sng"/>
            <a:t>E.g</a:t>
          </a:r>
          <a:r>
            <a:rPr lang="fr-FR" sz="1100" u="sng" baseline="0"/>
            <a:t> : Manager housekeeping, 46h de travail dans la semaine dont 2h le dimanche : </a:t>
          </a:r>
          <a:r>
            <a:rPr lang="fr-FR" sz="1100" u="none" baseline="0"/>
            <a:t>Voila le résultat souhaité :</a:t>
          </a:r>
        </a:p>
        <a:p>
          <a:endParaRPr lang="fr-FR" sz="1100" u="none" baseline="0"/>
        </a:p>
        <a:p>
          <a:r>
            <a:rPr lang="fr-FR" sz="1100" u="none" baseline="0"/>
            <a:t>(39*10,5)+(5*10,5*1,25)+(1*10,5*2,5)+(1*10,5*3)=532,875</a:t>
          </a:r>
        </a:p>
        <a:p>
          <a:endParaRPr lang="fr-FR" sz="1100" u="none" baseline="0"/>
        </a:p>
        <a:p>
          <a:r>
            <a:rPr lang="fr-FR" sz="1100" u="none" baseline="0"/>
            <a:t>Voila la logique : </a:t>
          </a:r>
        </a:p>
        <a:p>
          <a:r>
            <a:rPr lang="fr-FR" sz="1100" u="none" baseline="0"/>
            <a:t>(1)39h à 10,5e/h (parceque 7*1,5)</a:t>
          </a:r>
        </a:p>
        <a:p>
          <a:r>
            <a:rPr lang="fr-FR" sz="1100" u="none" baseline="0"/>
            <a:t>(2)5h multiplié par 10,5e/h multiplié par 1,25 (taux majoration heure supp. inf à45h)</a:t>
          </a:r>
        </a:p>
        <a:p>
          <a:r>
            <a:rPr lang="fr-FR" sz="1100" u="none" baseline="0"/>
            <a:t>(3) 1h multiplié par 10,5e/h multiplié par 2,5 (comme précédent mais majoré parce que dimanche)</a:t>
          </a:r>
        </a:p>
        <a:p>
          <a:r>
            <a:rPr lang="fr-FR" sz="1100" u="none" baseline="0"/>
            <a:t>(4) 1h multiplié par 10,5e/h multiplié par 3 (taux majoration heure supp. sup  à 45h et majoration travail le dimanche</a:t>
          </a:r>
        </a:p>
        <a:p>
          <a:endParaRPr lang="fr-FR" sz="1100" u="none" baseline="0"/>
        </a:p>
      </xdr:txBody>
    </xdr:sp>
    <xdr:clientData/>
  </xdr:twoCellAnchor>
  <xdr:twoCellAnchor>
    <xdr:from>
      <xdr:col>11</xdr:col>
      <xdr:colOff>66675</xdr:colOff>
      <xdr:row>1</xdr:row>
      <xdr:rowOff>285750</xdr:rowOff>
    </xdr:from>
    <xdr:to>
      <xdr:col>13</xdr:col>
      <xdr:colOff>85725</xdr:colOff>
      <xdr:row>6</xdr:row>
      <xdr:rowOff>0</xdr:rowOff>
    </xdr:to>
    <xdr:sp macro="" textlink="">
      <xdr:nvSpPr>
        <xdr:cNvPr id="4" name="TextBox 3"/>
        <xdr:cNvSpPr txBox="1"/>
      </xdr:nvSpPr>
      <xdr:spPr>
        <a:xfrm>
          <a:off x="8991600" y="476250"/>
          <a:ext cx="3143250"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INFO : Grâce à la colonne AJ de la sheet1,</a:t>
          </a:r>
          <a:r>
            <a:rPr lang="fr-FR" sz="1100" baseline="0"/>
            <a:t> nous avons le résultat du tableau 2*tableau3 :</a:t>
          </a:r>
        </a:p>
        <a:p>
          <a:endParaRPr lang="fr-FR" sz="1100" baseline="0"/>
        </a:p>
        <a:p>
          <a:r>
            <a:rPr lang="fr-FR" sz="1100" baseline="0"/>
            <a:t>Dans l'exemple ci-dessous : Manager *Housekeeping = 1,5*7= 10,5</a:t>
          </a:r>
          <a:endParaRPr lang="fr-FR" sz="1100"/>
        </a:p>
      </xdr:txBody>
    </xdr:sp>
    <xdr:clientData/>
  </xdr:twoCellAnchor>
  <xdr:twoCellAnchor>
    <xdr:from>
      <xdr:col>1</xdr:col>
      <xdr:colOff>247650</xdr:colOff>
      <xdr:row>3</xdr:row>
      <xdr:rowOff>142875</xdr:rowOff>
    </xdr:from>
    <xdr:to>
      <xdr:col>2</xdr:col>
      <xdr:colOff>523875</xdr:colOff>
      <xdr:row>5</xdr:row>
      <xdr:rowOff>0</xdr:rowOff>
    </xdr:to>
    <xdr:sp macro="" textlink="">
      <xdr:nvSpPr>
        <xdr:cNvPr id="5" name="TextBox 4"/>
        <xdr:cNvSpPr txBox="1"/>
      </xdr:nvSpPr>
      <xdr:spPr>
        <a:xfrm>
          <a:off x="857250" y="1143000"/>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1</a:t>
          </a:r>
        </a:p>
        <a:p>
          <a:endParaRPr lang="fr-FR" sz="1100"/>
        </a:p>
      </xdr:txBody>
    </xdr:sp>
    <xdr:clientData/>
  </xdr:twoCellAnchor>
  <xdr:twoCellAnchor>
    <xdr:from>
      <xdr:col>1</xdr:col>
      <xdr:colOff>190500</xdr:colOff>
      <xdr:row>9</xdr:row>
      <xdr:rowOff>152400</xdr:rowOff>
    </xdr:from>
    <xdr:to>
      <xdr:col>2</xdr:col>
      <xdr:colOff>466725</xdr:colOff>
      <xdr:row>11</xdr:row>
      <xdr:rowOff>9525</xdr:rowOff>
    </xdr:to>
    <xdr:sp macro="" textlink="">
      <xdr:nvSpPr>
        <xdr:cNvPr id="6" name="TextBox 5"/>
        <xdr:cNvSpPr txBox="1"/>
      </xdr:nvSpPr>
      <xdr:spPr>
        <a:xfrm>
          <a:off x="800100" y="229552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2</a:t>
          </a:r>
        </a:p>
        <a:p>
          <a:endParaRPr lang="fr-FR" sz="1100"/>
        </a:p>
      </xdr:txBody>
    </xdr:sp>
    <xdr:clientData/>
  </xdr:twoCellAnchor>
  <xdr:twoCellAnchor>
    <xdr:from>
      <xdr:col>1</xdr:col>
      <xdr:colOff>95250</xdr:colOff>
      <xdr:row>14</xdr:row>
      <xdr:rowOff>133350</xdr:rowOff>
    </xdr:from>
    <xdr:to>
      <xdr:col>2</xdr:col>
      <xdr:colOff>371475</xdr:colOff>
      <xdr:row>15</xdr:row>
      <xdr:rowOff>180975</xdr:rowOff>
    </xdr:to>
    <xdr:sp macro="" textlink="">
      <xdr:nvSpPr>
        <xdr:cNvPr id="7" name="TextBox 6"/>
        <xdr:cNvSpPr txBox="1"/>
      </xdr:nvSpPr>
      <xdr:spPr>
        <a:xfrm>
          <a:off x="704850" y="322897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3</a:t>
          </a:r>
        </a:p>
        <a:p>
          <a:endParaRPr lang="fr-FR" sz="1100"/>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5</xdr:row>
      <xdr:rowOff>142875</xdr:rowOff>
    </xdr:from>
    <xdr:to>
      <xdr:col>3</xdr:col>
      <xdr:colOff>523875</xdr:colOff>
      <xdr:row>7</xdr:row>
      <xdr:rowOff>0</xdr:rowOff>
    </xdr:to>
    <xdr:sp macro="" textlink="">
      <xdr:nvSpPr>
        <xdr:cNvPr id="2" name="TextBox 1"/>
        <xdr:cNvSpPr txBox="1"/>
      </xdr:nvSpPr>
      <xdr:spPr>
        <a:xfrm>
          <a:off x="857250" y="1143000"/>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1</a:t>
          </a:r>
        </a:p>
        <a:p>
          <a:endParaRPr lang="fr-FR" sz="1100"/>
        </a:p>
      </xdr:txBody>
    </xdr:sp>
    <xdr:clientData/>
  </xdr:twoCellAnchor>
  <xdr:twoCellAnchor>
    <xdr:from>
      <xdr:col>2</xdr:col>
      <xdr:colOff>190500</xdr:colOff>
      <xdr:row>11</xdr:row>
      <xdr:rowOff>152400</xdr:rowOff>
    </xdr:from>
    <xdr:to>
      <xdr:col>3</xdr:col>
      <xdr:colOff>466725</xdr:colOff>
      <xdr:row>13</xdr:row>
      <xdr:rowOff>9525</xdr:rowOff>
    </xdr:to>
    <xdr:sp macro="" textlink="">
      <xdr:nvSpPr>
        <xdr:cNvPr id="3" name="TextBox 2"/>
        <xdr:cNvSpPr txBox="1"/>
      </xdr:nvSpPr>
      <xdr:spPr>
        <a:xfrm>
          <a:off x="800100" y="229552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2</a:t>
          </a:r>
        </a:p>
        <a:p>
          <a:endParaRPr lang="fr-FR" sz="1100"/>
        </a:p>
      </xdr:txBody>
    </xdr:sp>
    <xdr:clientData/>
  </xdr:twoCellAnchor>
  <xdr:twoCellAnchor>
    <xdr:from>
      <xdr:col>2</xdr:col>
      <xdr:colOff>95250</xdr:colOff>
      <xdr:row>16</xdr:row>
      <xdr:rowOff>133350</xdr:rowOff>
    </xdr:from>
    <xdr:to>
      <xdr:col>3</xdr:col>
      <xdr:colOff>371475</xdr:colOff>
      <xdr:row>17</xdr:row>
      <xdr:rowOff>180975</xdr:rowOff>
    </xdr:to>
    <xdr:sp macro="" textlink="">
      <xdr:nvSpPr>
        <xdr:cNvPr id="4" name="TextBox 3"/>
        <xdr:cNvSpPr txBox="1"/>
      </xdr:nvSpPr>
      <xdr:spPr>
        <a:xfrm>
          <a:off x="704850" y="322897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3</a:t>
          </a:r>
        </a:p>
        <a:p>
          <a:endParaRPr lang="fr-FR" sz="1100"/>
        </a:p>
        <a:p>
          <a:endParaRPr lang="fr-FR" sz="1100"/>
        </a:p>
      </xdr:txBody>
    </xdr:sp>
    <xdr:clientData/>
  </xdr:twoCellAnchor>
  <xdr:twoCellAnchor>
    <xdr:from>
      <xdr:col>1</xdr:col>
      <xdr:colOff>142875</xdr:colOff>
      <xdr:row>27</xdr:row>
      <xdr:rowOff>152399</xdr:rowOff>
    </xdr:from>
    <xdr:to>
      <xdr:col>6</xdr:col>
      <xdr:colOff>266700</xdr:colOff>
      <xdr:row>48</xdr:row>
      <xdr:rowOff>9525</xdr:rowOff>
    </xdr:to>
    <xdr:sp macro="" textlink="">
      <xdr:nvSpPr>
        <xdr:cNvPr id="8" name="TextBox 7"/>
        <xdr:cNvSpPr txBox="1"/>
      </xdr:nvSpPr>
      <xdr:spPr>
        <a:xfrm>
          <a:off x="752475" y="5295899"/>
          <a:ext cx="5257800" cy="3857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1100" u="sng">
              <a:solidFill>
                <a:schemeClr val="dk1"/>
              </a:solidFill>
              <a:effectLst/>
              <a:latin typeface="+mn-lt"/>
              <a:ea typeface="+mn-ea"/>
              <a:cs typeface="+mn-cs"/>
            </a:rPr>
            <a:t>E.g</a:t>
          </a:r>
          <a:r>
            <a:rPr lang="fr-FR" sz="1100" u="sng" baseline="0">
              <a:solidFill>
                <a:schemeClr val="dk1"/>
              </a:solidFill>
              <a:effectLst/>
              <a:latin typeface="+mn-lt"/>
              <a:ea typeface="+mn-ea"/>
              <a:cs typeface="+mn-cs"/>
            </a:rPr>
            <a:t> : Manager housekeeping, 46h de travail dans la semaine dont 2h le dimanche : </a:t>
          </a:r>
          <a:r>
            <a:rPr lang="fr-FR" sz="1100" baseline="0">
              <a:solidFill>
                <a:schemeClr val="dk1"/>
              </a:solidFill>
              <a:effectLst/>
              <a:latin typeface="+mn-lt"/>
              <a:ea typeface="+mn-ea"/>
              <a:cs typeface="+mn-cs"/>
            </a:rPr>
            <a:t>Voila le résultat souhaité :</a:t>
          </a:r>
          <a:endParaRPr lang="fr-FR">
            <a:effectLst/>
          </a:endParaRPr>
        </a:p>
        <a:p>
          <a:endParaRPr lang="fr-FR" sz="1100"/>
        </a:p>
        <a:p>
          <a:r>
            <a:rPr lang="fr-FR" sz="1100"/>
            <a:t>Dans l</a:t>
          </a:r>
          <a:r>
            <a:rPr lang="fr-FR" sz="1100" baseline="0"/>
            <a:t>a cellule AD9 de "Henri's Hotel", je voudrais </a:t>
          </a:r>
          <a:r>
            <a:rPr lang="fr-FR" sz="1100" b="1" baseline="0"/>
            <a:t>532,875</a:t>
          </a:r>
          <a:r>
            <a:rPr lang="fr-FR" sz="1100" baseline="0"/>
            <a:t> sur la base du calcul suivant : </a:t>
          </a:r>
        </a:p>
        <a:p>
          <a:r>
            <a:rPr lang="fr-FR" sz="1100" baseline="0"/>
            <a:t>39h (cellule AA9)* 10,5 (cellule  AJ9 parce que "manager housekeeping")</a:t>
          </a:r>
        </a:p>
        <a:p>
          <a:r>
            <a:rPr lang="fr-FR" sz="1100" baseline="0"/>
            <a:t>+ 5h </a:t>
          </a:r>
          <a:r>
            <a:rPr lang="fr-FR" sz="1100" baseline="0">
              <a:solidFill>
                <a:sysClr val="windowText" lastClr="000000"/>
              </a:solidFill>
            </a:rPr>
            <a:t>(cellules Z9-Y9)</a:t>
          </a:r>
          <a:r>
            <a:rPr lang="fr-FR" sz="1100" baseline="0"/>
            <a:t>* 10,5 (cellule AJ9 parce que "manager housekeeping")*1,25 (cellule H8 " Sheet Exemple2/Tableau 1" parce que majoration heure supp.)</a:t>
          </a:r>
        </a:p>
        <a:p>
          <a:r>
            <a:rPr lang="fr-FR" sz="1100" baseline="0">
              <a:solidFill>
                <a:srgbClr val="FF0000"/>
              </a:solidFill>
            </a:rPr>
            <a:t>+1h </a:t>
          </a:r>
          <a:r>
            <a:rPr lang="fr-FR" sz="1100" baseline="0"/>
            <a:t>*10,5 (</a:t>
          </a:r>
          <a:r>
            <a:rPr lang="fr-FR" sz="1100" baseline="0">
              <a:solidFill>
                <a:schemeClr val="dk1"/>
              </a:solidFill>
              <a:effectLst/>
              <a:latin typeface="+mn-lt"/>
              <a:ea typeface="+mn-ea"/>
              <a:cs typeface="+mn-cs"/>
            </a:rPr>
            <a:t>cellule AJ9 parce que "manager housekeeping")*2,5(cellule K8 "Sheet Exemple2/Tableau1" parce que majoration heure supp. CUMULEE à majoration dimanche)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rgbClr val="FF0000"/>
              </a:solidFill>
              <a:effectLst/>
              <a:latin typeface="+mn-lt"/>
              <a:ea typeface="+mn-ea"/>
              <a:cs typeface="+mn-cs"/>
            </a:rPr>
            <a:t>+1h </a:t>
          </a:r>
          <a:r>
            <a:rPr lang="fr-FR" sz="1100" baseline="0">
              <a:solidFill>
                <a:schemeClr val="dk1"/>
              </a:solidFill>
              <a:effectLst/>
              <a:latin typeface="+mn-lt"/>
              <a:ea typeface="+mn-ea"/>
              <a:cs typeface="+mn-cs"/>
            </a:rPr>
            <a:t>*10,5 (cellule AJ9 parce que "manager housekeeping")*3(cellule K9 "Sheet Exemple2/Tableau1" parce que majoration heure supp. sup à 45h CUMULEE à majoration dimanche)</a:t>
          </a:r>
          <a:endParaRPr lang="fr-FR">
            <a:effectLst/>
          </a:endParaRPr>
        </a:p>
        <a:p>
          <a:endParaRPr lang="fr-FR" sz="1100" baseline="0">
            <a:solidFill>
              <a:srgbClr val="FF0000"/>
            </a:solidFill>
          </a:endParaRPr>
        </a:p>
        <a:p>
          <a:endParaRPr lang="fr-FR" sz="1100" baseline="0"/>
        </a:p>
        <a:p>
          <a:endParaRPr lang="fr-FR" sz="1100" baseline="0"/>
        </a:p>
        <a:p>
          <a:r>
            <a:rPr lang="fr-FR" sz="1100">
              <a:solidFill>
                <a:srgbClr val="FF0000"/>
              </a:solidFill>
            </a:rPr>
            <a:t>C'est ici que je suis</a:t>
          </a:r>
          <a:r>
            <a:rPr lang="fr-FR" sz="1100" baseline="0">
              <a:solidFill>
                <a:srgbClr val="FF0000"/>
              </a:solidFill>
            </a:rPr>
            <a:t> bloqué. Je dois trouver une formule pour que excel comprenne "la 45e heure est faite un dimanche donc  cellule K8 "Sheet Exemple2/Tableau1" *10,5(cellule AJ9) et la 46e heure est faite aussi un dimanche donc cellule K9 "Sheet Exemple2/Tableau1" *10,5(cellule AJ9)</a:t>
          </a:r>
        </a:p>
        <a:p>
          <a:endParaRPr lang="fr-FR" sz="1100" baseline="0">
            <a:solidFill>
              <a:srgbClr val="FF0000"/>
            </a:solidFill>
          </a:endParaRPr>
        </a:p>
        <a:p>
          <a:endParaRPr lang="fr-FR" sz="1100">
            <a:solidFill>
              <a:srgbClr val="FF0000"/>
            </a:solidFill>
          </a:endParaRPr>
        </a:p>
      </xdr:txBody>
    </xdr:sp>
    <xdr:clientData/>
  </xdr:twoCellAnchor>
  <xdr:twoCellAnchor>
    <xdr:from>
      <xdr:col>6</xdr:col>
      <xdr:colOff>266700</xdr:colOff>
      <xdr:row>16</xdr:row>
      <xdr:rowOff>138113</xdr:rowOff>
    </xdr:from>
    <xdr:to>
      <xdr:col>7</xdr:col>
      <xdr:colOff>276225</xdr:colOff>
      <xdr:row>37</xdr:row>
      <xdr:rowOff>176212</xdr:rowOff>
    </xdr:to>
    <xdr:cxnSp macro="">
      <xdr:nvCxnSpPr>
        <xdr:cNvPr id="10" name="Straight Arrow Connector 9"/>
        <xdr:cNvCxnSpPr>
          <a:stCxn id="8" idx="3"/>
          <a:endCxn id="12" idx="1"/>
        </xdr:cNvCxnSpPr>
      </xdr:nvCxnSpPr>
      <xdr:spPr>
        <a:xfrm flipV="1">
          <a:off x="4981575" y="2509838"/>
          <a:ext cx="619125" cy="2895599"/>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7</xdr:col>
      <xdr:colOff>276225</xdr:colOff>
      <xdr:row>10</xdr:row>
      <xdr:rowOff>114300</xdr:rowOff>
    </xdr:from>
    <xdr:to>
      <xdr:col>15</xdr:col>
      <xdr:colOff>114300</xdr:colOff>
      <xdr:row>28</xdr:row>
      <xdr:rowOff>161925</xdr:rowOff>
    </xdr:to>
    <xdr:sp macro="" textlink="">
      <xdr:nvSpPr>
        <xdr:cNvPr id="12" name="TextBox 11"/>
        <xdr:cNvSpPr txBox="1"/>
      </xdr:nvSpPr>
      <xdr:spPr>
        <a:xfrm>
          <a:off x="5600700" y="1343025"/>
          <a:ext cx="4714875" cy="2333625"/>
        </a:xfrm>
        <a:prstGeom prst="rect">
          <a:avLst/>
        </a:prstGeom>
        <a:ln/>
      </xdr:spPr>
      <xdr:style>
        <a:lnRef idx="2">
          <a:schemeClr val="accent4"/>
        </a:lnRef>
        <a:fillRef idx="1">
          <a:schemeClr val="lt1"/>
        </a:fillRef>
        <a:effectRef idx="0">
          <a:schemeClr val="accent4"/>
        </a:effectRef>
        <a:fontRef idx="minor">
          <a:schemeClr val="dk1"/>
        </a:fontRef>
      </xdr:style>
      <xdr:txBody>
        <a:bodyPr vertOverflow="clip" horzOverflow="clip" wrap="square" rtlCol="0" anchor="t"/>
        <a:lstStyle/>
        <a:p>
          <a:r>
            <a:rPr lang="fr-FR" sz="1100" baseline="0"/>
            <a:t>J'essaye de te faire comprendre ce qui ne fonctionne pas, ce que je ne sais pas faire! </a:t>
          </a:r>
        </a:p>
        <a:p>
          <a:endParaRPr lang="fr-FR" sz="1100" baseline="0"/>
        </a:p>
        <a:p>
          <a:r>
            <a:rPr lang="fr-FR" sz="1100" baseline="0"/>
            <a:t>AUTRE EXEMPLE :</a:t>
          </a:r>
        </a:p>
        <a:p>
          <a:r>
            <a:rPr lang="fr-FR" sz="1100" baseline="0"/>
            <a:t>Ma taxe de 0 à 10 000e est de 5%</a:t>
          </a:r>
        </a:p>
        <a:p>
          <a:r>
            <a:rPr lang="fr-FR" sz="1100" baseline="0"/>
            <a:t>au dessus de 10 000e, elle est de 10%</a:t>
          </a:r>
        </a:p>
        <a:p>
          <a:endParaRPr lang="fr-FR" sz="1100" baseline="0"/>
        </a:p>
        <a:p>
          <a:r>
            <a:rPr lang="fr-FR" sz="1100" baseline="0"/>
            <a:t>Si Mr X gagne 12 000e, je veux qu'il paye 5% sur 10 000e et 10% sur 2 000e...</a:t>
          </a:r>
        </a:p>
        <a:p>
          <a:endParaRPr lang="fr-FR" sz="1100" baseline="0"/>
        </a:p>
        <a:p>
          <a:r>
            <a:rPr lang="fr-FR" sz="1100" baseline="0"/>
            <a:t>OR JE N ARRIVE PAS à entrer une telle formule dans excel. A chaque fois, il me calculera 10% de taxe sur 12 000e (parce que 12000&gt;10000)</a:t>
          </a:r>
        </a:p>
        <a:p>
          <a:endParaRPr lang="fr-FR" sz="1100" baseline="0"/>
        </a:p>
        <a:p>
          <a:r>
            <a:rPr lang="fr-FR" sz="1100" baseline="0"/>
            <a:t>C'est vraiment le gros problème qui me bloque totalement.</a:t>
          </a:r>
          <a:endParaRPr lang="fr-FR" sz="1100"/>
        </a:p>
      </xdr:txBody>
    </xdr:sp>
    <xdr:clientData/>
  </xdr:twoCellAnchor>
  <xdr:twoCellAnchor>
    <xdr:from>
      <xdr:col>1</xdr:col>
      <xdr:colOff>228600</xdr:colOff>
      <xdr:row>48</xdr:row>
      <xdr:rowOff>123825</xdr:rowOff>
    </xdr:from>
    <xdr:to>
      <xdr:col>6</xdr:col>
      <xdr:colOff>276225</xdr:colOff>
      <xdr:row>68</xdr:row>
      <xdr:rowOff>28575</xdr:rowOff>
    </xdr:to>
    <xdr:sp macro="" textlink="">
      <xdr:nvSpPr>
        <xdr:cNvPr id="17" name="TextBox 16"/>
        <xdr:cNvSpPr txBox="1"/>
      </xdr:nvSpPr>
      <xdr:spPr>
        <a:xfrm>
          <a:off x="838200" y="9267825"/>
          <a:ext cx="5181600" cy="37147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u="sng">
              <a:solidFill>
                <a:schemeClr val="dk1"/>
              </a:solidFill>
              <a:effectLst/>
              <a:latin typeface="+mn-lt"/>
              <a:ea typeface="+mn-ea"/>
              <a:cs typeface="+mn-cs"/>
            </a:rPr>
            <a:t>E.g</a:t>
          </a:r>
          <a:r>
            <a:rPr lang="fr-FR" sz="1100" u="sng" baseline="0">
              <a:solidFill>
                <a:schemeClr val="dk1"/>
              </a:solidFill>
              <a:effectLst/>
              <a:latin typeface="+mn-lt"/>
              <a:ea typeface="+mn-ea"/>
              <a:cs typeface="+mn-cs"/>
            </a:rPr>
            <a:t> : Worker Front Office, 59h de travail dans la semaine dont 12h le dimanche :  </a:t>
          </a:r>
          <a:r>
            <a:rPr lang="fr-FR" sz="1100" u="none" baseline="0">
              <a:solidFill>
                <a:schemeClr val="dk1"/>
              </a:solidFill>
              <a:effectLst/>
              <a:latin typeface="+mn-lt"/>
              <a:ea typeface="+mn-ea"/>
              <a:cs typeface="+mn-cs"/>
            </a:rPr>
            <a:t>Voila le résultat souhaité :</a:t>
          </a:r>
        </a:p>
        <a:p>
          <a:endParaRPr lang="fr-FR" sz="1100" u="none"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Dans l</a:t>
          </a:r>
          <a:r>
            <a:rPr lang="fr-FR" sz="1100" baseline="0">
              <a:solidFill>
                <a:schemeClr val="dk1"/>
              </a:solidFill>
              <a:effectLst/>
              <a:latin typeface="+mn-lt"/>
              <a:ea typeface="+mn-ea"/>
              <a:cs typeface="+mn-cs"/>
            </a:rPr>
            <a:t>a cellule AD10 de "Henri's Hotel", je voudrais </a:t>
          </a:r>
          <a:r>
            <a:rPr lang="fr-FR" sz="1100" b="1" baseline="0">
              <a:solidFill>
                <a:schemeClr val="dk1"/>
              </a:solidFill>
              <a:effectLst/>
              <a:latin typeface="+mn-lt"/>
              <a:ea typeface="+mn-ea"/>
              <a:cs typeface="+mn-cs"/>
            </a:rPr>
            <a:t>855</a:t>
          </a:r>
          <a:r>
            <a:rPr lang="fr-FR" sz="1100" baseline="0">
              <a:solidFill>
                <a:schemeClr val="dk1"/>
              </a:solidFill>
              <a:effectLst/>
              <a:latin typeface="+mn-lt"/>
              <a:ea typeface="+mn-ea"/>
              <a:cs typeface="+mn-cs"/>
            </a:rPr>
            <a:t> sur la base du calcul suivant : </a:t>
          </a:r>
          <a:endParaRPr lang="fr-FR">
            <a:effectLst/>
          </a:endParaRPr>
        </a:p>
        <a:p>
          <a:r>
            <a:rPr lang="fr-FR" sz="1100" u="none" baseline="0">
              <a:solidFill>
                <a:schemeClr val="dk1"/>
              </a:solidFill>
              <a:effectLst/>
              <a:latin typeface="+mn-lt"/>
              <a:ea typeface="+mn-ea"/>
              <a:cs typeface="+mn-cs"/>
            </a:rPr>
            <a:t> 39h (cellule AA9)* 10 (cellule AJ10 parce que worker front office)</a:t>
          </a:r>
        </a:p>
        <a:p>
          <a:r>
            <a:rPr lang="fr-FR" sz="1100" u="none" baseline="0">
              <a:solidFill>
                <a:srgbClr val="FF0000"/>
              </a:solidFill>
              <a:effectLst/>
              <a:latin typeface="+mn-lt"/>
              <a:ea typeface="+mn-ea"/>
              <a:cs typeface="+mn-cs"/>
            </a:rPr>
            <a:t>+ 6h </a:t>
          </a:r>
          <a:r>
            <a:rPr lang="fr-FR" sz="1100" u="none" baseline="0">
              <a:solidFill>
                <a:sysClr val="windowText" lastClr="000000"/>
              </a:solidFill>
              <a:effectLst/>
              <a:latin typeface="+mn-lt"/>
              <a:ea typeface="+mn-ea"/>
              <a:cs typeface="+mn-cs"/>
            </a:rPr>
            <a:t>*10(cellule AJ10 parce que worker front office)*1,25(cellule H8 "Sheet!Exemple2" parce que majoration heure supp.)</a:t>
          </a:r>
        </a:p>
        <a:p>
          <a:r>
            <a:rPr lang="fr-FR" sz="1100" u="none" baseline="0">
              <a:solidFill>
                <a:srgbClr val="FF0000"/>
              </a:solidFill>
              <a:effectLst/>
              <a:latin typeface="+mn-lt"/>
              <a:ea typeface="+mn-ea"/>
              <a:cs typeface="+mn-cs"/>
            </a:rPr>
            <a:t>+2h </a:t>
          </a:r>
          <a:r>
            <a:rPr lang="fr-FR" sz="1100" u="none" baseline="0">
              <a:solidFill>
                <a:sysClr val="windowText" lastClr="000000"/>
              </a:solidFill>
              <a:effectLst/>
              <a:latin typeface="+mn-lt"/>
              <a:ea typeface="+mn-ea"/>
              <a:cs typeface="+mn-cs"/>
            </a:rPr>
            <a:t>*10(cellule AJ10 parce que worker front office)*1,5(cellule H9 "Sheet!Exemple2"  parce que majoration heure supp. sup à 45h)</a:t>
          </a:r>
        </a:p>
        <a:p>
          <a:r>
            <a:rPr lang="fr-FR" sz="1100">
              <a:solidFill>
                <a:sysClr val="windowText" lastClr="000000"/>
              </a:solidFill>
            </a:rPr>
            <a:t>+12h*10(cellule</a:t>
          </a:r>
          <a:r>
            <a:rPr lang="fr-FR" sz="1100" baseline="0">
              <a:solidFill>
                <a:sysClr val="windowText" lastClr="000000"/>
              </a:solidFill>
            </a:rPr>
            <a:t> AJ10 parce que worker front office)*3(cellule K9 "Sheet!Exemple2" parce que majoration heure supp. sup à 45h CUMULEE à majoration dimanche)</a:t>
          </a:r>
        </a:p>
        <a:p>
          <a:endParaRPr lang="fr-FR" sz="1100" baseline="0">
            <a:solidFill>
              <a:sysClr val="windowText" lastClr="000000"/>
            </a:solidFill>
          </a:endParaRPr>
        </a:p>
        <a:p>
          <a:r>
            <a:rPr lang="fr-FR" sz="1100" baseline="0">
              <a:solidFill>
                <a:srgbClr val="FF0000"/>
              </a:solidFill>
            </a:rPr>
            <a:t>C'est ici que je suis bloqué. </a:t>
          </a:r>
          <a:r>
            <a:rPr lang="fr-FR" sz="1100" baseline="0">
              <a:solidFill>
                <a:srgbClr val="FF0000"/>
              </a:solidFill>
              <a:effectLst/>
              <a:latin typeface="+mn-lt"/>
              <a:ea typeface="+mn-ea"/>
              <a:cs typeface="+mn-cs"/>
            </a:rPr>
            <a:t>Je dois trouver une formule pour que excel comprenne "6h d'heure supp en semaine (de la 39e à la 45e heure donc  cellule H8 "Sheet Exemple2/"*10(cellule AJ10) </a:t>
          </a:r>
        </a:p>
        <a:p>
          <a:r>
            <a:rPr lang="fr-FR" sz="1100" baseline="0">
              <a:solidFill>
                <a:srgbClr val="FF0000"/>
              </a:solidFill>
              <a:effectLst/>
              <a:latin typeface="+mn-lt"/>
              <a:ea typeface="+mn-ea"/>
              <a:cs typeface="+mn-cs"/>
            </a:rPr>
            <a:t>puis "2h d'heure supp en semaine (au dessus de 45 heures donc cellule H9"Sheet!Exemple 2"*10 (cellule AJ10) </a:t>
          </a:r>
        </a:p>
        <a:p>
          <a:r>
            <a:rPr lang="fr-FR" sz="1100" baseline="0">
              <a:solidFill>
                <a:srgbClr val="FF0000"/>
              </a:solidFill>
              <a:effectLst/>
              <a:latin typeface="+mn-lt"/>
              <a:ea typeface="+mn-ea"/>
              <a:cs typeface="+mn-cs"/>
            </a:rPr>
            <a:t>puis 12h d'heure supp le dimanche supérieure à 45h donc cellule K9 Sheet!"Exemple2"*10(cellule AJ10)</a:t>
          </a:r>
          <a:endParaRPr lang="fr-FR">
            <a:solidFill>
              <a:srgbClr val="FF0000"/>
            </a:solidFill>
            <a:effectLst/>
          </a:endParaRPr>
        </a:p>
      </xdr:txBody>
    </xdr:sp>
    <xdr:clientData/>
  </xdr:twoCellAnchor>
  <xdr:twoCellAnchor>
    <xdr:from>
      <xdr:col>7</xdr:col>
      <xdr:colOff>342900</xdr:colOff>
      <xdr:row>29</xdr:row>
      <xdr:rowOff>171449</xdr:rowOff>
    </xdr:from>
    <xdr:to>
      <xdr:col>15</xdr:col>
      <xdr:colOff>209550</xdr:colOff>
      <xdr:row>48</xdr:row>
      <xdr:rowOff>66675</xdr:rowOff>
    </xdr:to>
    <xdr:sp macro="" textlink="">
      <xdr:nvSpPr>
        <xdr:cNvPr id="18" name="TextBox 17"/>
        <xdr:cNvSpPr txBox="1"/>
      </xdr:nvSpPr>
      <xdr:spPr>
        <a:xfrm>
          <a:off x="5667375" y="3876674"/>
          <a:ext cx="4743450" cy="3514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SI TU PENSES</a:t>
          </a:r>
          <a:r>
            <a:rPr lang="fr-FR" sz="1100" b="1" baseline="0"/>
            <a:t> QU'ON PEUT SIMPLIFIER LE CALCUL PAR EXEMPLE, EN AJOUTANT UNE COLONNE, N HESITE PAS!</a:t>
          </a:r>
        </a:p>
        <a:p>
          <a:pPr algn="ctr"/>
          <a:r>
            <a:rPr lang="fr-FR" sz="1100" b="1" baseline="0"/>
            <a:t>L'énoncé original ci-dessous...</a:t>
          </a:r>
        </a:p>
        <a:p>
          <a:pPr algn="ctr"/>
          <a:r>
            <a:rPr lang="fr-FR"/>
            <a:t>Each employee is paid an hourly rate based on their department.  Front Office are paid 10 Euros per hour, F&amp;B are paid 8 Euros per hour, Housekeeping are paid 7 Euros per hour and all others are paid 6.50 Euros per hour.</a:t>
          </a:r>
        </a:p>
        <a:p>
          <a:pPr algn="ctr"/>
          <a:r>
            <a:rPr lang="fr-FR"/>
            <a:t/>
          </a:r>
          <a:br>
            <a:rPr lang="fr-FR"/>
          </a:br>
          <a:r>
            <a:rPr lang="fr-FR"/>
            <a:t>There are three levels of positions.  Workers receive the basic wage detailed above.  Supervisors receive 1.25 times the hourly wage of their workers, and Managers receive 1.5 times the hourly wage of their workers.  Therefore a Front Office Manager would receive 10 * 1.5 = 15 Euros per hour.</a:t>
          </a:r>
        </a:p>
        <a:p>
          <a:pPr algn="ctr"/>
          <a:r>
            <a:rPr lang="fr-FR"/>
            <a:t/>
          </a:r>
          <a:br>
            <a:rPr lang="fr-FR"/>
          </a:br>
          <a:r>
            <a:rPr lang="fr-FR"/>
            <a:t>The standard working week is 39 hours. Any employees working more than this are paid overtime.  Hours above 39 and below 45 are paid at one and a quarter times the employee's normal rate. Forty-five or more hours per week are paid at one and a half  times the normal rate.</a:t>
          </a:r>
        </a:p>
        <a:p>
          <a:pPr algn="ctr"/>
          <a:r>
            <a:rPr lang="fr-FR"/>
            <a:t/>
          </a:r>
          <a:br>
            <a:rPr lang="fr-FR"/>
          </a:br>
          <a:r>
            <a:rPr lang="fr-FR"/>
            <a:t>Any hours worked on a Sunday must be paid at double time.</a:t>
          </a:r>
        </a:p>
        <a:p>
          <a:pPr algn="ctr"/>
          <a:endParaRPr lang="fr-FR" sz="1100" b="1"/>
        </a:p>
        <a:p>
          <a:pPr algn="ctr"/>
          <a:r>
            <a:rPr lang="fr-FR" sz="1100" b="1"/>
            <a:t>Overtime and Sunday hours are cumulative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123825</xdr:colOff>
      <xdr:row>8</xdr:row>
      <xdr:rowOff>180975</xdr:rowOff>
    </xdr:from>
    <xdr:to>
      <xdr:col>19</xdr:col>
      <xdr:colOff>400050</xdr:colOff>
      <xdr:row>27</xdr:row>
      <xdr:rowOff>76201</xdr:rowOff>
    </xdr:to>
    <xdr:sp macro="" textlink="">
      <xdr:nvSpPr>
        <xdr:cNvPr id="2" name="TextBox 17"/>
        <xdr:cNvSpPr txBox="1"/>
      </xdr:nvSpPr>
      <xdr:spPr>
        <a:xfrm>
          <a:off x="8772525" y="1895475"/>
          <a:ext cx="6372225" cy="3514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SI TU PENSES</a:t>
          </a:r>
          <a:r>
            <a:rPr lang="fr-FR" sz="1100" b="1" baseline="0"/>
            <a:t> QU'ON PEUT SIMPLIFIER LE CALCUL PAR EXEMPLE, EN AJOUTANT UNE COLONNE, N HESITE PAS!</a:t>
          </a:r>
        </a:p>
        <a:p>
          <a:pPr algn="ctr"/>
          <a:r>
            <a:rPr lang="fr-FR" sz="1100" b="1" baseline="0"/>
            <a:t>L'énoncé original ci-dessous...</a:t>
          </a:r>
        </a:p>
        <a:p>
          <a:pPr algn="ctr"/>
          <a:r>
            <a:rPr lang="fr-FR"/>
            <a:t>Each employee is paid an hourly rate based on their department.  Front Office are paid 10 Euros per hour, F&amp;B are paid 8 Euros per hour, Housekeeping are paid 7 Euros per hour and all others are paid 6.50 Euros per hour.</a:t>
          </a:r>
        </a:p>
        <a:p>
          <a:pPr algn="ctr"/>
          <a:r>
            <a:rPr lang="fr-FR"/>
            <a:t/>
          </a:r>
          <a:br>
            <a:rPr lang="fr-FR"/>
          </a:br>
          <a:r>
            <a:rPr lang="fr-FR"/>
            <a:t>There are three levels of positions.  Workers receive the basic wage detailed above.  Supervisors receive 1.25 times the hourly wage of their workers, and Managers receive 1.5 times the hourly wage of their workers.  Therefore a Front Office Manager would receive 10 * 1.5 = 15 Euros per hour.</a:t>
          </a:r>
        </a:p>
        <a:p>
          <a:pPr algn="ctr"/>
          <a:r>
            <a:rPr lang="fr-FR"/>
            <a:t/>
          </a:r>
          <a:br>
            <a:rPr lang="fr-FR"/>
          </a:br>
          <a:r>
            <a:rPr lang="fr-FR"/>
            <a:t>The standard working week is 39 hours. Any employees working more than this are paid overtime.  Hours above 39 and below 45 are paid at one and a quarter times the employee's normal rate. Forty-five or more hours per week are paid at one and a half  times the normal rate.</a:t>
          </a:r>
        </a:p>
        <a:p>
          <a:pPr algn="ctr"/>
          <a:r>
            <a:rPr lang="fr-FR"/>
            <a:t/>
          </a:r>
          <a:br>
            <a:rPr lang="fr-FR"/>
          </a:br>
          <a:r>
            <a:rPr lang="fr-FR"/>
            <a:t>Any hours worked on a Sunday must be paid at double time.</a:t>
          </a:r>
        </a:p>
        <a:p>
          <a:pPr algn="ctr"/>
          <a:endParaRPr lang="fr-FR" sz="1100" b="1"/>
        </a:p>
        <a:p>
          <a:pPr algn="ctr"/>
          <a:r>
            <a:rPr lang="fr-FR" sz="1100" b="1"/>
            <a:t>Overtime and Sunday hours are cumulative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G40"/>
  <sheetViews>
    <sheetView workbookViewId="0"/>
  </sheetViews>
  <sheetFormatPr baseColWidth="10" defaultColWidth="8.85546875" defaultRowHeight="15" x14ac:dyDescent="0.25"/>
  <cols>
    <col min="1" max="1" width="9.140625" customWidth="1"/>
    <col min="2" max="7" width="9.140625" hidden="1" customWidth="1"/>
    <col min="8" max="8" width="9.140625" customWidth="1"/>
    <col min="9" max="9" width="17.28515625" customWidth="1"/>
    <col min="10" max="10" width="16.140625" customWidth="1"/>
    <col min="11" max="11" width="12.7109375" customWidth="1"/>
    <col min="12" max="12" width="19.140625" bestFit="1" customWidth="1"/>
    <col min="13" max="13" width="14.5703125" customWidth="1"/>
    <col min="14" max="14" width="12.7109375" customWidth="1"/>
    <col min="15" max="15" width="14.7109375" bestFit="1" customWidth="1"/>
    <col min="16" max="16" width="19.7109375" bestFit="1" customWidth="1"/>
    <col min="17" max="22" width="12.7109375" customWidth="1"/>
    <col min="23" max="23" width="16.5703125" customWidth="1"/>
    <col min="24" max="25" width="18.28515625" customWidth="1"/>
    <col min="26" max="26" width="24.140625" customWidth="1"/>
    <col min="27" max="27" width="33.5703125" bestFit="1" customWidth="1"/>
    <col min="28" max="30" width="24.85546875" customWidth="1"/>
    <col min="31" max="31" width="19.5703125" customWidth="1"/>
    <col min="32" max="32" width="20.42578125" customWidth="1"/>
    <col min="33" max="35" width="15.5703125" customWidth="1"/>
    <col min="36" max="36" width="16.28515625" customWidth="1"/>
    <col min="37" max="37" width="20" customWidth="1"/>
    <col min="38" max="38" width="13.42578125" hidden="1" customWidth="1"/>
    <col min="39" max="39" width="11.28515625" hidden="1" customWidth="1"/>
    <col min="40" max="40" width="9.140625" hidden="1" customWidth="1"/>
    <col min="41" max="42" width="18.85546875" hidden="1" customWidth="1"/>
    <col min="43" max="43" width="21.42578125" hidden="1" customWidth="1"/>
    <col min="44" max="44" width="19.42578125" hidden="1" customWidth="1"/>
    <col min="45" max="46" width="21.42578125" hidden="1" customWidth="1"/>
    <col min="47" max="47" width="14.85546875" hidden="1" customWidth="1"/>
    <col min="48" max="48" width="15" hidden="1" customWidth="1"/>
    <col min="49" max="49" width="21" hidden="1" customWidth="1"/>
    <col min="50" max="50" width="13.42578125" hidden="1" customWidth="1"/>
    <col min="51" max="51" width="15.85546875" hidden="1" customWidth="1"/>
    <col min="52" max="52" width="12" hidden="1" customWidth="1"/>
    <col min="53" max="53" width="25.140625" customWidth="1"/>
    <col min="54" max="54" width="21.42578125" customWidth="1"/>
    <col min="55" max="55" width="13.85546875" customWidth="1"/>
    <col min="56" max="56" width="16.28515625" customWidth="1"/>
    <col min="57" max="57" width="17.7109375" customWidth="1"/>
    <col min="59" max="59" width="13.5703125" customWidth="1"/>
  </cols>
  <sheetData>
    <row r="2" spans="9:59" x14ac:dyDescent="0.25">
      <c r="AG2">
        <f>12*24</f>
        <v>288</v>
      </c>
    </row>
    <row r="3" spans="9:59" x14ac:dyDescent="0.25">
      <c r="AA3">
        <f>6*10.5*1.25+1*1.5*10.5</f>
        <v>94.5</v>
      </c>
    </row>
    <row r="5" spans="9:59" x14ac:dyDescent="0.25">
      <c r="X5" s="42"/>
      <c r="Y5" s="42"/>
      <c r="Z5" s="42"/>
      <c r="AA5" s="42"/>
      <c r="AB5" s="42">
        <f>39*10.5</f>
        <v>409.5</v>
      </c>
      <c r="AC5" s="27"/>
      <c r="AD5" s="27"/>
    </row>
    <row r="6" spans="9:59" ht="15.75" thickBot="1" x14ac:dyDescent="0.3">
      <c r="AJ6" s="27"/>
    </row>
    <row r="7" spans="9:59" ht="30.75" thickTop="1" x14ac:dyDescent="0.25">
      <c r="I7" s="106" t="s">
        <v>0</v>
      </c>
      <c r="J7" s="108" t="s">
        <v>1</v>
      </c>
      <c r="K7" s="109"/>
      <c r="L7" s="108" t="s">
        <v>2</v>
      </c>
      <c r="M7" s="109"/>
      <c r="N7" s="108" t="s">
        <v>3</v>
      </c>
      <c r="O7" s="109"/>
      <c r="P7" s="108" t="s">
        <v>4</v>
      </c>
      <c r="Q7" s="109"/>
      <c r="R7" s="108" t="s">
        <v>5</v>
      </c>
      <c r="S7" s="109"/>
      <c r="T7" s="108" t="s">
        <v>6</v>
      </c>
      <c r="U7" s="109"/>
      <c r="V7" s="108" t="s">
        <v>7</v>
      </c>
      <c r="W7" s="109"/>
      <c r="X7" s="100" t="s">
        <v>57</v>
      </c>
      <c r="Y7" s="77" t="s">
        <v>135</v>
      </c>
      <c r="Z7" s="98" t="s">
        <v>118</v>
      </c>
      <c r="AA7" s="105" t="s">
        <v>119</v>
      </c>
      <c r="AB7" s="102" t="s">
        <v>129</v>
      </c>
      <c r="AC7" s="74" t="s">
        <v>130</v>
      </c>
      <c r="AD7" s="80" t="s">
        <v>136</v>
      </c>
      <c r="AE7" s="104" t="s">
        <v>128</v>
      </c>
      <c r="AF7" s="98" t="s">
        <v>63</v>
      </c>
      <c r="AG7" s="68" t="s">
        <v>8</v>
      </c>
      <c r="AH7" s="1" t="s">
        <v>9</v>
      </c>
      <c r="AI7" s="1" t="s">
        <v>10</v>
      </c>
      <c r="AJ7" s="36" t="s">
        <v>43</v>
      </c>
      <c r="AK7" s="40" t="s">
        <v>54</v>
      </c>
      <c r="AL7" s="40" t="s">
        <v>61</v>
      </c>
      <c r="AM7" s="40"/>
      <c r="AN7" s="40"/>
      <c r="AO7" s="40" t="s">
        <v>13</v>
      </c>
      <c r="AP7" s="40" t="s">
        <v>55</v>
      </c>
      <c r="AQ7" s="40" t="s">
        <v>45</v>
      </c>
      <c r="AR7" s="40" t="s">
        <v>75</v>
      </c>
      <c r="AS7" s="40" t="s">
        <v>89</v>
      </c>
      <c r="AT7" s="40" t="s">
        <v>86</v>
      </c>
      <c r="AU7" s="40" t="s">
        <v>73</v>
      </c>
      <c r="AV7" s="44" t="s">
        <v>91</v>
      </c>
      <c r="AW7" s="44" t="s">
        <v>127</v>
      </c>
      <c r="AX7" s="44" t="s">
        <v>121</v>
      </c>
      <c r="AY7" s="44" t="s">
        <v>126</v>
      </c>
      <c r="AZ7" s="44"/>
      <c r="BA7" s="44"/>
    </row>
    <row r="8" spans="9:59" ht="12.75" customHeight="1" x14ac:dyDescent="0.25">
      <c r="I8" s="107"/>
      <c r="J8" s="9" t="s">
        <v>47</v>
      </c>
      <c r="K8" s="10" t="s">
        <v>48</v>
      </c>
      <c r="L8" s="7" t="s">
        <v>47</v>
      </c>
      <c r="M8" s="8" t="s">
        <v>48</v>
      </c>
      <c r="N8" s="7" t="s">
        <v>47</v>
      </c>
      <c r="O8" s="8" t="s">
        <v>48</v>
      </c>
      <c r="P8" s="7" t="s">
        <v>47</v>
      </c>
      <c r="Q8" s="8" t="s">
        <v>48</v>
      </c>
      <c r="R8" s="7" t="s">
        <v>47</v>
      </c>
      <c r="S8" s="8" t="s">
        <v>48</v>
      </c>
      <c r="T8" s="7" t="s">
        <v>47</v>
      </c>
      <c r="U8" s="8" t="s">
        <v>48</v>
      </c>
      <c r="V8" s="7" t="s">
        <v>47</v>
      </c>
      <c r="W8" s="8" t="s">
        <v>48</v>
      </c>
      <c r="X8" s="101"/>
      <c r="Y8" s="78"/>
      <c r="Z8" s="99"/>
      <c r="AA8" s="105"/>
      <c r="AB8" s="103"/>
      <c r="AC8" s="75"/>
      <c r="AD8" s="81"/>
      <c r="AE8" s="104"/>
      <c r="AF8" s="99"/>
      <c r="AG8" s="69"/>
      <c r="AH8" s="5"/>
      <c r="AI8" s="5"/>
      <c r="AJ8" s="32"/>
      <c r="AK8" s="37"/>
      <c r="AL8" s="38"/>
      <c r="AM8" s="39"/>
      <c r="AN8" s="39"/>
      <c r="AO8" s="39"/>
      <c r="AP8" s="39"/>
      <c r="AQ8" s="39"/>
      <c r="AR8" s="48"/>
      <c r="AS8" s="48"/>
      <c r="AT8" s="48"/>
      <c r="AU8" s="12"/>
      <c r="BB8" t="s">
        <v>66</v>
      </c>
      <c r="BC8" t="s">
        <v>67</v>
      </c>
      <c r="BD8" t="s">
        <v>68</v>
      </c>
      <c r="BE8" t="s">
        <v>69</v>
      </c>
      <c r="BF8" t="s">
        <v>70</v>
      </c>
      <c r="BG8" t="s">
        <v>71</v>
      </c>
    </row>
    <row r="9" spans="9:59" x14ac:dyDescent="0.25">
      <c r="I9" s="6" t="s">
        <v>14</v>
      </c>
      <c r="J9" s="71">
        <v>0.83333333333333337</v>
      </c>
      <c r="K9" s="71">
        <v>0.625</v>
      </c>
      <c r="L9" s="71">
        <v>0.875</v>
      </c>
      <c r="M9" s="71">
        <v>0.16666666666666666</v>
      </c>
      <c r="N9" s="71">
        <v>0.95833333333333304</v>
      </c>
      <c r="O9" s="71">
        <v>1</v>
      </c>
      <c r="P9" s="71">
        <v>1.0416666666666701</v>
      </c>
      <c r="Q9" s="71">
        <v>1.6666666666666601</v>
      </c>
      <c r="R9" s="71"/>
      <c r="S9" s="71"/>
      <c r="T9" s="71">
        <v>1.3333333333333299</v>
      </c>
      <c r="U9" s="71">
        <v>1.4166666666666701</v>
      </c>
      <c r="V9" s="71">
        <v>1.3333333333333299</v>
      </c>
      <c r="W9" s="72">
        <v>1.4166666666666601</v>
      </c>
      <c r="X9" s="56">
        <f>IF(COUNTBLANK(J9:W9)&gt;=Tables!$B$34,COUNTA(J9:W9)/Tables!$B$34,"ERROR WORKING DAYS")</f>
        <v>6</v>
      </c>
      <c r="Y9" s="79">
        <f>W9-V9</f>
        <v>8.3333333333330151E-2</v>
      </c>
      <c r="Z9" s="65">
        <f>IF(AE9&lt;(Tables!$F$8/Tables!$F$17),0,AE9-(Tables!$F$8/Tables!$F$17))</f>
        <v>0.29166666666666052</v>
      </c>
      <c r="AA9" s="65">
        <f t="shared" ref="AA9:AA28" si="0">AE9-Z9</f>
        <v>1.625</v>
      </c>
      <c r="AB9" s="73">
        <f>AA9*Tables!$F$17*AJ9</f>
        <v>409.5</v>
      </c>
      <c r="AC9" s="73">
        <f>IF(Z9&gt;0,IF((Z9*Tables!$F$17)&gt;$AB$37,((Z9*Tables!$F$17)-$AB$37)*$AC$37*AJ9+($AB$36*$AC$36*AJ9),(Z9*Tables!F17)*$AC$36*AJ9),)</f>
        <v>94.499999999997684</v>
      </c>
      <c r="AD9" s="73"/>
      <c r="AE9" s="67">
        <f>MOD(K9-J9,1)+MOD(M9-L9,1)+MOD(O9-N9,1)+MOD(Q9-P9,1)+MOD(S9-R9,1)+MOD(U9-T9,1)+MOD(W9-V9,1)</f>
        <v>1.9166666666666605</v>
      </c>
      <c r="AF9" s="70">
        <f>IF(AH9=Tables!$E$3,IF('Henri''s Hotel'!AG9=Tables!$A$4,'Henri''s Hotel'!AE9,0),0)</f>
        <v>0</v>
      </c>
      <c r="AG9" s="2" t="s">
        <v>46</v>
      </c>
      <c r="AH9" s="2" t="s">
        <v>27</v>
      </c>
      <c r="AI9" s="13">
        <f>INDEX(Tables!$F$3:$F$5,MATCH('Henri''s Hotel'!AH9,Tables!$E$3:$E$5,0))</f>
        <v>1.5</v>
      </c>
      <c r="AJ9" s="34">
        <f>INDEX(Tables!$F$3:$F$5,MATCH('Henri''s Hotel'!AH9,Tables!$E$3:$E$5,0))*INDEX(Tables!$B$3:$B$6,MATCH('Henri''s Hotel'!AG9,Tables!$A$3:$A$6,0))</f>
        <v>10.5</v>
      </c>
      <c r="AK9" s="45">
        <f>INDEX(Tables!$H$8:$H$10,MATCH(MOD(K9-J9,1)+MOD(M9-L9,1)+MOD(O9-N9,1)+MOD(Q9-P9,1)+MOD(S9-R9,1)+MOD(U9-T9,1),Tables!$D$8:$D$10,1))*AJ9*(MOD(K9-J9,1)+MOD(M9-L9,1)+MOD(O9-N9,1)+MOD(Q9-P9,1)+MOD(S9-R9,1)+MOD(U9-T9,1))*24+INDEX(Tables!$K$8:$K$10,MATCH(AE9,Tables!$D$8:$D$10,1))*(MOD(W9-V9,1)*24)*AJ9</f>
        <v>640.4999999999967</v>
      </c>
      <c r="AL9" s="33">
        <f>IF(AH9=Tables!$E$3,IF('Henri''s Hotel'!AG9=Tables!$A$4,('Henri''s Hotel'!AE9/'Henri''s Hotel'!$AE$30)*'Henri''s Hotel'!$AE$31,),0)</f>
        <v>0</v>
      </c>
      <c r="AM9" s="41"/>
      <c r="AN9" s="14"/>
      <c r="AO9" s="12" t="s">
        <v>34</v>
      </c>
      <c r="AP9" s="15">
        <v>0</v>
      </c>
      <c r="AQ9" s="15">
        <f>INDEX(Tables!$B$15:$B$17,MATCH('Henri''s Hotel'!AO9,Tables!$A$15:$A$17,0))+INDEX(Tables!$B$20:$B$32,MATCH('Henri''s Hotel'!AP9,Tables!$A$20:$A$32,0))</f>
        <v>5000</v>
      </c>
      <c r="AR9" s="46">
        <f>IF(AE9&gt;0,IF(AH9=Tables!$E$5,'Henri''s Hotel'!$M$32/'Henri''s Hotel'!$M$33,))</f>
        <v>0.5</v>
      </c>
      <c r="AS9" s="46">
        <f>IF(AH9=Tables!$E$3,'Henri''s Hotel'!AK9,)</f>
        <v>0</v>
      </c>
      <c r="AT9" s="46">
        <f>IF($AS$29&lt;'Hotel occupancy'!$B$13,IF('Henri''s Hotel'!AH9=Tables!$E$5,200,0),)</f>
        <v>200</v>
      </c>
      <c r="AU9" s="46">
        <f>(AK9+AL9+AR9+AS9+AT9)*Tables!$F$16</f>
        <v>42049.999999999833</v>
      </c>
      <c r="AV9" s="46">
        <f>IF(AU9-AQ9&gt;0,AU9-AQ9,0)</f>
        <v>37049.999999999833</v>
      </c>
      <c r="AW9" s="58">
        <f>IF(AO9=Tables!$E$26,IF(AV9&lt;=Tables!$F$27,Tables!$G$27*'Henri''s Hotel'!AV9,IF('Henri''s Hotel'!AV9&lt;Tables!$F$28,Tables!$G$28*'Henri''s Hotel'!AV9,IF('Henri''s Hotel'!AV9&lt;Tables!$F$29,Tables!$G$29*'Henri''s Hotel'!AV9,'Henri''s Hotel'!AV9*Tables!$G$30))),IF(AV9&lt;=Tables!$F$33,Tables!$G$33*'Henri''s Hotel'!AV9,IF('Henri''s Hotel'!AV9&lt;Tables!$F$34,'Henri''s Hotel'!AV9*Tables!$G$34,IF('Henri''s Hotel'!AV9&lt;Tables!$F$35,Tables!$G$35*'Henri''s Hotel'!AV9,'Henri''s Hotel'!AV9*Tables!$G$36))))</f>
        <v>15931.499999999927</v>
      </c>
      <c r="AX9" s="46">
        <f>IF(AU9&lt;=Tables!$F$39,'Henri''s Hotel'!AU9*Tables!$G$39,IF(AU9&gt;Tables!$F$40,Tables!$G$40*'Henri''s Hotel'!AU9,FALSE))</f>
        <v>1892.2499999999925</v>
      </c>
      <c r="AY9" s="46">
        <f>AU9-AW9-AX9</f>
        <v>24226.249999999913</v>
      </c>
      <c r="AZ9" s="43"/>
      <c r="BB9" s="42">
        <f>(MOD(K9-J9,1)+MOD(M9-L9,1)+MOD(O9-N9,1)+MOD(Q9-P9,1)+MOD(S9-R9,1)+MOD(U9-T9,1))*Tables!$F$17</f>
        <v>43.999999999999929</v>
      </c>
      <c r="BC9">
        <f>INDEX(Tables!$H$8:$H$10,MATCH(MOD(K9-J9,1)+MOD(M9-L9,1)+MOD(O9-N9,1)+MOD(Q9-P9,1)+MOD(S9-R9,1)+MOD(U9-T9,1),Tables!$D$8:$D$10,1))</f>
        <v>1.25</v>
      </c>
      <c r="BD9" s="43">
        <f t="shared" ref="BD9:BD28" si="1">BB9*BC9*AJ9</f>
        <v>577.49999999999909</v>
      </c>
      <c r="BE9" s="42">
        <f t="shared" ref="BE9:BE28" si="2">MOD(W9-V9,1)*24</f>
        <v>1.9999999999999236</v>
      </c>
      <c r="BF9">
        <f>INDEX(Tables!$K$8:$K$10,MATCH(AE9,Tables!$D$8:$D$10,1))</f>
        <v>3</v>
      </c>
      <c r="BG9" s="43">
        <f t="shared" ref="BG9:BG28" si="3">BE9*BF9*AJ9</f>
        <v>62.999999999997591</v>
      </c>
    </row>
    <row r="10" spans="9:59" x14ac:dyDescent="0.25">
      <c r="I10" s="6" t="s">
        <v>18</v>
      </c>
      <c r="J10" s="71">
        <v>0.875</v>
      </c>
      <c r="K10" s="71">
        <v>0.66666666666666696</v>
      </c>
      <c r="L10" s="71">
        <v>0.91666666666666696</v>
      </c>
      <c r="M10" s="71">
        <v>0.95833333333333304</v>
      </c>
      <c r="N10" s="71">
        <v>1</v>
      </c>
      <c r="O10" s="71">
        <v>1.125</v>
      </c>
      <c r="P10" s="71">
        <v>1.0833333333333399</v>
      </c>
      <c r="Q10" s="71">
        <v>0.625</v>
      </c>
      <c r="R10" s="71"/>
      <c r="S10" s="71"/>
      <c r="T10" s="71">
        <v>1.25</v>
      </c>
      <c r="U10" s="71">
        <v>0.70833333333333337</v>
      </c>
      <c r="V10" s="71">
        <v>1.4166666666666701</v>
      </c>
      <c r="W10" s="72">
        <v>11.916666666666666</v>
      </c>
      <c r="X10" s="56">
        <f>IF(COUNTBLANK(J10:W10)&gt;=Tables!$B$34,COUNTA(J10:W10)/Tables!$B$34,"ERROR WORKING DAYS")</f>
        <v>6</v>
      </c>
      <c r="Y10" s="79">
        <f t="shared" ref="Y10:Y28" si="4">W10-V10</f>
        <v>10.499999999999996</v>
      </c>
      <c r="Z10" s="65">
        <f>IF(AE10&lt;(Tables!$F$8/Tables!$F$17),0,AE10-(Tables!$F$8/Tables!$F$17))</f>
        <v>0.83333333333332282</v>
      </c>
      <c r="AA10" s="65">
        <f t="shared" si="0"/>
        <v>1.625</v>
      </c>
      <c r="AB10" s="73">
        <f>AA10*Tables!$F$17*AJ10</f>
        <v>390</v>
      </c>
      <c r="AC10" s="73">
        <f>IF(Z10&gt;0,IF((Z10*Tables!$F$17)&gt;$AB$37,((Z10*Tables!$F$17)-$AB$37)*$AC$37*AJ10+($AB$36*$AC$36*AJ10),(Z10*Tables!F18)*$AC$36*AJ10),)</f>
        <v>284.99999999999625</v>
      </c>
      <c r="AD10" s="73"/>
      <c r="AE10" s="11">
        <f t="shared" ref="AE10:AE28" si="5">MOD(K10-J10,1)+MOD(M10-L10,1)+MOD(O10-N10,1)+MOD(Q10-P10,1)+MOD(S10-R10,1)+MOD(U10-T10,1)+MOD(W10-V10,1)</f>
        <v>2.4583333333333228</v>
      </c>
      <c r="AF10" s="66">
        <f>IF(AH10=Tables!$E$3,IF('Henri''s Hotel'!AG10=Tables!$A$4,'Henri''s Hotel'!AE10,0),0)</f>
        <v>0</v>
      </c>
      <c r="AG10" s="2" t="s">
        <v>15</v>
      </c>
      <c r="AH10" s="2" t="s">
        <v>23</v>
      </c>
      <c r="AI10" s="13">
        <f>INDEX(Tables!$F$3:$F$5,MATCH('Henri''s Hotel'!AH10,Tables!$E$3:$E$5,0))</f>
        <v>1</v>
      </c>
      <c r="AJ10" s="35">
        <f>INDEX(Tables!$F$3:$F$5,MATCH('Henri''s Hotel'!AH10,Tables!$E$3:$E$5,0))*INDEX(Tables!$B$3:$B$6,MATCH('Henri''s Hotel'!AG10,Tables!$A$3:$A$6,0))</f>
        <v>10</v>
      </c>
      <c r="AK10" s="45">
        <f>INDEX(Tables!$H$8:$H$10,MATCH(MOD(K10-J10,1)+MOD(M10-L10,1)+MOD(O10-N10,1)+MOD(Q10-P10,1)+MOD(S10-R10,1)+MOD(U10-T10,1),Tables!$D$8:$D$10,1))*AJ10*(MOD(K10-J10,1)+MOD(M10-L10,1)+MOD(O10-N10,1)+MOD(Q10-P10,1)+MOD(S10-R10,1)+MOD(U10-T10,1))*24+INDEX(Tables!$K$8:$K$10,MATCH(AE10,Tables!$D$8:$D$10,1))*(MOD(W10-V10,1)*24)*AJ10</f>
        <v>1064.999999999995</v>
      </c>
      <c r="AL10" s="33">
        <f>IF(AH10=Tables!$E$3,IF('Henri''s Hotel'!AG10=Tables!$A$4,('Henri''s Hotel'!AE10/'Henri''s Hotel'!$AE$30)*'Henri''s Hotel'!$AE$31,),0)</f>
        <v>0</v>
      </c>
      <c r="AM10" s="12"/>
      <c r="AN10" s="12"/>
      <c r="AO10" s="12" t="s">
        <v>17</v>
      </c>
      <c r="AP10" s="15">
        <v>1</v>
      </c>
      <c r="AQ10" s="15">
        <f>INDEX(Tables!$B$15:$B$17,MATCH('Henri''s Hotel'!AO10,Tables!$A$15:$A$17,0))+INDEX(Tables!$B$20:$B$32,MATCH('Henri''s Hotel'!AP10,Tables!$A$20:$A$32,0))</f>
        <v>7800</v>
      </c>
      <c r="AR10" s="46">
        <f>IF(AE10&gt;0,IF(AH10=Tables!$E$5,'Henri''s Hotel'!$M$32/'Henri''s Hotel'!$M$33,))</f>
        <v>0</v>
      </c>
      <c r="AS10" s="46">
        <f>IF(AH10=Tables!$E$3,'Henri''s Hotel'!AK10,)</f>
        <v>1064.999999999995</v>
      </c>
      <c r="AT10" s="46">
        <f>IF($AS$29&lt;'Hotel occupancy'!$B$13,IF('Henri''s Hotel'!AH10=Tables!$E$5,200,0),)</f>
        <v>0</v>
      </c>
      <c r="AU10" s="46">
        <f>(AK10+AL10+AR10+AS10+AT10)*Tables!$F$16</f>
        <v>106499.99999999951</v>
      </c>
      <c r="AV10" s="46">
        <f>IF(AU10-AQ10&gt;0,AU10-AQ10,0)</f>
        <v>98699.999999999505</v>
      </c>
      <c r="AW10" s="58">
        <f>IF(AO10=Tables!$E$26,IF(AV10&lt;=Tables!$F$27,Tables!$G$27*'Henri''s Hotel'!AV10,IF('Henri''s Hotel'!AV10&lt;Tables!$F$28,Tables!$G$28*'Henri''s Hotel'!AV10,IF('Henri''s Hotel'!AV10&lt;Tables!$F$29,Tables!$G$29*'Henri''s Hotel'!AV10,'Henri''s Hotel'!AV10*Tables!$G$30))),IF(AV10&lt;=Tables!$F$33,Tables!$G$33*'Henri''s Hotel'!AV10,IF('Henri''s Hotel'!AV10&lt;Tables!$F$34,'Henri''s Hotel'!AV10*Tables!$G$34,IF('Henri''s Hotel'!AV10&lt;Tables!$F$35,Tables!$G$35*'Henri''s Hotel'!AV10,'Henri''s Hotel'!AV10*Tables!$G$36))))</f>
        <v>42440.999999999789</v>
      </c>
      <c r="AX10" s="46">
        <f>IF(AU10&lt;=Tables!$F$39,'Henri''s Hotel'!AU10*Tables!$G$39,IF(AU10&gt;Tables!$F$40,Tables!$G$40*'Henri''s Hotel'!AU10,FALSE))</f>
        <v>4792.4999999999773</v>
      </c>
      <c r="AY10" s="46">
        <f t="shared" ref="AY10:AY28" si="6">AU10-AW10-AX10</f>
        <v>59266.499999999738</v>
      </c>
      <c r="AZ10" s="43"/>
      <c r="BB10" s="42">
        <f>(MOD(K10-J10,1)+MOD(M10-L10,1)+MOD(O10-N10,1)+MOD(Q10-P10,1)+MOD(S10-R10,1)+MOD(U10-T10,1))*Tables!$F$17</f>
        <v>46.999999999999829</v>
      </c>
      <c r="BC10">
        <f>INDEX(Tables!$H$8:$H$10,MATCH(MOD(K10-J10,1)+MOD(M10-L10,1)+MOD(O10-N10,1)+MOD(Q10-P10,1)+MOD(S10-R10,1)+MOD(U10-T10,1),Tables!$D$8:$D$10,1))</f>
        <v>1.5</v>
      </c>
      <c r="BD10" s="43">
        <f t="shared" si="1"/>
        <v>704.9999999999975</v>
      </c>
      <c r="BE10" s="42">
        <f t="shared" si="2"/>
        <v>11.999999999999915</v>
      </c>
      <c r="BF10">
        <f>INDEX(Tables!$K$8:$K$10,MATCH(AE10,Tables!$D$8:$D$10,1))</f>
        <v>3</v>
      </c>
      <c r="BG10" s="43">
        <f t="shared" si="3"/>
        <v>359.99999999999744</v>
      </c>
    </row>
    <row r="11" spans="9:59" x14ac:dyDescent="0.25">
      <c r="I11" s="6" t="s">
        <v>19</v>
      </c>
      <c r="J11" s="71">
        <v>0.41666666666666669</v>
      </c>
      <c r="K11" s="71">
        <v>0.70833333333333304</v>
      </c>
      <c r="L11" s="71"/>
      <c r="M11" s="71"/>
      <c r="N11" s="71">
        <v>4.1666666666666664E-2</v>
      </c>
      <c r="O11" s="71">
        <v>1.0833333333333299</v>
      </c>
      <c r="P11" s="71">
        <v>1.125</v>
      </c>
      <c r="Q11" s="71">
        <v>1.1666666666666601</v>
      </c>
      <c r="R11" s="71">
        <v>1.2083333333333299</v>
      </c>
      <c r="S11" s="71">
        <v>1.25</v>
      </c>
      <c r="T11" s="71"/>
      <c r="U11" s="71"/>
      <c r="V11" s="71">
        <v>1.375</v>
      </c>
      <c r="W11" s="72">
        <v>1.4166666666666601</v>
      </c>
      <c r="X11" s="56">
        <f>IF(COUNTBLANK(J11:W11)&gt;=Tables!$B$34,COUNTA(J11:W11)/Tables!$B$34,"ERROR WORKING DAYS")</f>
        <v>5</v>
      </c>
      <c r="Y11" s="79">
        <f t="shared" si="4"/>
        <v>4.1666666666660079E-2</v>
      </c>
      <c r="Z11" s="65">
        <f>IF(AE11&lt;(Tables!$F$8/Tables!$F$17),0,AE11-(Tables!$F$8/Tables!$F$17))</f>
        <v>0</v>
      </c>
      <c r="AA11" s="65">
        <f t="shared" si="0"/>
        <v>0.45833333333331977</v>
      </c>
      <c r="AB11" s="73">
        <f>AA11*Tables!$F$17*AJ11</f>
        <v>109.99999999999675</v>
      </c>
      <c r="AC11" s="73">
        <f>IF(Z11&gt;0,IF((Z11*Tables!$F$17)&gt;$AB$37,((Z11*Tables!$F$17)-$AB$37)*$AC$37*AJ11+($AB$36*$AC$36*AJ11),(Z11*Tables!F19)*$AC$36*AJ11),)</f>
        <v>0</v>
      </c>
      <c r="AD11" s="73"/>
      <c r="AE11" s="11">
        <f t="shared" si="5"/>
        <v>0.45833333333331977</v>
      </c>
      <c r="AF11" s="66">
        <f>IF(AH11=Tables!$E$3,IF('Henri''s Hotel'!AG11=Tables!$A$4,'Henri''s Hotel'!AE11,0),0)</f>
        <v>0</v>
      </c>
      <c r="AG11" s="2" t="s">
        <v>29</v>
      </c>
      <c r="AH11" s="2" t="s">
        <v>16</v>
      </c>
      <c r="AI11" s="13">
        <f>INDEX(Tables!$F$3:$F$5,MATCH('Henri''s Hotel'!AH11,Tables!$E$3:$E$5,0))</f>
        <v>1.25</v>
      </c>
      <c r="AJ11" s="35">
        <f>INDEX(Tables!$F$3:$F$5,MATCH('Henri''s Hotel'!AH11,Tables!$E$3:$E$5,0))*INDEX(Tables!$B$3:$B$6,MATCH('Henri''s Hotel'!AG11,Tables!$A$3:$A$6,0))</f>
        <v>10</v>
      </c>
      <c r="AK11" s="45">
        <f>INDEX(Tables!$H$8:$H$10,MATCH(MOD(K11-J11,1)+MOD(M11-L11,1)+MOD(O11-N11,1)+MOD(Q11-P11,1)+MOD(S11-R11,1)+MOD(U11-T11,1),Tables!$D$8:$D$10,1))*AJ11*(MOD(K11-J11,1)+MOD(M11-L11,1)+MOD(O11-N11,1)+MOD(Q11-P11,1)+MOD(S11-R11,1)+MOD(U11-T11,1))*24+INDEX(Tables!$K$8:$K$10,MATCH(AE11,Tables!$D$8:$D$10,1))*(MOD(W11-V11,1)*24)*AJ11</f>
        <v>119.99999999999517</v>
      </c>
      <c r="AL11" s="33">
        <f>IF(AH11=Tables!$E$3,IF('Henri''s Hotel'!AG11=Tables!$A$4,('Henri''s Hotel'!AE11/'Henri''s Hotel'!$AE$30)*'Henri''s Hotel'!$AE$31,),0)</f>
        <v>0</v>
      </c>
      <c r="AM11" s="12"/>
      <c r="AN11" s="12"/>
      <c r="AO11" s="12" t="s">
        <v>17</v>
      </c>
      <c r="AP11" s="15">
        <v>1</v>
      </c>
      <c r="AQ11" s="15">
        <f>INDEX(Tables!$B$15:$B$17,MATCH('Henri''s Hotel'!AO11,Tables!$A$15:$A$17,0))+INDEX(Tables!$B$20:$B$32,MATCH('Henri''s Hotel'!AP11,Tables!$A$20:$A$32,0))</f>
        <v>7800</v>
      </c>
      <c r="AR11" s="46">
        <f>IF(AE11&gt;0,IF(AH11=Tables!$E$5,'Henri''s Hotel'!$M$32/'Henri''s Hotel'!$M$33,))</f>
        <v>0</v>
      </c>
      <c r="AS11" s="46">
        <f>IF(AH11=Tables!$E$3,'Henri''s Hotel'!AK11,)</f>
        <v>0</v>
      </c>
      <c r="AT11" s="46">
        <f>IF($AS$29&lt;'Hotel occupancy'!$B$13,IF('Henri''s Hotel'!AH11=Tables!$E$5,200,0),)</f>
        <v>0</v>
      </c>
      <c r="AU11" s="46">
        <f>(AK11+AL11+AR11+AS11+AT11)*Tables!$F$16</f>
        <v>5999.9999999997581</v>
      </c>
      <c r="AV11" s="46">
        <f t="shared" ref="AV11:AV28" si="7">IF(AU11-AQ11&gt;0,AU11-AQ11,0)</f>
        <v>0</v>
      </c>
      <c r="AW11" s="58">
        <f>IF(AO11=Tables!$E$26,IF(AV11&lt;=Tables!$F$27,Tables!$G$27*'Henri''s Hotel'!AV11,IF('Henri''s Hotel'!AV11&lt;Tables!$F$28,Tables!$G$28*'Henri''s Hotel'!AV11,IF('Henri''s Hotel'!AV11&lt;Tables!$F$29,Tables!$G$29*'Henri''s Hotel'!AV11,'Henri''s Hotel'!AV11*Tables!$G$30))),IF(AV11&lt;=Tables!$F$33,Tables!$G$33*'Henri''s Hotel'!AV11,IF('Henri''s Hotel'!AV11&lt;Tables!$F$34,'Henri''s Hotel'!AV11*Tables!$G$34,IF('Henri''s Hotel'!AV11&lt;Tables!$F$35,Tables!$G$35*'Henri''s Hotel'!AV11,'Henri''s Hotel'!AV11*Tables!$G$36))))</f>
        <v>0</v>
      </c>
      <c r="AX11" s="46">
        <f>IF(AU11&lt;=Tables!$F$39,'Henri''s Hotel'!AU11*Tables!$G$39,IF(AU11&gt;Tables!$F$40,Tables!$G$40*'Henri''s Hotel'!AU11,FALSE))</f>
        <v>329.9999999999867</v>
      </c>
      <c r="AY11" s="46">
        <f t="shared" si="6"/>
        <v>5669.9999999997717</v>
      </c>
      <c r="AZ11" s="43"/>
      <c r="BB11" s="42">
        <f>(MOD(K11-J11,1)+MOD(M11-L11,1)+MOD(O11-N11,1)+MOD(Q11-P11,1)+MOD(S11-R11,1)+MOD(U11-T11,1))*Tables!$F$17</f>
        <v>9.999999999999833</v>
      </c>
      <c r="BC11">
        <f>INDEX(Tables!$H$8:$H$10,MATCH(MOD(K11-J11,1)+MOD(M11-L11,1)+MOD(O11-N11,1)+MOD(Q11-P11,1)+MOD(S11-R11,1)+MOD(U11-T11,1),Tables!$D$8:$D$10,1))</f>
        <v>1</v>
      </c>
      <c r="BD11" s="43">
        <f t="shared" si="1"/>
        <v>99.999999999998323</v>
      </c>
      <c r="BE11" s="42">
        <f t="shared" si="2"/>
        <v>0.9999999999998419</v>
      </c>
      <c r="BF11">
        <f>INDEX(Tables!$K$8:$K$10,MATCH(AE11,Tables!$D$8:$D$10,1))</f>
        <v>2</v>
      </c>
      <c r="BG11" s="43">
        <f t="shared" si="3"/>
        <v>19.999999999996838</v>
      </c>
    </row>
    <row r="12" spans="9:59" x14ac:dyDescent="0.25">
      <c r="I12" s="6" t="s">
        <v>20</v>
      </c>
      <c r="J12" s="71">
        <v>0.95833333333333304</v>
      </c>
      <c r="K12" s="71">
        <v>0.75</v>
      </c>
      <c r="L12" s="71"/>
      <c r="M12" s="71"/>
      <c r="N12" s="71">
        <v>8.3333333333333329E-2</v>
      </c>
      <c r="O12" s="71">
        <v>1.125</v>
      </c>
      <c r="P12" s="71">
        <v>1.1666666666666701</v>
      </c>
      <c r="Q12" s="71">
        <v>1.2083333333333299</v>
      </c>
      <c r="R12" s="71">
        <v>1.25</v>
      </c>
      <c r="S12" s="71">
        <v>1.2916666666666701</v>
      </c>
      <c r="T12" s="71">
        <v>1.3333333333333299</v>
      </c>
      <c r="U12" s="71">
        <v>1.375</v>
      </c>
      <c r="V12" s="71">
        <v>1.4166666666666701</v>
      </c>
      <c r="W12" s="72">
        <v>1.4583333333333299</v>
      </c>
      <c r="X12" s="56">
        <f>IF(COUNTBLANK(J12:W12)&gt;=Tables!$B$34,COUNTA(J12:W12)/Tables!$B$34,"ERROR WORKING DAYS")</f>
        <v>6</v>
      </c>
      <c r="Y12" s="79">
        <f t="shared" si="4"/>
        <v>4.1666666666659857E-2</v>
      </c>
      <c r="Z12" s="65">
        <f>IF(AE12&lt;(Tables!$F$8/Tables!$F$17),0,AE12-(Tables!$F$8/Tables!$F$17))</f>
        <v>0</v>
      </c>
      <c r="AA12" s="65">
        <f t="shared" si="0"/>
        <v>0.99999999999999356</v>
      </c>
      <c r="AB12" s="73">
        <f>AA12*Tables!$F$17*AJ12</f>
        <v>239.99999999999844</v>
      </c>
      <c r="AC12" s="73">
        <f>IF(Z12&gt;0,IF((Z12*Tables!$F$17)&gt;$AB$37,((Z12*Tables!$F$17)-$AB$37)*$AC$37*AJ12+($AB$36*$AC$36*AJ12),(Z12*Tables!F20)*$AC$36*AJ12),)</f>
        <v>0</v>
      </c>
      <c r="AD12" s="73"/>
      <c r="AE12" s="11">
        <f t="shared" si="5"/>
        <v>0.99999999999999356</v>
      </c>
      <c r="AF12" s="66">
        <f>IF(AH12=Tables!$E$3,IF('Henri''s Hotel'!AG12=Tables!$A$4,'Henri''s Hotel'!AE12,0),0)</f>
        <v>0</v>
      </c>
      <c r="AG12" s="2" t="s">
        <v>15</v>
      </c>
      <c r="AH12" s="2" t="s">
        <v>23</v>
      </c>
      <c r="AI12" s="13">
        <f>INDEX(Tables!$F$3:$F$5,MATCH('Henri''s Hotel'!AH12,Tables!$E$3:$E$5,0))</f>
        <v>1</v>
      </c>
      <c r="AJ12" s="35">
        <f>INDEX(Tables!$F$3:$F$5,MATCH('Henri''s Hotel'!AH12,Tables!$E$3:$E$5,0))*INDEX(Tables!$B$3:$B$6,MATCH('Henri''s Hotel'!AG12,Tables!$A$3:$A$6,0))</f>
        <v>10</v>
      </c>
      <c r="AK12" s="45">
        <f>INDEX(Tables!$H$8:$H$10,MATCH(MOD(K12-J12,1)+MOD(M12-L12,1)+MOD(O12-N12,1)+MOD(Q12-P12,1)+MOD(S12-R12,1)+MOD(U12-T12,1),Tables!$D$8:$D$10,1))*AJ12*(MOD(K12-J12,1)+MOD(M12-L12,1)+MOD(O12-N12,1)+MOD(Q12-P12,1)+MOD(S12-R12,1)+MOD(U12-T12,1))*24+INDEX(Tables!$K$8:$K$10,MATCH(AE12,Tables!$D$8:$D$10,1))*(MOD(W12-V12,1)*24)*AJ12</f>
        <v>249.99999999999685</v>
      </c>
      <c r="AL12" s="33">
        <f>IF(AH12=Tables!$E$3,IF('Henri''s Hotel'!AG12=Tables!$A$4,('Henri''s Hotel'!AE12/'Henri''s Hotel'!$AE$30)*'Henri''s Hotel'!$AE$31,),0)</f>
        <v>0</v>
      </c>
      <c r="AM12" s="12"/>
      <c r="AN12" s="12"/>
      <c r="AO12" s="12" t="s">
        <v>17</v>
      </c>
      <c r="AP12" s="15">
        <v>1</v>
      </c>
      <c r="AQ12" s="15">
        <f>INDEX(Tables!$B$15:$B$17,MATCH('Henri''s Hotel'!AO12,Tables!$A$15:$A$17,0))+INDEX(Tables!$B$20:$B$32,MATCH('Henri''s Hotel'!AP12,Tables!$A$20:$A$32,0))</f>
        <v>7800</v>
      </c>
      <c r="AR12" s="46">
        <f>IF(AE12&gt;0,IF(AH12=Tables!$E$5,'Henri''s Hotel'!$M$32/'Henri''s Hotel'!$M$33,))</f>
        <v>0</v>
      </c>
      <c r="AS12" s="46">
        <f>IF(AH12=Tables!$E$3,'Henri''s Hotel'!AK12,)</f>
        <v>249.99999999999685</v>
      </c>
      <c r="AT12" s="46">
        <f>IF($AS$29&lt;'Hotel occupancy'!$B$13,IF('Henri''s Hotel'!AH12=Tables!$E$5,200,0),)</f>
        <v>0</v>
      </c>
      <c r="AU12" s="46">
        <f>(AK12+AL12+AR12+AS12+AT12)*Tables!$F$16</f>
        <v>24999.999999999683</v>
      </c>
      <c r="AV12" s="46">
        <f t="shared" si="7"/>
        <v>17199.999999999683</v>
      </c>
      <c r="AW12" s="58">
        <f>IF(AO12=Tables!$E$26,IF(AV12&lt;=Tables!$F$27,Tables!$G$27*'Henri''s Hotel'!AV12,IF('Henri''s Hotel'!AV12&lt;Tables!$F$28,Tables!$G$28*'Henri''s Hotel'!AV12,IF('Henri''s Hotel'!AV12&lt;Tables!$F$29,Tables!$G$29*'Henri''s Hotel'!AV12,'Henri''s Hotel'!AV12*Tables!$G$30))),IF(AV12&lt;=Tables!$F$33,Tables!$G$33*'Henri''s Hotel'!AV12,IF('Henri''s Hotel'!AV12&lt;Tables!$F$34,'Henri''s Hotel'!AV12*Tables!$G$34,IF('Henri''s Hotel'!AV12&lt;Tables!$F$35,Tables!$G$35*'Henri''s Hotel'!AV12,'Henri''s Hotel'!AV12*Tables!$G$36))))</f>
        <v>6363.9999999998827</v>
      </c>
      <c r="AX12" s="46">
        <f>IF(AU12&lt;=Tables!$F$39,'Henri''s Hotel'!AU12*Tables!$G$39,IF(AU12&gt;Tables!$F$40,Tables!$G$40*'Henri''s Hotel'!AU12,FALSE))</f>
        <v>1374.9999999999825</v>
      </c>
      <c r="AY12" s="46">
        <f t="shared" si="6"/>
        <v>17260.999999999818</v>
      </c>
      <c r="AZ12" s="43"/>
      <c r="BB12" s="42">
        <f>(MOD(K12-J12,1)+MOD(M12-L12,1)+MOD(O12-N12,1)+MOD(Q12-P12,1)+MOD(S12-R12,1)+MOD(U12-T12,1))*Tables!$F$17</f>
        <v>23.000000000000007</v>
      </c>
      <c r="BC12">
        <f>INDEX(Tables!$H$8:$H$10,MATCH(MOD(K12-J12,1)+MOD(M12-L12,1)+MOD(O12-N12,1)+MOD(Q12-P12,1)+MOD(S12-R12,1)+MOD(U12-T12,1),Tables!$D$8:$D$10,1))</f>
        <v>1</v>
      </c>
      <c r="BD12" s="43">
        <f t="shared" si="1"/>
        <v>230.00000000000006</v>
      </c>
      <c r="BE12" s="42">
        <f t="shared" si="2"/>
        <v>0.99999999999983658</v>
      </c>
      <c r="BF12">
        <f>INDEX(Tables!$K$8:$K$10,MATCH(AE12,Tables!$D$8:$D$10,1))</f>
        <v>2</v>
      </c>
      <c r="BG12" s="43">
        <f t="shared" si="3"/>
        <v>19.999999999996732</v>
      </c>
    </row>
    <row r="13" spans="9:59" x14ac:dyDescent="0.25">
      <c r="I13" s="6" t="s">
        <v>22</v>
      </c>
      <c r="J13" s="71">
        <v>12</v>
      </c>
      <c r="K13" s="71">
        <v>0.79166666666666696</v>
      </c>
      <c r="L13" s="71">
        <v>4.1666666666666664E-2</v>
      </c>
      <c r="M13" s="71">
        <v>8.3333333333333329E-2</v>
      </c>
      <c r="N13" s="71"/>
      <c r="O13" s="71"/>
      <c r="P13" s="71">
        <v>1.2083333333333399</v>
      </c>
      <c r="Q13" s="71">
        <v>1.25</v>
      </c>
      <c r="R13" s="71">
        <v>1.2916666666666701</v>
      </c>
      <c r="S13" s="71">
        <v>1.3333333333333399</v>
      </c>
      <c r="T13" s="71">
        <v>1.375</v>
      </c>
      <c r="U13" s="71">
        <v>1.4166666666666701</v>
      </c>
      <c r="V13" s="71">
        <v>1.4583333333333399</v>
      </c>
      <c r="W13" s="72">
        <v>1.5</v>
      </c>
      <c r="X13" s="56">
        <f>IF(COUNTBLANK(J13:W13)&gt;=Tables!$B$34,COUNTA(J13:W13)/Tables!$B$34,"ERROR WORKING DAYS")</f>
        <v>6</v>
      </c>
      <c r="Y13" s="79">
        <f t="shared" si="4"/>
        <v>4.1666666666660079E-2</v>
      </c>
      <c r="Z13" s="65">
        <f>IF(AE13&lt;(Tables!$F$8/Tables!$F$17),0,AE13-(Tables!$F$8/Tables!$F$17))</f>
        <v>0</v>
      </c>
      <c r="AA13" s="65">
        <f t="shared" si="0"/>
        <v>0.99999999999999456</v>
      </c>
      <c r="AB13" s="73">
        <f>AA13*Tables!$F$17*AJ13</f>
        <v>359.99999999999801</v>
      </c>
      <c r="AC13" s="73">
        <f>IF(Z13&gt;0,IF((Z13*Tables!$F$17)&gt;$AB$37,((Z13*Tables!$F$17)-$AB$37)*$AC$37*AJ13+($AB$36*$AC$36*AJ13),(Z13*Tables!F21)*$AC$36*AJ13),)</f>
        <v>0</v>
      </c>
      <c r="AD13" s="73"/>
      <c r="AE13" s="11">
        <f t="shared" si="5"/>
        <v>0.99999999999999456</v>
      </c>
      <c r="AF13" s="66">
        <f>IF(AH13=Tables!$E$3,IF('Henri''s Hotel'!AG13=Tables!$A$4,'Henri''s Hotel'!AE13,0),0)</f>
        <v>0</v>
      </c>
      <c r="AG13" s="2" t="s">
        <v>15</v>
      </c>
      <c r="AH13" s="2" t="s">
        <v>27</v>
      </c>
      <c r="AI13" s="13">
        <f>INDEX(Tables!$F$3:$F$5,MATCH('Henri''s Hotel'!AH13,Tables!$E$3:$E$5,0))</f>
        <v>1.5</v>
      </c>
      <c r="AJ13" s="35">
        <f>INDEX(Tables!$F$3:$F$5,MATCH('Henri''s Hotel'!AH13,Tables!$E$3:$E$5,0))*INDEX(Tables!$B$3:$B$6,MATCH('Henri''s Hotel'!AG13,Tables!$A$3:$A$6,0))</f>
        <v>15</v>
      </c>
      <c r="AK13" s="45">
        <f>INDEX(Tables!$H$8:$H$10,MATCH(MOD(K13-J13,1)+MOD(M13-L13,1)+MOD(O13-N13,1)+MOD(Q13-P13,1)+MOD(S13-R13,1)+MOD(U13-T13,1),Tables!$D$8:$D$10,1))*AJ13*(MOD(K13-J13,1)+MOD(M13-L13,1)+MOD(O13-N13,1)+MOD(Q13-P13,1)+MOD(S13-R13,1)+MOD(U13-T13,1))*24+INDEX(Tables!$K$8:$K$10,MATCH(AE13,Tables!$D$8:$D$10,1))*(MOD(W13-V13,1)*24)*AJ13</f>
        <v>374.99999999999574</v>
      </c>
      <c r="AL13" s="33">
        <f>IF(AH13=Tables!$E$3,IF('Henri''s Hotel'!AG13=Tables!$A$4,('Henri''s Hotel'!AE13/'Henri''s Hotel'!$AE$30)*'Henri''s Hotel'!$AE$31,),0)</f>
        <v>0</v>
      </c>
      <c r="AM13" s="12"/>
      <c r="AN13" s="12"/>
      <c r="AO13" s="12" t="s">
        <v>17</v>
      </c>
      <c r="AP13" s="15">
        <v>1</v>
      </c>
      <c r="AQ13" s="15">
        <f>INDEX(Tables!$B$15:$B$17,MATCH('Henri''s Hotel'!AO13,Tables!$A$15:$A$17,0))+INDEX(Tables!$B$20:$B$32,MATCH('Henri''s Hotel'!AP13,Tables!$A$20:$A$32,0))</f>
        <v>7800</v>
      </c>
      <c r="AR13" s="46">
        <f>IF(AE13&gt;0,IF(AH13=Tables!$E$5,'Henri''s Hotel'!$M$32/'Henri''s Hotel'!$M$33,))</f>
        <v>0.5</v>
      </c>
      <c r="AS13" s="46">
        <f>IF(AH13=Tables!$E$3,'Henri''s Hotel'!AK13,)</f>
        <v>0</v>
      </c>
      <c r="AT13" s="46">
        <f>IF($AS$29&lt;'Hotel occupancy'!$B$13,IF('Henri''s Hotel'!AH13=Tables!$E$5,200,0),)</f>
        <v>200</v>
      </c>
      <c r="AU13" s="46">
        <f>(AK13+AL13+AR13+AS13+AT13)*Tables!$F$16</f>
        <v>28774.999999999785</v>
      </c>
      <c r="AV13" s="46">
        <f t="shared" si="7"/>
        <v>20974.999999999785</v>
      </c>
      <c r="AW13" s="58">
        <f>IF(AO13=Tables!$E$26,IF(AV13&lt;=Tables!$F$27,Tables!$G$27*'Henri''s Hotel'!AV13,IF('Henri''s Hotel'!AV13&lt;Tables!$F$28,Tables!$G$28*'Henri''s Hotel'!AV13,IF('Henri''s Hotel'!AV13&lt;Tables!$F$29,Tables!$G$29*'Henri''s Hotel'!AV13,'Henri''s Hotel'!AV13*Tables!$G$30))),IF(AV13&lt;=Tables!$F$33,Tables!$G$33*'Henri''s Hotel'!AV13,IF('Henri''s Hotel'!AV13&lt;Tables!$F$34,'Henri''s Hotel'!AV13*Tables!$G$34,IF('Henri''s Hotel'!AV13&lt;Tables!$F$35,Tables!$G$35*'Henri''s Hotel'!AV13,'Henri''s Hotel'!AV13*Tables!$G$36))))</f>
        <v>7760.7499999999209</v>
      </c>
      <c r="AX13" s="46">
        <f>IF(AU13&lt;=Tables!$F$39,'Henri''s Hotel'!AU13*Tables!$G$39,IF(AU13&gt;Tables!$F$40,Tables!$G$40*'Henri''s Hotel'!AU13,FALSE))</f>
        <v>1582.6249999999882</v>
      </c>
      <c r="AY13" s="46">
        <f t="shared" si="6"/>
        <v>19431.624999999876</v>
      </c>
      <c r="AZ13" s="43"/>
      <c r="BB13" s="42">
        <f>(MOD(K13-J13,1)+MOD(M13-L13,1)+MOD(O13-N13,1)+MOD(Q13-P13,1)+MOD(S13-R13,1)+MOD(U13-T13,1))*Tables!$F$17</f>
        <v>23.000000000000028</v>
      </c>
      <c r="BC13">
        <f>INDEX(Tables!$H$8:$H$10,MATCH(MOD(K13-J13,1)+MOD(M13-L13,1)+MOD(O13-N13,1)+MOD(Q13-P13,1)+MOD(S13-R13,1)+MOD(U13-T13,1),Tables!$D$8:$D$10,1))</f>
        <v>1</v>
      </c>
      <c r="BD13" s="43">
        <f t="shared" si="1"/>
        <v>345.00000000000045</v>
      </c>
      <c r="BE13" s="42">
        <f t="shared" si="2"/>
        <v>0.9999999999998419</v>
      </c>
      <c r="BF13">
        <f>INDEX(Tables!$K$8:$K$10,MATCH(AE13,Tables!$D$8:$D$10,1))</f>
        <v>2</v>
      </c>
      <c r="BG13" s="43">
        <f t="shared" si="3"/>
        <v>29.999999999995257</v>
      </c>
    </row>
    <row r="14" spans="9:59" x14ac:dyDescent="0.25">
      <c r="I14" s="6" t="s">
        <v>25</v>
      </c>
      <c r="J14" s="71">
        <v>4.1666666666666664E-2</v>
      </c>
      <c r="K14" s="71">
        <v>0.83333333333333304</v>
      </c>
      <c r="L14" s="71">
        <v>8.3333333333333329E-2</v>
      </c>
      <c r="M14" s="71">
        <v>0.125</v>
      </c>
      <c r="N14" s="71"/>
      <c r="O14" s="71"/>
      <c r="P14" s="71">
        <v>1.25</v>
      </c>
      <c r="Q14" s="71">
        <v>1.2916666666666601</v>
      </c>
      <c r="R14" s="71">
        <v>1.3333333333333299</v>
      </c>
      <c r="S14" s="71">
        <v>1.375</v>
      </c>
      <c r="T14" s="71">
        <v>1.4166666666666601</v>
      </c>
      <c r="U14" s="71">
        <v>1.4583333333333299</v>
      </c>
      <c r="V14" s="71">
        <v>1.5</v>
      </c>
      <c r="W14" s="72">
        <v>1.5416666666666601</v>
      </c>
      <c r="X14" s="56">
        <f>IF(COUNTBLANK(J14:W14)&gt;=Tables!$B$34,COUNTA(J14:W14)/Tables!$B$34,"ERROR WORKING DAYS")</f>
        <v>6</v>
      </c>
      <c r="Y14" s="79">
        <f t="shared" si="4"/>
        <v>4.1666666666660079E-2</v>
      </c>
      <c r="Z14" s="65">
        <f>IF(AE14&lt;(Tables!$F$8/Tables!$F$17),0,AE14-(Tables!$F$8/Tables!$F$17))</f>
        <v>0</v>
      </c>
      <c r="AA14" s="65">
        <f t="shared" si="0"/>
        <v>0.99999999999999312</v>
      </c>
      <c r="AB14" s="73">
        <f>AA14*Tables!$F$17*AJ14</f>
        <v>359.99999999999756</v>
      </c>
      <c r="AC14" s="73">
        <f>IF(Z14&gt;0,IF((Z14*Tables!$F$17)&gt;$AB$37,((Z14*Tables!$F$17)-$AB$37)*$AC$37*AJ14+($AB$36*$AC$36*AJ14),(Z14*Tables!F22)*$AC$36*AJ14),)</f>
        <v>0</v>
      </c>
      <c r="AD14" s="73"/>
      <c r="AE14" s="11">
        <f t="shared" si="5"/>
        <v>0.99999999999999312</v>
      </c>
      <c r="AF14" s="66">
        <f>IF(AH14=Tables!$E$3,IF('Henri''s Hotel'!AG14=Tables!$A$4,'Henri''s Hotel'!AE14,0),0)</f>
        <v>0</v>
      </c>
      <c r="AG14" s="2" t="s">
        <v>15</v>
      </c>
      <c r="AH14" s="2" t="s">
        <v>27</v>
      </c>
      <c r="AI14" s="13">
        <f>INDEX(Tables!$F$3:$F$5,MATCH('Henri''s Hotel'!AH14,Tables!$E$3:$E$5,0))</f>
        <v>1.5</v>
      </c>
      <c r="AJ14" s="35">
        <f>INDEX(Tables!$F$3:$F$5,MATCH('Henri''s Hotel'!AH14,Tables!$E$3:$E$5,0))*INDEX(Tables!$B$3:$B$6,MATCH('Henri''s Hotel'!AG14,Tables!$A$3:$A$6,0))</f>
        <v>15</v>
      </c>
      <c r="AK14" s="45">
        <f>INDEX(Tables!$H$8:$H$10,MATCH(MOD(K14-J14,1)+MOD(M14-L14,1)+MOD(O14-N14,1)+MOD(Q14-P14,1)+MOD(S14-R14,1)+MOD(U14-T14,1),Tables!$D$8:$D$10,1))*AJ14*(MOD(K14-J14,1)+MOD(M14-L14,1)+MOD(O14-N14,1)+MOD(Q14-P14,1)+MOD(S14-R14,1)+MOD(U14-T14,1))*24+INDEX(Tables!$K$8:$K$10,MATCH(AE14,Tables!$D$8:$D$10,1))*(MOD(W14-V14,1)*24)*AJ14</f>
        <v>374.99999999999517</v>
      </c>
      <c r="AL14" s="33">
        <f>IF(AH14=Tables!$E$3,IF('Henri''s Hotel'!AG14=Tables!$A$4,('Henri''s Hotel'!AE14/'Henri''s Hotel'!$AE$30)*'Henri''s Hotel'!$AE$31,),0)</f>
        <v>0</v>
      </c>
      <c r="AM14" s="12"/>
      <c r="AN14" s="12"/>
      <c r="AO14" s="12" t="s">
        <v>17</v>
      </c>
      <c r="AP14" s="15">
        <v>0</v>
      </c>
      <c r="AQ14" s="15">
        <f>INDEX(Tables!$B$15:$B$17,MATCH('Henri''s Hotel'!AO14,Tables!$A$15:$A$17,0))+INDEX(Tables!$B$20:$B$32,MATCH('Henri''s Hotel'!AP14,Tables!$A$20:$A$32,0))</f>
        <v>7000</v>
      </c>
      <c r="AR14" s="46">
        <f>IF(AE14&gt;0,IF(AH14=Tables!$E$5,'Henri''s Hotel'!$M$32/'Henri''s Hotel'!$M$33,))</f>
        <v>0.5</v>
      </c>
      <c r="AS14" s="46">
        <f>IF(AH14=Tables!$E$3,'Henri''s Hotel'!AK14,)</f>
        <v>0</v>
      </c>
      <c r="AT14" s="46">
        <f>IF($AS$29&lt;'Hotel occupancy'!$B$13,IF('Henri''s Hotel'!AH14=Tables!$E$5,200,0),)</f>
        <v>200</v>
      </c>
      <c r="AU14" s="46">
        <f>(AK14+AL14+AR14+AS14+AT14)*Tables!$F$16</f>
        <v>28774.99999999976</v>
      </c>
      <c r="AV14" s="46">
        <f t="shared" si="7"/>
        <v>21774.99999999976</v>
      </c>
      <c r="AW14" s="58">
        <f>IF(AO14=Tables!$E$26,IF(AV14&lt;=Tables!$F$27,Tables!$G$27*'Henri''s Hotel'!AV14,IF('Henri''s Hotel'!AV14&lt;Tables!$F$28,Tables!$G$28*'Henri''s Hotel'!AV14,IF('Henri''s Hotel'!AV14&lt;Tables!$F$29,Tables!$G$29*'Henri''s Hotel'!AV14,'Henri''s Hotel'!AV14*Tables!$G$30))),IF(AV14&lt;=Tables!$F$33,Tables!$G$33*'Henri''s Hotel'!AV14,IF('Henri''s Hotel'!AV14&lt;Tables!$F$34,'Henri''s Hotel'!AV14*Tables!$G$34,IF('Henri''s Hotel'!AV14&lt;Tables!$F$35,Tables!$G$35*'Henri''s Hotel'!AV14,'Henri''s Hotel'!AV14*Tables!$G$36))))</f>
        <v>8056.7499999999109</v>
      </c>
      <c r="AX14" s="46">
        <f>IF(AU14&lt;=Tables!$F$39,'Henri''s Hotel'!AU14*Tables!$G$39,IF(AU14&gt;Tables!$F$40,Tables!$G$40*'Henri''s Hotel'!AU14,FALSE))</f>
        <v>1582.6249999999868</v>
      </c>
      <c r="AY14" s="46">
        <f t="shared" si="6"/>
        <v>19135.624999999862</v>
      </c>
      <c r="AZ14" s="43"/>
      <c r="BB14" s="42">
        <f>(MOD(K14-J14,1)+MOD(M14-L14,1)+MOD(O14-N14,1)+MOD(Q14-P14,1)+MOD(S14-R14,1)+MOD(U14-T14,1))*Tables!$F$17</f>
        <v>22.999999999999993</v>
      </c>
      <c r="BC14">
        <f>INDEX(Tables!$H$8:$H$10,MATCH(MOD(K14-J14,1)+MOD(M14-L14,1)+MOD(O14-N14,1)+MOD(Q14-P14,1)+MOD(S14-R14,1)+MOD(U14-T14,1),Tables!$D$8:$D$10,1))</f>
        <v>1</v>
      </c>
      <c r="BD14" s="43">
        <f t="shared" si="1"/>
        <v>344.99999999999989</v>
      </c>
      <c r="BE14" s="42">
        <f t="shared" si="2"/>
        <v>0.9999999999998419</v>
      </c>
      <c r="BF14">
        <f>INDEX(Tables!$K$8:$K$10,MATCH(AE14,Tables!$D$8:$D$10,1))</f>
        <v>2</v>
      </c>
      <c r="BG14" s="43">
        <f t="shared" si="3"/>
        <v>29.999999999995257</v>
      </c>
    </row>
    <row r="15" spans="9:59" x14ac:dyDescent="0.25">
      <c r="I15" s="6" t="s">
        <v>26</v>
      </c>
      <c r="J15" s="71">
        <v>8.3333333333333329E-2</v>
      </c>
      <c r="K15" s="71">
        <v>0.875</v>
      </c>
      <c r="L15" s="71">
        <v>0.125</v>
      </c>
      <c r="M15" s="71">
        <v>0.16666666666666666</v>
      </c>
      <c r="N15" s="71">
        <v>0.20833333333333334</v>
      </c>
      <c r="O15" s="71">
        <v>1.25</v>
      </c>
      <c r="P15" s="71"/>
      <c r="Q15" s="71"/>
      <c r="R15" s="71">
        <v>1.375</v>
      </c>
      <c r="S15" s="71">
        <v>1.4166666666666701</v>
      </c>
      <c r="T15" s="71">
        <v>1.4583333333333299</v>
      </c>
      <c r="U15" s="71">
        <v>1.5</v>
      </c>
      <c r="V15" s="71">
        <v>1.5416666666666701</v>
      </c>
      <c r="W15" s="72">
        <v>1.5833333333333299</v>
      </c>
      <c r="X15" s="56">
        <f>IF(COUNTBLANK(J15:W15)&gt;=Tables!$B$34,COUNTA(J15:W15)/Tables!$B$34,"ERROR WORKING DAYS")</f>
        <v>6</v>
      </c>
      <c r="Y15" s="79">
        <f t="shared" si="4"/>
        <v>4.1666666666659857E-2</v>
      </c>
      <c r="Z15" s="65">
        <f>IF(AE15&lt;(Tables!$F$8/Tables!$F$17),0,AE15-(Tables!$F$8/Tables!$F$17))</f>
        <v>0</v>
      </c>
      <c r="AA15" s="65">
        <f t="shared" si="0"/>
        <v>1</v>
      </c>
      <c r="AB15" s="73">
        <f>AA15*Tables!$F$17*AJ15</f>
        <v>360</v>
      </c>
      <c r="AC15" s="73">
        <f>IF(Z15&gt;0,IF((Z15*Tables!$F$17)&gt;$AB$37,((Z15*Tables!$F$17)-$AB$37)*$AC$37*AJ15+($AB$36*$AC$36*AJ15),(Z15*Tables!F23)*$AC$36*AJ15),)</f>
        <v>0</v>
      </c>
      <c r="AD15" s="73"/>
      <c r="AE15" s="11">
        <f t="shared" si="5"/>
        <v>1</v>
      </c>
      <c r="AF15" s="66">
        <f>IF(AH15=Tables!$E$3,IF('Henri''s Hotel'!AG15=Tables!$A$4,'Henri''s Hotel'!AE15,0),0)</f>
        <v>0</v>
      </c>
      <c r="AG15" s="2" t="s">
        <v>15</v>
      </c>
      <c r="AH15" s="2" t="s">
        <v>27</v>
      </c>
      <c r="AI15" s="13">
        <f>INDEX(Tables!$F$3:$F$5,MATCH('Henri''s Hotel'!AH15,Tables!$E$3:$E$5,0))</f>
        <v>1.5</v>
      </c>
      <c r="AJ15" s="35">
        <f>INDEX(Tables!$F$3:$F$5,MATCH('Henri''s Hotel'!AH15,Tables!$E$3:$E$5,0))*INDEX(Tables!$B$3:$B$6,MATCH('Henri''s Hotel'!AG15,Tables!$A$3:$A$6,0))</f>
        <v>15</v>
      </c>
      <c r="AK15" s="45">
        <f>INDEX(Tables!$H$8:$H$10,MATCH(MOD(K15-J15,1)+MOD(M15-L15,1)+MOD(O15-N15,1)+MOD(Q15-P15,1)+MOD(S15-R15,1)+MOD(U15-T15,1),Tables!$D$8:$D$10,1))*AJ15*(MOD(K15-J15,1)+MOD(M15-L15,1)+MOD(O15-N15,1)+MOD(Q15-P15,1)+MOD(S15-R15,1)+MOD(U15-T15,1))*24+INDEX(Tables!$K$8:$K$10,MATCH(AE15,Tables!$D$8:$D$10,1))*(MOD(W15-V15,1)*24)*AJ15</f>
        <v>374.99999999999761</v>
      </c>
      <c r="AL15" s="33">
        <f>IF(AH15=Tables!$E$3,IF('Henri''s Hotel'!AG15=Tables!$A$4,('Henri''s Hotel'!AE15/'Henri''s Hotel'!$AE$30)*'Henri''s Hotel'!$AE$31,),0)</f>
        <v>0</v>
      </c>
      <c r="AM15" s="12"/>
      <c r="AN15" s="12"/>
      <c r="AO15" s="12" t="s">
        <v>34</v>
      </c>
      <c r="AP15" s="15">
        <v>1</v>
      </c>
      <c r="AQ15" s="15">
        <f>INDEX(Tables!$B$15:$B$17,MATCH('Henri''s Hotel'!AO15,Tables!$A$15:$A$17,0))+INDEX(Tables!$B$20:$B$32,MATCH('Henri''s Hotel'!AP15,Tables!$A$20:$A$32,0))</f>
        <v>5800</v>
      </c>
      <c r="AR15" s="46">
        <f>IF(AE15&gt;0,IF(AH15=Tables!$E$5,'Henri''s Hotel'!$M$32/'Henri''s Hotel'!$M$33,))</f>
        <v>0.5</v>
      </c>
      <c r="AS15" s="46">
        <f>IF(AH15=Tables!$E$3,'Henri''s Hotel'!AK15,)</f>
        <v>0</v>
      </c>
      <c r="AT15" s="46">
        <f>IF($AS$29&lt;'Hotel occupancy'!$B$13,IF('Henri''s Hotel'!AH15=Tables!$E$5,200,0),)</f>
        <v>200</v>
      </c>
      <c r="AU15" s="46">
        <f>(AK15+AL15+AR15+AS15+AT15)*Tables!$F$16</f>
        <v>28774.99999999988</v>
      </c>
      <c r="AV15" s="46">
        <f t="shared" si="7"/>
        <v>22974.99999999988</v>
      </c>
      <c r="AW15" s="58">
        <f>IF(AO15=Tables!$E$26,IF(AV15&lt;=Tables!$F$27,Tables!$G$27*'Henri''s Hotel'!AV15,IF('Henri''s Hotel'!AV15&lt;Tables!$F$28,Tables!$G$28*'Henri''s Hotel'!AV15,IF('Henri''s Hotel'!AV15&lt;Tables!$F$29,Tables!$G$29*'Henri''s Hotel'!AV15,'Henri''s Hotel'!AV15*Tables!$G$30))),IF(AV15&lt;=Tables!$F$33,Tables!$G$33*'Henri''s Hotel'!AV15,IF('Henri''s Hotel'!AV15&lt;Tables!$F$34,'Henri''s Hotel'!AV15*Tables!$G$34,IF('Henri''s Hotel'!AV15&lt;Tables!$F$35,Tables!$G$35*'Henri''s Hotel'!AV15,'Henri''s Hotel'!AV15*Tables!$G$36))))</f>
        <v>9879.2499999999491</v>
      </c>
      <c r="AX15" s="46">
        <f>IF(AU15&lt;=Tables!$F$39,'Henri''s Hotel'!AU15*Tables!$G$39,IF(AU15&gt;Tables!$F$40,Tables!$G$40*'Henri''s Hotel'!AU15,FALSE))</f>
        <v>1582.6249999999934</v>
      </c>
      <c r="AY15" s="46">
        <f t="shared" si="6"/>
        <v>17313.124999999938</v>
      </c>
      <c r="AZ15" s="43"/>
      <c r="BB15" s="42">
        <f>(MOD(K15-J15,1)+MOD(M15-L15,1)+MOD(O15-N15,1)+MOD(Q15-P15,1)+MOD(S15-R15,1)+MOD(U15-T15,1))*Tables!$F$17</f>
        <v>23.000000000000163</v>
      </c>
      <c r="BC15">
        <f>INDEX(Tables!$H$8:$H$10,MATCH(MOD(K15-J15,1)+MOD(M15-L15,1)+MOD(O15-N15,1)+MOD(Q15-P15,1)+MOD(S15-R15,1)+MOD(U15-T15,1),Tables!$D$8:$D$10,1))</f>
        <v>1</v>
      </c>
      <c r="BD15" s="43">
        <f t="shared" si="1"/>
        <v>345.00000000000244</v>
      </c>
      <c r="BE15" s="42">
        <f t="shared" si="2"/>
        <v>0.99999999999983658</v>
      </c>
      <c r="BF15">
        <f>INDEX(Tables!$K$8:$K$10,MATCH(AE15,Tables!$D$8:$D$10,1))</f>
        <v>2</v>
      </c>
      <c r="BG15" s="43">
        <f t="shared" si="3"/>
        <v>29.999999999995097</v>
      </c>
    </row>
    <row r="16" spans="9:59" x14ac:dyDescent="0.25">
      <c r="I16" s="6" t="s">
        <v>28</v>
      </c>
      <c r="J16" s="71">
        <v>0.125</v>
      </c>
      <c r="K16" s="71">
        <v>0.91666666666666696</v>
      </c>
      <c r="L16" s="71">
        <v>0.16666666666666666</v>
      </c>
      <c r="M16" s="71">
        <v>0.20833333333333334</v>
      </c>
      <c r="N16" s="71">
        <v>0.25</v>
      </c>
      <c r="O16" s="71">
        <v>1.2916666666666701</v>
      </c>
      <c r="P16" s="71"/>
      <c r="Q16" s="71"/>
      <c r="R16" s="71">
        <v>1.4166666666666701</v>
      </c>
      <c r="S16" s="71">
        <v>1.4583333333333399</v>
      </c>
      <c r="T16" s="71">
        <v>1.5</v>
      </c>
      <c r="U16" s="71">
        <v>1.5416666666666701</v>
      </c>
      <c r="V16" s="71">
        <v>1.5833333333333399</v>
      </c>
      <c r="W16" s="72">
        <v>1.625</v>
      </c>
      <c r="X16" s="56">
        <f>IF(COUNTBLANK(J16:W16)&gt;=Tables!$B$34,COUNTA(J16:W16)/Tables!$B$34,"ERROR WORKING DAYS")</f>
        <v>6</v>
      </c>
      <c r="Y16" s="79">
        <f t="shared" si="4"/>
        <v>4.1666666666660079E-2</v>
      </c>
      <c r="Z16" s="65">
        <f>IF(AE16&lt;(Tables!$F$8/Tables!$F$17),0,AE16-(Tables!$F$8/Tables!$F$17))</f>
        <v>0</v>
      </c>
      <c r="AA16" s="65">
        <f t="shared" si="0"/>
        <v>1.0000000000000038</v>
      </c>
      <c r="AB16" s="73">
        <f>AA16*Tables!$F$17*AJ16</f>
        <v>360.00000000000136</v>
      </c>
      <c r="AC16" s="73">
        <f>IF(Z16&gt;0,IF((Z16*Tables!$F$17)&gt;$AB$37,((Z16*Tables!$F$17)-$AB$37)*$AC$37*AJ16+($AB$36*$AC$36*AJ16),(Z16*Tables!F24)*$AC$36*AJ16),)</f>
        <v>0</v>
      </c>
      <c r="AD16" s="73"/>
      <c r="AE16" s="11">
        <f t="shared" si="5"/>
        <v>1.0000000000000038</v>
      </c>
      <c r="AF16" s="66">
        <f>IF(AH16=Tables!$E$3,IF('Henri''s Hotel'!AG16=Tables!$A$4,'Henri''s Hotel'!AE16,0),0)</f>
        <v>0</v>
      </c>
      <c r="AG16" s="2" t="s">
        <v>15</v>
      </c>
      <c r="AH16" s="2" t="s">
        <v>27</v>
      </c>
      <c r="AI16" s="13">
        <f>INDEX(Tables!$F$3:$F$5,MATCH('Henri''s Hotel'!AH16,Tables!$E$3:$E$5,0))</f>
        <v>1.5</v>
      </c>
      <c r="AJ16" s="35">
        <f>INDEX(Tables!$F$3:$F$5,MATCH('Henri''s Hotel'!AH16,Tables!$E$3:$E$5,0))*INDEX(Tables!$B$3:$B$6,MATCH('Henri''s Hotel'!AG16,Tables!$A$3:$A$6,0))</f>
        <v>15</v>
      </c>
      <c r="AK16" s="45">
        <f>INDEX(Tables!$H$8:$H$10,MATCH(MOD(K16-J16,1)+MOD(M16-L16,1)+MOD(O16-N16,1)+MOD(Q16-P16,1)+MOD(S16-R16,1)+MOD(U16-T16,1),Tables!$D$8:$D$10,1))*AJ16*(MOD(K16-J16,1)+MOD(M16-L16,1)+MOD(O16-N16,1)+MOD(Q16-P16,1)+MOD(S16-R16,1)+MOD(U16-T16,1))*24+INDEX(Tables!$K$8:$K$10,MATCH(AE16,Tables!$D$8:$D$10,1))*(MOD(W16-V16,1)*24)*AJ16</f>
        <v>374.99999999999903</v>
      </c>
      <c r="AL16" s="33">
        <f>IF(AH16=Tables!$E$3,IF('Henri''s Hotel'!AG16=Tables!$A$4,('Henri''s Hotel'!AE16/'Henri''s Hotel'!$AE$30)*'Henri''s Hotel'!$AE$31,),0)</f>
        <v>0</v>
      </c>
      <c r="AM16" s="12"/>
      <c r="AN16" s="12"/>
      <c r="AO16" s="12" t="s">
        <v>17</v>
      </c>
      <c r="AP16" s="15">
        <v>1</v>
      </c>
      <c r="AQ16" s="15">
        <f>INDEX(Tables!$B$15:$B$17,MATCH('Henri''s Hotel'!AO16,Tables!$A$15:$A$17,0))+INDEX(Tables!$B$20:$B$32,MATCH('Henri''s Hotel'!AP16,Tables!$A$20:$A$32,0))</f>
        <v>7800</v>
      </c>
      <c r="AR16" s="46">
        <f>IF(AE16&gt;0,IF(AH16=Tables!$E$5,'Henri''s Hotel'!$M$32/'Henri''s Hotel'!$M$33,))</f>
        <v>0.5</v>
      </c>
      <c r="AS16" s="46">
        <f>IF(AH16=Tables!$E$3,'Henri''s Hotel'!AK16,)</f>
        <v>0</v>
      </c>
      <c r="AT16" s="46">
        <f>IF($AS$29&lt;'Hotel occupancy'!$B$13,IF('Henri''s Hotel'!AH16=Tables!$E$5,200,0),)</f>
        <v>200</v>
      </c>
      <c r="AU16" s="46">
        <f>(AK16+AL16+AR16+AS16+AT16)*Tables!$F$16</f>
        <v>28774.999999999956</v>
      </c>
      <c r="AV16" s="46">
        <f t="shared" si="7"/>
        <v>20974.999999999956</v>
      </c>
      <c r="AW16" s="58">
        <f>IF(AO16=Tables!$E$26,IF(AV16&lt;=Tables!$F$27,Tables!$G$27*'Henri''s Hotel'!AV16,IF('Henri''s Hotel'!AV16&lt;Tables!$F$28,Tables!$G$28*'Henri''s Hotel'!AV16,IF('Henri''s Hotel'!AV16&lt;Tables!$F$29,Tables!$G$29*'Henri''s Hotel'!AV16,'Henri''s Hotel'!AV16*Tables!$G$30))),IF(AV16&lt;=Tables!$F$33,Tables!$G$33*'Henri''s Hotel'!AV16,IF('Henri''s Hotel'!AV16&lt;Tables!$F$34,'Henri''s Hotel'!AV16*Tables!$G$34,IF('Henri''s Hotel'!AV16&lt;Tables!$F$35,Tables!$G$35*'Henri''s Hotel'!AV16,'Henri''s Hotel'!AV16*Tables!$G$36))))</f>
        <v>7760.7499999999836</v>
      </c>
      <c r="AX16" s="46">
        <f>IF(AU16&lt;=Tables!$F$39,'Henri''s Hotel'!AU16*Tables!$G$39,IF(AU16&gt;Tables!$F$40,Tables!$G$40*'Henri''s Hotel'!AU16,FALSE))</f>
        <v>1582.6249999999975</v>
      </c>
      <c r="AY16" s="46">
        <f t="shared" si="6"/>
        <v>19431.624999999975</v>
      </c>
      <c r="AZ16" s="43"/>
      <c r="BB16" s="42">
        <f>(MOD(K16-J16,1)+MOD(M16-L16,1)+MOD(O16-N16,1)+MOD(Q16-P16,1)+MOD(S16-R16,1)+MOD(U16-T16,1))*Tables!$F$17</f>
        <v>23.000000000000249</v>
      </c>
      <c r="BC16">
        <f>INDEX(Tables!$H$8:$H$10,MATCH(MOD(K16-J16,1)+MOD(M16-L16,1)+MOD(O16-N16,1)+MOD(Q16-P16,1)+MOD(S16-R16,1)+MOD(U16-T16,1),Tables!$D$8:$D$10,1))</f>
        <v>1</v>
      </c>
      <c r="BD16" s="43">
        <f t="shared" si="1"/>
        <v>345.00000000000375</v>
      </c>
      <c r="BE16" s="42">
        <f t="shared" si="2"/>
        <v>0.9999999999998419</v>
      </c>
      <c r="BF16">
        <f>INDEX(Tables!$K$8:$K$10,MATCH(AE16,Tables!$D$8:$D$10,1))</f>
        <v>2</v>
      </c>
      <c r="BG16" s="43">
        <f t="shared" si="3"/>
        <v>29.999999999995257</v>
      </c>
    </row>
    <row r="17" spans="9:59" x14ac:dyDescent="0.25">
      <c r="I17" s="6" t="s">
        <v>30</v>
      </c>
      <c r="J17" s="71">
        <v>0.16666666666666699</v>
      </c>
      <c r="K17" s="71">
        <v>0.95833333333333304</v>
      </c>
      <c r="L17" s="71">
        <v>0.20833333333333334</v>
      </c>
      <c r="M17" s="71">
        <v>0.25</v>
      </c>
      <c r="N17" s="71">
        <v>0.29166666666666669</v>
      </c>
      <c r="O17" s="71">
        <v>1.3333333333333299</v>
      </c>
      <c r="P17" s="71"/>
      <c r="Q17" s="71"/>
      <c r="R17" s="71">
        <v>1.4583333333333299</v>
      </c>
      <c r="S17" s="71">
        <v>1.5</v>
      </c>
      <c r="T17" s="71">
        <v>1.5416666666666601</v>
      </c>
      <c r="U17" s="71">
        <v>1.5833333333333299</v>
      </c>
      <c r="V17" s="71">
        <v>1.625</v>
      </c>
      <c r="W17" s="72">
        <v>1.6666666666666601</v>
      </c>
      <c r="X17" s="56">
        <f>IF(COUNTBLANK(J17:W17)&gt;=Tables!$B$34,COUNTA(J17:W17)/Tables!$B$34,"ERROR WORKING DAYS")</f>
        <v>6</v>
      </c>
      <c r="Y17" s="79">
        <f t="shared" si="4"/>
        <v>4.1666666666660079E-2</v>
      </c>
      <c r="Z17" s="65">
        <f>IF(AE17&lt;(Tables!$F$8/Tables!$F$17),0,AE17-(Tables!$F$8/Tables!$F$17))</f>
        <v>0</v>
      </c>
      <c r="AA17" s="65">
        <f t="shared" si="0"/>
        <v>0.99999999999999589</v>
      </c>
      <c r="AB17" s="73">
        <f>AA17*Tables!$F$17*AJ17</f>
        <v>287.99999999999881</v>
      </c>
      <c r="AC17" s="73">
        <f>IF(Z17&gt;0,IF((Z17*Tables!$F$17)&gt;$AB$37,((Z17*Tables!$F$17)-$AB$37)*$AC$37*AJ17+($AB$36*$AC$36*AJ17),(Z17*Tables!F25)*$AC$36*AJ17),)</f>
        <v>0</v>
      </c>
      <c r="AD17" s="73"/>
      <c r="AE17" s="11">
        <f t="shared" si="5"/>
        <v>0.99999999999999589</v>
      </c>
      <c r="AF17" s="66">
        <f>IF(AH17=Tables!$E$3,IF('Henri''s Hotel'!AG17=Tables!$A$4,'Henri''s Hotel'!AE17,0),0)</f>
        <v>0</v>
      </c>
      <c r="AG17" s="2" t="s">
        <v>29</v>
      </c>
      <c r="AH17" s="2" t="s">
        <v>27</v>
      </c>
      <c r="AI17" s="13">
        <f>INDEX(Tables!$F$3:$F$5,MATCH('Henri''s Hotel'!AH17,Tables!$E$3:$E$5,0))</f>
        <v>1.5</v>
      </c>
      <c r="AJ17" s="35">
        <f>INDEX(Tables!$F$3:$F$5,MATCH('Henri''s Hotel'!AH17,Tables!$E$3:$E$5,0))*INDEX(Tables!$B$3:$B$6,MATCH('Henri''s Hotel'!AG17,Tables!$A$3:$A$6,0))</f>
        <v>12</v>
      </c>
      <c r="AK17" s="45">
        <f>INDEX(Tables!$H$8:$H$10,MATCH(MOD(K17-J17,1)+MOD(M17-L17,1)+MOD(O17-N17,1)+MOD(Q17-P17,1)+MOD(S17-R17,1)+MOD(U17-T17,1),Tables!$D$8:$D$10,1))*AJ17*(MOD(K17-J17,1)+MOD(M17-L17,1)+MOD(O17-N17,1)+MOD(Q17-P17,1)+MOD(S17-R17,1)+MOD(U17-T17,1))*24+INDEX(Tables!$K$8:$K$10,MATCH(AE17,Tables!$D$8:$D$10,1))*(MOD(W17-V17,1)*24)*AJ17</f>
        <v>299.99999999999693</v>
      </c>
      <c r="AL17" s="33">
        <f>IF(AH17=Tables!$E$3,IF('Henri''s Hotel'!AG17=Tables!$A$4,('Henri''s Hotel'!AE17/'Henri''s Hotel'!$AE$30)*'Henri''s Hotel'!$AE$31,),0)</f>
        <v>0</v>
      </c>
      <c r="AM17" s="12"/>
      <c r="AN17" s="12"/>
      <c r="AO17" s="12" t="s">
        <v>17</v>
      </c>
      <c r="AP17" s="15">
        <v>3</v>
      </c>
      <c r="AQ17" s="15">
        <f>INDEX(Tables!$B$15:$B$17,MATCH('Henri''s Hotel'!AO17,Tables!$A$15:$A$17,0))+INDEX(Tables!$B$20:$B$32,MATCH('Henri''s Hotel'!AP17,Tables!$A$20:$A$32,0))</f>
        <v>9400</v>
      </c>
      <c r="AR17" s="46">
        <f>IF(AE17&gt;0,IF(AH17=Tables!$E$5,'Henri''s Hotel'!$M$32/'Henri''s Hotel'!$M$33,))</f>
        <v>0.5</v>
      </c>
      <c r="AS17" s="46">
        <f>IF(AH17=Tables!$E$3,'Henri''s Hotel'!AK17,)</f>
        <v>0</v>
      </c>
      <c r="AT17" s="46">
        <f>IF($AS$29&lt;'Hotel occupancy'!$B$13,IF('Henri''s Hotel'!AH17=Tables!$E$5,200,0),)</f>
        <v>200</v>
      </c>
      <c r="AU17" s="46">
        <f>(AK17+AL17+AR17+AS17+AT17)*Tables!$F$16</f>
        <v>25024.999999999847</v>
      </c>
      <c r="AV17" s="46">
        <f t="shared" si="7"/>
        <v>15624.999999999847</v>
      </c>
      <c r="AW17" s="58">
        <f>IF(AO17=Tables!$E$26,IF(AV17&lt;=Tables!$F$27,Tables!$G$27*'Henri''s Hotel'!AV17,IF('Henri''s Hotel'!AV17&lt;Tables!$F$28,Tables!$G$28*'Henri''s Hotel'!AV17,IF('Henri''s Hotel'!AV17&lt;Tables!$F$29,Tables!$G$29*'Henri''s Hotel'!AV17,'Henri''s Hotel'!AV17*Tables!$G$30))),IF(AV17&lt;=Tables!$F$33,Tables!$G$33*'Henri''s Hotel'!AV17,IF('Henri''s Hotel'!AV17&lt;Tables!$F$34,'Henri''s Hotel'!AV17*Tables!$G$34,IF('Henri''s Hotel'!AV17&lt;Tables!$F$35,Tables!$G$35*'Henri''s Hotel'!AV17,'Henri''s Hotel'!AV17*Tables!$G$36))))</f>
        <v>3906.2499999999618</v>
      </c>
      <c r="AX17" s="46">
        <f>IF(AU17&lt;=Tables!$F$39,'Henri''s Hotel'!AU17*Tables!$G$39,IF(AU17&gt;Tables!$F$40,Tables!$G$40*'Henri''s Hotel'!AU17,FALSE))</f>
        <v>1376.3749999999916</v>
      </c>
      <c r="AY17" s="46">
        <f t="shared" si="6"/>
        <v>19742.374999999891</v>
      </c>
      <c r="AZ17" s="43"/>
      <c r="BB17" s="42">
        <f>(MOD(K17-J17,1)+MOD(M17-L17,1)+MOD(O17-N17,1)+MOD(Q17-P17,1)+MOD(S17-R17,1)+MOD(U17-T17,1))*Tables!$F$17</f>
        <v>23.00000000000006</v>
      </c>
      <c r="BC17">
        <f>INDEX(Tables!$H$8:$H$10,MATCH(MOD(K17-J17,1)+MOD(M17-L17,1)+MOD(O17-N17,1)+MOD(Q17-P17,1)+MOD(S17-R17,1)+MOD(U17-T17,1),Tables!$D$8:$D$10,1))</f>
        <v>1</v>
      </c>
      <c r="BD17" s="43">
        <f t="shared" si="1"/>
        <v>276.00000000000074</v>
      </c>
      <c r="BE17" s="42">
        <f t="shared" si="2"/>
        <v>0.9999999999998419</v>
      </c>
      <c r="BF17">
        <f>INDEX(Tables!$K$8:$K$10,MATCH(AE17,Tables!$D$8:$D$10,1))</f>
        <v>2</v>
      </c>
      <c r="BG17" s="43">
        <f t="shared" si="3"/>
        <v>23.999999999996206</v>
      </c>
    </row>
    <row r="18" spans="9:59" x14ac:dyDescent="0.25">
      <c r="I18" s="6" t="s">
        <v>31</v>
      </c>
      <c r="J18" s="71">
        <v>0.20833333333333301</v>
      </c>
      <c r="K18" s="71">
        <v>12</v>
      </c>
      <c r="L18" s="71">
        <v>0.25</v>
      </c>
      <c r="M18" s="71">
        <v>0.29166666666666669</v>
      </c>
      <c r="N18" s="71">
        <v>0.33333333333333331</v>
      </c>
      <c r="O18" s="71">
        <v>1.375</v>
      </c>
      <c r="P18" s="71">
        <v>1.4166666666666701</v>
      </c>
      <c r="Q18" s="71">
        <v>1.4583333333333299</v>
      </c>
      <c r="R18" s="71"/>
      <c r="S18" s="71"/>
      <c r="T18" s="71">
        <v>1.5833333333333299</v>
      </c>
      <c r="U18" s="71">
        <v>1.625</v>
      </c>
      <c r="V18" s="71">
        <v>1.6666666666666701</v>
      </c>
      <c r="W18" s="72">
        <v>1.7083333333333299</v>
      </c>
      <c r="X18" s="56">
        <f>IF(COUNTBLANK(J18:W18)&gt;=Tables!$B$34,COUNTA(J18:W18)/Tables!$B$34,"ERROR WORKING DAYS")</f>
        <v>6</v>
      </c>
      <c r="Y18" s="79">
        <f t="shared" si="4"/>
        <v>4.1666666666659857E-2</v>
      </c>
      <c r="Z18" s="65">
        <f>IF(AE18&lt;(Tables!$F$8/Tables!$F$17),0,AE18-(Tables!$F$8/Tables!$F$17))</f>
        <v>0</v>
      </c>
      <c r="AA18" s="65">
        <f t="shared" si="0"/>
        <v>0.99999999999999112</v>
      </c>
      <c r="AB18" s="73">
        <f>AA18*Tables!$F$17*AJ18</f>
        <v>191.99999999999829</v>
      </c>
      <c r="AC18" s="73">
        <f>IF(Z18&gt;0,IF((Z18*Tables!$F$17)&gt;$AB$37,((Z18*Tables!$F$17)-$AB$37)*$AC$37*AJ18+($AB$36*$AC$36*AJ18),(Z18*Tables!F26)*$AC$36*AJ18),)</f>
        <v>0</v>
      </c>
      <c r="AD18" s="73"/>
      <c r="AE18" s="11">
        <f t="shared" si="5"/>
        <v>0.99999999999999112</v>
      </c>
      <c r="AF18" s="66">
        <f>IF(AH18=Tables!$E$3,IF('Henri''s Hotel'!AG18=Tables!$A$4,'Henri''s Hotel'!AE18,0),0)</f>
        <v>0.99999999999999112</v>
      </c>
      <c r="AG18" s="2" t="s">
        <v>29</v>
      </c>
      <c r="AH18" s="2" t="s">
        <v>23</v>
      </c>
      <c r="AI18" s="13">
        <f>INDEX(Tables!$F$3:$F$5,MATCH('Henri''s Hotel'!AH18,Tables!$E$3:$E$5,0))</f>
        <v>1</v>
      </c>
      <c r="AJ18" s="35">
        <f>INDEX(Tables!$F$3:$F$5,MATCH('Henri''s Hotel'!AH18,Tables!$E$3:$E$5,0))*INDEX(Tables!$B$3:$B$6,MATCH('Henri''s Hotel'!AG18,Tables!$A$3:$A$6,0))</f>
        <v>8</v>
      </c>
      <c r="AK18" s="45">
        <f>INDEX(Tables!$H$8:$H$10,MATCH(MOD(K18-J18,1)+MOD(M18-L18,1)+MOD(O18-N18,1)+MOD(Q18-P18,1)+MOD(S18-R18,1)+MOD(U18-T18,1),Tables!$D$8:$D$10,1))*AJ18*(MOD(K18-J18,1)+MOD(M18-L18,1)+MOD(O18-N18,1)+MOD(Q18-P18,1)+MOD(S18-R18,1)+MOD(U18-T18,1))*24+INDEX(Tables!$K$8:$K$10,MATCH(AE18,Tables!$D$8:$D$10,1))*(MOD(W18-V18,1)*24)*AJ18</f>
        <v>199.99999999999699</v>
      </c>
      <c r="AL18" s="33">
        <f>IF(AH18=Tables!$E$3,IF('Henri''s Hotel'!AG18=Tables!$A$4,('Henri''s Hotel'!AE18/'Henri''s Hotel'!$AE$30)*'Henri''s Hotel'!$AE$31,),0)</f>
        <v>1.9999999999999927</v>
      </c>
      <c r="AM18" s="12"/>
      <c r="AN18" s="12"/>
      <c r="AO18" s="12" t="s">
        <v>34</v>
      </c>
      <c r="AP18" s="15">
        <v>1</v>
      </c>
      <c r="AQ18" s="15">
        <f>INDEX(Tables!$B$15:$B$17,MATCH('Henri''s Hotel'!AO18,Tables!$A$15:$A$17,0))+INDEX(Tables!$B$20:$B$32,MATCH('Henri''s Hotel'!AP18,Tables!$A$20:$A$32,0))</f>
        <v>5800</v>
      </c>
      <c r="AR18" s="46">
        <f>IF(AE18&gt;0,IF(AH18=Tables!$E$5,'Henri''s Hotel'!$M$32/'Henri''s Hotel'!$M$33,))</f>
        <v>0</v>
      </c>
      <c r="AS18" s="46">
        <f>IF(AH18=Tables!$E$3,'Henri''s Hotel'!AK18,)</f>
        <v>199.99999999999699</v>
      </c>
      <c r="AT18" s="46">
        <f>IF($AS$29&lt;'Hotel occupancy'!$B$13,IF('Henri''s Hotel'!AH18=Tables!$E$5,200,0),)</f>
        <v>0</v>
      </c>
      <c r="AU18" s="46">
        <f>(AK18+AL18+AR18+AS18+AT18)*Tables!$F$16</f>
        <v>20099.999999999698</v>
      </c>
      <c r="AV18" s="46">
        <f t="shared" si="7"/>
        <v>14299.999999999698</v>
      </c>
      <c r="AW18" s="58">
        <f>IF(AO18=Tables!$E$26,IF(AV18&lt;=Tables!$F$27,Tables!$G$27*'Henri''s Hotel'!AV18,IF('Henri''s Hotel'!AV18&lt;Tables!$F$28,Tables!$G$28*'Henri''s Hotel'!AV18,IF('Henri''s Hotel'!AV18&lt;Tables!$F$29,Tables!$G$29*'Henri''s Hotel'!AV18,'Henri''s Hotel'!AV18*Tables!$G$30))),IF(AV18&lt;=Tables!$F$33,Tables!$G$33*'Henri''s Hotel'!AV18,IF('Henri''s Hotel'!AV18&lt;Tables!$F$34,'Henri''s Hotel'!AV18*Tables!$G$34,IF('Henri''s Hotel'!AV18&lt;Tables!$F$35,Tables!$G$35*'Henri''s Hotel'!AV18,'Henri''s Hotel'!AV18*Tables!$G$36))))</f>
        <v>6148.9999999998699</v>
      </c>
      <c r="AX18" s="46">
        <f>IF(AU18&lt;=Tables!$F$39,'Henri''s Hotel'!AU18*Tables!$G$39,IF(AU18&gt;Tables!$F$40,Tables!$G$40*'Henri''s Hotel'!AU18,FALSE))</f>
        <v>1105.4999999999834</v>
      </c>
      <c r="AY18" s="46">
        <f t="shared" si="6"/>
        <v>12845.499999999845</v>
      </c>
      <c r="AZ18" s="43"/>
      <c r="BB18" s="42">
        <f>(MOD(K18-J18,1)+MOD(M18-L18,1)+MOD(O18-N18,1)+MOD(Q18-P18,1)+MOD(S18-R18,1)+MOD(U18-T18,1))*Tables!$F$17</f>
        <v>22.99999999999995</v>
      </c>
      <c r="BC18">
        <f>INDEX(Tables!$H$8:$H$10,MATCH(MOD(K18-J18,1)+MOD(M18-L18,1)+MOD(O18-N18,1)+MOD(Q18-P18,1)+MOD(S18-R18,1)+MOD(U18-T18,1),Tables!$D$8:$D$10,1))</f>
        <v>1</v>
      </c>
      <c r="BD18" s="43">
        <f t="shared" si="1"/>
        <v>183.9999999999996</v>
      </c>
      <c r="BE18" s="42">
        <f t="shared" si="2"/>
        <v>0.99999999999983658</v>
      </c>
      <c r="BF18">
        <f>INDEX(Tables!$K$8:$K$10,MATCH(AE18,Tables!$D$8:$D$10,1))</f>
        <v>2</v>
      </c>
      <c r="BG18" s="43">
        <f t="shared" si="3"/>
        <v>15.999999999997385</v>
      </c>
    </row>
    <row r="19" spans="9:59" x14ac:dyDescent="0.25">
      <c r="I19" s="6" t="s">
        <v>32</v>
      </c>
      <c r="J19" s="71">
        <v>0.25</v>
      </c>
      <c r="K19" s="71">
        <v>4.1666666666666664E-2</v>
      </c>
      <c r="L19" s="71">
        <v>0.29166666666666669</v>
      </c>
      <c r="M19" s="71">
        <v>0.33333333333333331</v>
      </c>
      <c r="N19" s="71">
        <v>0.375</v>
      </c>
      <c r="O19" s="71">
        <v>1.4166666666666701</v>
      </c>
      <c r="P19" s="71">
        <v>1.4583333333333399</v>
      </c>
      <c r="Q19" s="71">
        <v>1.5</v>
      </c>
      <c r="R19" s="71"/>
      <c r="S19" s="71"/>
      <c r="T19" s="71">
        <v>1.625</v>
      </c>
      <c r="U19" s="71">
        <v>1.6666666666666701</v>
      </c>
      <c r="V19" s="71">
        <v>1.7083333333333399</v>
      </c>
      <c r="W19" s="72">
        <v>1.75</v>
      </c>
      <c r="X19" s="56">
        <f>IF(COUNTBLANK(J19:W19)&gt;=Tables!$B$34,COUNTA(J19:W19)/Tables!$B$34,"ERROR WORKING DAYS")</f>
        <v>6</v>
      </c>
      <c r="Y19" s="79">
        <f t="shared" si="4"/>
        <v>4.1666666666660079E-2</v>
      </c>
      <c r="Z19" s="65">
        <f>IF(AE19&lt;(Tables!$F$8/Tables!$F$17),0,AE19-(Tables!$F$8/Tables!$F$17))</f>
        <v>0</v>
      </c>
      <c r="AA19" s="65">
        <f t="shared" si="0"/>
        <v>0.99999999999999356</v>
      </c>
      <c r="AB19" s="73">
        <f>AA19*Tables!$F$17*AJ19</f>
        <v>191.99999999999875</v>
      </c>
      <c r="AC19" s="73">
        <f>IF(Z19&gt;0,IF((Z19*Tables!$F$17)&gt;$AB$37,((Z19*Tables!$F$17)-$AB$37)*$AC$37*AJ19+($AB$36*$AC$36*AJ19),(Z19*Tables!F27)*$AC$36*AJ19),)</f>
        <v>0</v>
      </c>
      <c r="AD19" s="73"/>
      <c r="AE19" s="11">
        <f t="shared" si="5"/>
        <v>0.99999999999999356</v>
      </c>
      <c r="AF19" s="66">
        <f>IF(AH19=Tables!$E$3,IF('Henri''s Hotel'!AG19=Tables!$A$4,'Henri''s Hotel'!AE19,0),0)</f>
        <v>0.99999999999999356</v>
      </c>
      <c r="AG19" s="2" t="s">
        <v>29</v>
      </c>
      <c r="AH19" s="2" t="s">
        <v>23</v>
      </c>
      <c r="AI19" s="13">
        <f>INDEX(Tables!$F$3:$F$5,MATCH('Henri''s Hotel'!AH19,Tables!$E$3:$E$5,0))</f>
        <v>1</v>
      </c>
      <c r="AJ19" s="35">
        <f>INDEX(Tables!$F$3:$F$5,MATCH('Henri''s Hotel'!AH19,Tables!$E$3:$E$5,0))*INDEX(Tables!$B$3:$B$6,MATCH('Henri''s Hotel'!AG19,Tables!$A$3:$A$6,0))</f>
        <v>8</v>
      </c>
      <c r="AK19" s="45">
        <f>INDEX(Tables!$H$8:$H$10,MATCH(MOD(K19-J19,1)+MOD(M19-L19,1)+MOD(O19-N19,1)+MOD(Q19-P19,1)+MOD(S19-R19,1)+MOD(U19-T19,1),Tables!$D$8:$D$10,1))*AJ19*(MOD(K19-J19,1)+MOD(M19-L19,1)+MOD(O19-N19,1)+MOD(Q19-P19,1)+MOD(S19-R19,1)+MOD(U19-T19,1))*24+INDEX(Tables!$K$8:$K$10,MATCH(AE19,Tables!$D$8:$D$10,1))*(MOD(W19-V19,1)*24)*AJ19</f>
        <v>199.9999999999975</v>
      </c>
      <c r="AL19" s="33">
        <f>IF(AH19=Tables!$E$3,IF('Henri''s Hotel'!AG19=Tables!$A$4,('Henri''s Hotel'!AE19/'Henri''s Hotel'!$AE$30)*'Henri''s Hotel'!$AE$31,),0)</f>
        <v>1.9999999999999973</v>
      </c>
      <c r="AM19" s="12"/>
      <c r="AN19" s="12"/>
      <c r="AO19" s="12" t="s">
        <v>17</v>
      </c>
      <c r="AP19" s="15">
        <v>1</v>
      </c>
      <c r="AQ19" s="15">
        <f>INDEX(Tables!$B$15:$B$17,MATCH('Henri''s Hotel'!AO19,Tables!$A$15:$A$17,0))+INDEX(Tables!$B$20:$B$32,MATCH('Henri''s Hotel'!AP19,Tables!$A$20:$A$32,0))</f>
        <v>7800</v>
      </c>
      <c r="AR19" s="46">
        <f>IF(AE19&gt;0,IF(AH19=Tables!$E$5,'Henri''s Hotel'!$M$32/'Henri''s Hotel'!$M$33,))</f>
        <v>0</v>
      </c>
      <c r="AS19" s="46">
        <f>IF(AH19=Tables!$E$3,'Henri''s Hotel'!AK19,)</f>
        <v>199.9999999999975</v>
      </c>
      <c r="AT19" s="46">
        <f>IF($AS$29&lt;'Hotel occupancy'!$B$13,IF('Henri''s Hotel'!AH19=Tables!$E$5,200,0),)</f>
        <v>0</v>
      </c>
      <c r="AU19" s="46">
        <f>(AK19+AL19+AR19+AS19+AT19)*Tables!$F$16</f>
        <v>20099.999999999749</v>
      </c>
      <c r="AV19" s="46">
        <f t="shared" si="7"/>
        <v>12299.999999999749</v>
      </c>
      <c r="AW19" s="58">
        <f>IF(AO19=Tables!$E$26,IF(AV19&lt;=Tables!$F$27,Tables!$G$27*'Henri''s Hotel'!AV19,IF('Henri''s Hotel'!AV19&lt;Tables!$F$28,Tables!$G$28*'Henri''s Hotel'!AV19,IF('Henri''s Hotel'!AV19&lt;Tables!$F$29,Tables!$G$29*'Henri''s Hotel'!AV19,'Henri''s Hotel'!AV19*Tables!$G$30))),IF(AV19&lt;=Tables!$F$33,Tables!$G$33*'Henri''s Hotel'!AV19,IF('Henri''s Hotel'!AV19&lt;Tables!$F$34,'Henri''s Hotel'!AV19*Tables!$G$34,IF('Henri''s Hotel'!AV19&lt;Tables!$F$35,Tables!$G$35*'Henri''s Hotel'!AV19,'Henri''s Hotel'!AV19*Tables!$G$36))))</f>
        <v>3074.9999999999372</v>
      </c>
      <c r="AX19" s="46">
        <f>IF(AU19&lt;=Tables!$F$39,'Henri''s Hotel'!AU19*Tables!$G$39,IF(AU19&gt;Tables!$F$40,Tables!$G$40*'Henri''s Hotel'!AU19,FALSE))</f>
        <v>1105.4999999999861</v>
      </c>
      <c r="AY19" s="46">
        <f t="shared" si="6"/>
        <v>15919.499999999825</v>
      </c>
      <c r="AZ19" s="43"/>
      <c r="BB19" s="42">
        <f>(MOD(K19-J19,1)+MOD(M19-L19,1)+MOD(O19-N19,1)+MOD(Q19-P19,1)+MOD(S19-R19,1)+MOD(U19-T19,1))*Tables!$F$17</f>
        <v>23.000000000000004</v>
      </c>
      <c r="BC19">
        <f>INDEX(Tables!$H$8:$H$10,MATCH(MOD(K19-J19,1)+MOD(M19-L19,1)+MOD(O19-N19,1)+MOD(Q19-P19,1)+MOD(S19-R19,1)+MOD(U19-T19,1),Tables!$D$8:$D$10,1))</f>
        <v>1</v>
      </c>
      <c r="BD19" s="43">
        <f t="shared" si="1"/>
        <v>184.00000000000003</v>
      </c>
      <c r="BE19" s="42">
        <f t="shared" si="2"/>
        <v>0.9999999999998419</v>
      </c>
      <c r="BF19">
        <f>INDEX(Tables!$K$8:$K$10,MATCH(AE19,Tables!$D$8:$D$10,1))</f>
        <v>2</v>
      </c>
      <c r="BG19" s="43">
        <f t="shared" si="3"/>
        <v>15.99999999999747</v>
      </c>
    </row>
    <row r="20" spans="9:59" x14ac:dyDescent="0.25">
      <c r="I20" s="6" t="s">
        <v>33</v>
      </c>
      <c r="J20" s="71">
        <v>0.29166666666666702</v>
      </c>
      <c r="K20" s="71">
        <v>0.25</v>
      </c>
      <c r="L20" s="71">
        <v>0.33333333333333331</v>
      </c>
      <c r="M20" s="71">
        <v>0.375</v>
      </c>
      <c r="N20" s="71">
        <v>0.41666666666666669</v>
      </c>
      <c r="O20" s="71">
        <v>1.4583333333333299</v>
      </c>
      <c r="P20" s="71">
        <v>1.5</v>
      </c>
      <c r="Q20" s="71">
        <v>1.5416666666666601</v>
      </c>
      <c r="R20" s="71"/>
      <c r="S20" s="71"/>
      <c r="T20" s="71">
        <v>1.6666666666666601</v>
      </c>
      <c r="U20" s="71">
        <v>1.7083333333333299</v>
      </c>
      <c r="V20" s="71">
        <v>1.75</v>
      </c>
      <c r="W20" s="72">
        <v>1.7916666666666601</v>
      </c>
      <c r="X20" s="56">
        <f>IF(COUNTBLANK(J20:W20)&gt;=Tables!$B$34,COUNTA(J20:W20)/Tables!$B$34,"ERROR WORKING DAYS")</f>
        <v>6</v>
      </c>
      <c r="Y20" s="79">
        <f t="shared" si="4"/>
        <v>4.1666666666660079E-2</v>
      </c>
      <c r="Z20" s="65">
        <f>IF(AE20&lt;(Tables!$F$8/Tables!$F$17),0,AE20-(Tables!$F$8/Tables!$F$17))</f>
        <v>0</v>
      </c>
      <c r="AA20" s="65">
        <f t="shared" si="0"/>
        <v>1.166666666666653</v>
      </c>
      <c r="AB20" s="73">
        <f>AA20*Tables!$F$17*AJ20</f>
        <v>335.99999999999608</v>
      </c>
      <c r="AC20" s="73">
        <f>IF(Z20&gt;0,IF((Z20*Tables!$F$17)&gt;$AB$37,((Z20*Tables!$F$17)-$AB$37)*$AC$37*AJ20+($AB$36*$AC$36*AJ20),(Z20*Tables!F28)*$AC$36*AJ20),)</f>
        <v>0</v>
      </c>
      <c r="AD20" s="73"/>
      <c r="AE20" s="11">
        <f t="shared" si="5"/>
        <v>1.166666666666653</v>
      </c>
      <c r="AF20" s="66">
        <f>IF(AH20=Tables!$E$3,IF('Henri''s Hotel'!AG20=Tables!$A$4,'Henri''s Hotel'!AE20,0),0)</f>
        <v>0</v>
      </c>
      <c r="AG20" s="2" t="s">
        <v>29</v>
      </c>
      <c r="AH20" s="2" t="s">
        <v>27</v>
      </c>
      <c r="AI20" s="13">
        <f>INDEX(Tables!$F$3:$F$5,MATCH('Henri''s Hotel'!AH20,Tables!$E$3:$E$5,0))</f>
        <v>1.5</v>
      </c>
      <c r="AJ20" s="35">
        <f>INDEX(Tables!$F$3:$F$5,MATCH('Henri''s Hotel'!AH20,Tables!$E$3:$E$5,0))*INDEX(Tables!$B$3:$B$6,MATCH('Henri''s Hotel'!AG20,Tables!$A$3:$A$6,0))</f>
        <v>12</v>
      </c>
      <c r="AK20" s="45">
        <f>INDEX(Tables!$H$8:$H$10,MATCH(MOD(K20-J20,1)+MOD(M20-L20,1)+MOD(O20-N20,1)+MOD(Q20-P20,1)+MOD(S20-R20,1)+MOD(U20-T20,1),Tables!$D$8:$D$10,1))*AJ20*(MOD(K20-J20,1)+MOD(M20-L20,1)+MOD(O20-N20,1)+MOD(Q20-P20,1)+MOD(S20-R20,1)+MOD(U20-T20,1))*24+INDEX(Tables!$K$8:$K$10,MATCH(AE20,Tables!$D$8:$D$10,1))*(MOD(W20-V20,1)*24)*AJ20</f>
        <v>347.99999999999415</v>
      </c>
      <c r="AL20" s="33">
        <f>IF(AH20=Tables!$E$3,IF('Henri''s Hotel'!AG20=Tables!$A$4,('Henri''s Hotel'!AE20/'Henri''s Hotel'!$AE$30)*'Henri''s Hotel'!$AE$31,),0)</f>
        <v>0</v>
      </c>
      <c r="AM20" s="12"/>
      <c r="AN20" s="12"/>
      <c r="AO20" s="12" t="s">
        <v>24</v>
      </c>
      <c r="AP20" s="15">
        <v>6</v>
      </c>
      <c r="AQ20" s="15">
        <f>INDEX(Tables!$B$15:$B$17,MATCH('Henri''s Hotel'!AO20,Tables!$A$15:$A$17,0))+INDEX(Tables!$B$20:$B$32,MATCH('Henri''s Hotel'!AP20,Tables!$A$20:$A$32,0))</f>
        <v>10300</v>
      </c>
      <c r="AR20" s="46">
        <f>IF(AE20&gt;0,IF(AH20=Tables!$E$5,'Henri''s Hotel'!$M$32/'Henri''s Hotel'!$M$33,))</f>
        <v>0.5</v>
      </c>
      <c r="AS20" s="46">
        <f>IF(AH20=Tables!$E$3,'Henri''s Hotel'!AK20,)</f>
        <v>0</v>
      </c>
      <c r="AT20" s="46">
        <f>IF($AS$29&lt;'Hotel occupancy'!$B$13,IF('Henri''s Hotel'!AH20=Tables!$E$5,200,0),)</f>
        <v>200</v>
      </c>
      <c r="AU20" s="46">
        <f>(AK20+AL20+AR20+AS20+AT20)*Tables!$F$16</f>
        <v>27424.999999999705</v>
      </c>
      <c r="AV20" s="46">
        <f t="shared" si="7"/>
        <v>17124.999999999705</v>
      </c>
      <c r="AW20" s="58">
        <f>IF(AO20=Tables!$E$26,IF(AV20&lt;=Tables!$F$27,Tables!$G$27*'Henri''s Hotel'!AV20,IF('Henri''s Hotel'!AV20&lt;Tables!$F$28,Tables!$G$28*'Henri''s Hotel'!AV20,IF('Henri''s Hotel'!AV20&lt;Tables!$F$29,Tables!$G$29*'Henri''s Hotel'!AV20,'Henri''s Hotel'!AV20*Tables!$G$30))),IF(AV20&lt;=Tables!$F$33,Tables!$G$33*'Henri''s Hotel'!AV20,IF('Henri''s Hotel'!AV20&lt;Tables!$F$34,'Henri''s Hotel'!AV20*Tables!$G$34,IF('Henri''s Hotel'!AV20&lt;Tables!$F$35,Tables!$G$35*'Henri''s Hotel'!AV20,'Henri''s Hotel'!AV20*Tables!$G$36))))</f>
        <v>6336.2499999998909</v>
      </c>
      <c r="AX20" s="46">
        <f>IF(AU20&lt;=Tables!$F$39,'Henri''s Hotel'!AU20*Tables!$G$39,IF(AU20&gt;Tables!$F$40,Tables!$G$40*'Henri''s Hotel'!AU20,FALSE))</f>
        <v>1508.3749999999839</v>
      </c>
      <c r="AY20" s="46">
        <f t="shared" si="6"/>
        <v>19580.374999999829</v>
      </c>
      <c r="AZ20" s="43"/>
      <c r="BB20" s="42">
        <f>(MOD(K20-J20,1)+MOD(M20-L20,1)+MOD(O20-N20,1)+MOD(Q20-P20,1)+MOD(S20-R20,1)+MOD(U20-T20,1))*Tables!$F$17</f>
        <v>26.999999999999829</v>
      </c>
      <c r="BC20">
        <f>INDEX(Tables!$H$8:$H$10,MATCH(MOD(K20-J20,1)+MOD(M20-L20,1)+MOD(O20-N20,1)+MOD(Q20-P20,1)+MOD(S20-R20,1)+MOD(U20-T20,1),Tables!$D$8:$D$10,1))</f>
        <v>1</v>
      </c>
      <c r="BD20" s="43">
        <f t="shared" si="1"/>
        <v>323.99999999999795</v>
      </c>
      <c r="BE20" s="42">
        <f t="shared" si="2"/>
        <v>0.9999999999998419</v>
      </c>
      <c r="BF20">
        <f>INDEX(Tables!$K$8:$K$10,MATCH(AE20,Tables!$D$8:$D$10,1))</f>
        <v>2</v>
      </c>
      <c r="BG20" s="43">
        <f t="shared" si="3"/>
        <v>23.999999999996206</v>
      </c>
    </row>
    <row r="21" spans="9:59" x14ac:dyDescent="0.25">
      <c r="I21" s="6" t="s">
        <v>35</v>
      </c>
      <c r="J21" s="71">
        <v>0.33333333333333298</v>
      </c>
      <c r="K21" s="71">
        <v>0.125</v>
      </c>
      <c r="L21" s="71">
        <v>0.41666666666666669</v>
      </c>
      <c r="M21" s="71">
        <v>0.58333333333333337</v>
      </c>
      <c r="N21" s="71">
        <v>0.45833333333333331</v>
      </c>
      <c r="O21" s="71">
        <v>1.875</v>
      </c>
      <c r="P21" s="71">
        <v>1.5416666666666701</v>
      </c>
      <c r="Q21" s="71">
        <v>1.8333333333333299</v>
      </c>
      <c r="R21" s="71">
        <v>1.625</v>
      </c>
      <c r="S21" s="71">
        <v>1.7916666666666701</v>
      </c>
      <c r="T21" s="71"/>
      <c r="U21" s="71"/>
      <c r="V21" s="71">
        <v>1.7916666666666701</v>
      </c>
      <c r="W21" s="72">
        <v>1.875</v>
      </c>
      <c r="X21" s="56">
        <f>IF(COUNTBLANK(J21:W21)&gt;=Tables!$B$34,COUNTA(J21:W21)/Tables!$B$34,"ERROR WORKING DAYS")</f>
        <v>6</v>
      </c>
      <c r="Y21" s="79">
        <f t="shared" si="4"/>
        <v>8.3333333333329929E-2</v>
      </c>
      <c r="Z21" s="65">
        <f>IF(AE21&lt;(Tables!$F$8/Tables!$F$17),0,AE21-(Tables!$F$8/Tables!$F$17))</f>
        <v>0.2916666666666603</v>
      </c>
      <c r="AA21" s="65">
        <f t="shared" si="0"/>
        <v>1.625</v>
      </c>
      <c r="AB21" s="73">
        <f>AA21*Tables!$F$17*AJ21</f>
        <v>409.5</v>
      </c>
      <c r="AC21" s="73">
        <f>IF(Z21&gt;0,IF((Z21*Tables!$F$17)&gt;$AB$37,((Z21*Tables!$F$17)-$AB$37)*$AC$37*AJ21+($AB$36*$AC$36*AJ21),(Z21*Tables!F29)*$AC$36*AJ21),)</f>
        <v>94.499999999997598</v>
      </c>
      <c r="AD21" s="73"/>
      <c r="AE21" s="11">
        <f t="shared" si="5"/>
        <v>1.9166666666666603</v>
      </c>
      <c r="AF21" s="66">
        <f>IF(AH21=Tables!$E$3,IF('Henri''s Hotel'!AG21=Tables!$A$4,'Henri''s Hotel'!AE21,0),0)</f>
        <v>0</v>
      </c>
      <c r="AG21" s="2" t="s">
        <v>46</v>
      </c>
      <c r="AH21" s="2" t="s">
        <v>27</v>
      </c>
      <c r="AI21" s="13">
        <f>INDEX(Tables!$F$3:$F$5,MATCH('Henri''s Hotel'!AH21,Tables!$E$3:$E$5,0))</f>
        <v>1.5</v>
      </c>
      <c r="AJ21" s="35">
        <f>INDEX(Tables!$F$3:$F$5,MATCH('Henri''s Hotel'!AH21,Tables!$E$3:$E$5,0))*INDEX(Tables!$B$3:$B$6,MATCH('Henri''s Hotel'!AG21,Tables!$A$3:$A$6,0))</f>
        <v>10.5</v>
      </c>
      <c r="AK21" s="45">
        <f>INDEX(Tables!$H$8:$H$10,MATCH(MOD(K21-J21,1)+MOD(M21-L21,1)+MOD(O21-N21,1)+MOD(Q21-P21,1)+MOD(S21-R21,1)+MOD(U21-T21,1),Tables!$D$8:$D$10,1))*AJ21*(MOD(K21-J21,1)+MOD(M21-L21,1)+MOD(O21-N21,1)+MOD(Q21-P21,1)+MOD(S21-R21,1)+MOD(U21-T21,1))*24+INDEX(Tables!$K$8:$K$10,MATCH(AE21,Tables!$D$8:$D$10,1))*(MOD(W21-V21,1)*24)*AJ21</f>
        <v>640.49999999999648</v>
      </c>
      <c r="AL21" s="33">
        <f>IF(AH21=Tables!$E$3,IF('Henri''s Hotel'!AG21=Tables!$A$4,('Henri''s Hotel'!AE21/'Henri''s Hotel'!$AE$30)*'Henri''s Hotel'!$AE$31,),0)</f>
        <v>0</v>
      </c>
      <c r="AM21" s="12"/>
      <c r="AN21" s="12"/>
      <c r="AO21" s="12" t="s">
        <v>24</v>
      </c>
      <c r="AP21" s="15">
        <v>4</v>
      </c>
      <c r="AQ21" s="15">
        <f>INDEX(Tables!$B$15:$B$17,MATCH('Henri''s Hotel'!AO21,Tables!$A$15:$A$17,0))+INDEX(Tables!$B$20:$B$32,MATCH('Henri''s Hotel'!AP21,Tables!$A$20:$A$32,0))</f>
        <v>8700</v>
      </c>
      <c r="AR21" s="46">
        <f>IF(AE21&gt;0,IF(AH21=Tables!$E$5,'Henri''s Hotel'!$M$32/'Henri''s Hotel'!$M$33,))</f>
        <v>0.5</v>
      </c>
      <c r="AS21" s="46">
        <f>IF(AH21=Tables!$E$3,'Henri''s Hotel'!AK21,)</f>
        <v>0</v>
      </c>
      <c r="AT21" s="46">
        <f>IF($AS$29&lt;'Hotel occupancy'!$B$13,IF('Henri''s Hotel'!AH21=Tables!$E$5,200,0),)</f>
        <v>200</v>
      </c>
      <c r="AU21" s="46">
        <f>(AK21+AL21+AR21+AS21+AT21)*Tables!$F$16</f>
        <v>42049.999999999825</v>
      </c>
      <c r="AV21" s="46">
        <f t="shared" si="7"/>
        <v>33349.999999999825</v>
      </c>
      <c r="AW21" s="58">
        <f>IF(AO21=Tables!$E$26,IF(AV21&lt;=Tables!$F$27,Tables!$G$27*'Henri''s Hotel'!AV21,IF('Henri''s Hotel'!AV21&lt;Tables!$F$28,Tables!$G$28*'Henri''s Hotel'!AV21,IF('Henri''s Hotel'!AV21&lt;Tables!$F$29,Tables!$G$29*'Henri''s Hotel'!AV21,'Henri''s Hotel'!AV21*Tables!$G$30))),IF(AV21&lt;=Tables!$F$33,Tables!$G$33*'Henri''s Hotel'!AV21,IF('Henri''s Hotel'!AV21&lt;Tables!$F$34,'Henri''s Hotel'!AV21*Tables!$G$34,IF('Henri''s Hotel'!AV21&lt;Tables!$F$35,Tables!$G$35*'Henri''s Hotel'!AV21,'Henri''s Hotel'!AV21*Tables!$G$36))))</f>
        <v>14340.499999999925</v>
      </c>
      <c r="AX21" s="46">
        <f>IF(AU21&lt;=Tables!$F$39,'Henri''s Hotel'!AU21*Tables!$G$39,IF(AU21&gt;Tables!$F$40,Tables!$G$40*'Henri''s Hotel'!AU21,FALSE))</f>
        <v>1892.249999999992</v>
      </c>
      <c r="AY21" s="46">
        <f t="shared" si="6"/>
        <v>25817.249999999905</v>
      </c>
      <c r="AZ21" s="43"/>
      <c r="BB21" s="42">
        <f>(MOD(K21-J21,1)+MOD(M21-L21,1)+MOD(O21-N21,1)+MOD(Q21-P21,1)+MOD(S21-R21,1)+MOD(U21-T21,1))*Tables!$F$17</f>
        <v>43.999999999999929</v>
      </c>
      <c r="BC21">
        <f>INDEX(Tables!$H$8:$H$10,MATCH(MOD(K21-J21,1)+MOD(M21-L21,1)+MOD(O21-N21,1)+MOD(Q21-P21,1)+MOD(S21-R21,1)+MOD(U21-T21,1),Tables!$D$8:$D$10,1))</f>
        <v>1.25</v>
      </c>
      <c r="BD21" s="43">
        <f t="shared" si="1"/>
        <v>577.49999999999909</v>
      </c>
      <c r="BE21" s="42">
        <f t="shared" si="2"/>
        <v>1.9999999999999183</v>
      </c>
      <c r="BF21">
        <f>INDEX(Tables!$K$8:$K$10,MATCH(AE21,Tables!$D$8:$D$10,1))</f>
        <v>3</v>
      </c>
      <c r="BG21" s="43">
        <f t="shared" si="3"/>
        <v>62.999999999997428</v>
      </c>
    </row>
    <row r="22" spans="9:59" x14ac:dyDescent="0.25">
      <c r="I22" s="6" t="s">
        <v>36</v>
      </c>
      <c r="J22" s="71">
        <v>0.375</v>
      </c>
      <c r="K22" s="71">
        <v>0.16666666666666666</v>
      </c>
      <c r="L22" s="71">
        <v>0.41666666666666669</v>
      </c>
      <c r="M22" s="71">
        <v>0.45833333333333331</v>
      </c>
      <c r="N22" s="71">
        <v>0.5</v>
      </c>
      <c r="O22" s="71">
        <v>1.5416666666666701</v>
      </c>
      <c r="P22" s="71">
        <v>1.5833333333333399</v>
      </c>
      <c r="Q22" s="71">
        <v>1.625</v>
      </c>
      <c r="R22" s="71">
        <v>1.6666666666666701</v>
      </c>
      <c r="S22" s="71">
        <v>1.7083333333333399</v>
      </c>
      <c r="T22" s="71">
        <v>1.75</v>
      </c>
      <c r="U22" s="71">
        <v>1.7916666666666701</v>
      </c>
      <c r="V22" s="71"/>
      <c r="W22" s="72"/>
      <c r="X22" s="56">
        <f>IF(COUNTBLANK(J22:W22)&gt;=Tables!$B$34,COUNTA(J22:W22)/Tables!$B$34,"ERROR WORKING DAYS")</f>
        <v>6</v>
      </c>
      <c r="Y22" s="79">
        <f t="shared" si="4"/>
        <v>0</v>
      </c>
      <c r="Z22" s="65">
        <f>IF(AE22&lt;(Tables!$F$8/Tables!$F$17),0,AE22-(Tables!$F$8/Tables!$F$17))</f>
        <v>0</v>
      </c>
      <c r="AA22" s="65">
        <f t="shared" si="0"/>
        <v>1.0000000000000033</v>
      </c>
      <c r="AB22" s="73">
        <f>AA22*Tables!$F$17*AJ22</f>
        <v>192.00000000000063</v>
      </c>
      <c r="AC22" s="73">
        <f>IF(Z22&gt;0,IF((Z22*Tables!$F$17)&gt;$AB$37,((Z22*Tables!$F$17)-$AB$37)*$AC$37*AJ22+($AB$36*$AC$36*AJ22),(Z22*Tables!F30)*$AC$36*AJ22),)</f>
        <v>0</v>
      </c>
      <c r="AD22" s="73"/>
      <c r="AE22" s="11">
        <f t="shared" si="5"/>
        <v>1.0000000000000033</v>
      </c>
      <c r="AF22" s="66">
        <f>IF(AH22=Tables!$E$3,IF('Henri''s Hotel'!AG22=Tables!$A$4,'Henri''s Hotel'!AE22,0),0)</f>
        <v>1.0000000000000033</v>
      </c>
      <c r="AG22" s="2" t="s">
        <v>29</v>
      </c>
      <c r="AH22" s="2" t="s">
        <v>23</v>
      </c>
      <c r="AI22" s="13">
        <f>INDEX(Tables!$F$3:$F$5,MATCH('Henri''s Hotel'!AH22,Tables!$E$3:$E$5,0))</f>
        <v>1</v>
      </c>
      <c r="AJ22" s="35">
        <f>INDEX(Tables!$F$3:$F$5,MATCH('Henri''s Hotel'!AH22,Tables!$E$3:$E$5,0))*INDEX(Tables!$B$3:$B$6,MATCH('Henri''s Hotel'!AG22,Tables!$A$3:$A$6,0))</f>
        <v>8</v>
      </c>
      <c r="AK22" s="45">
        <f>INDEX(Tables!$H$8:$H$10,MATCH(MOD(K22-J22,1)+MOD(M22-L22,1)+MOD(O22-N22,1)+MOD(Q22-P22,1)+MOD(S22-R22,1)+MOD(U22-T22,1),Tables!$D$8:$D$10,1))*AJ22*(MOD(K22-J22,1)+MOD(M22-L22,1)+MOD(O22-N22,1)+MOD(Q22-P22,1)+MOD(S22-R22,1)+MOD(U22-T22,1))*24+INDEX(Tables!$K$8:$K$10,MATCH(AE22,Tables!$D$8:$D$10,1))*(MOD(W22-V22,1)*24)*AJ22</f>
        <v>192.00000000000063</v>
      </c>
      <c r="AL22" s="33">
        <f>IF(AH22=Tables!$E$3,IF('Henri''s Hotel'!AG22=Tables!$A$4,('Henri''s Hotel'!AE22/'Henri''s Hotel'!$AE$30)*'Henri''s Hotel'!$AE$31,),0)</f>
        <v>2.0000000000000169</v>
      </c>
      <c r="AM22" s="12"/>
      <c r="AN22" s="12"/>
      <c r="AO22" s="12" t="s">
        <v>17</v>
      </c>
      <c r="AP22" s="15">
        <v>1</v>
      </c>
      <c r="AQ22" s="15">
        <f>INDEX(Tables!$B$15:$B$17,MATCH('Henri''s Hotel'!AO22,Tables!$A$15:$A$17,0))+INDEX(Tables!$B$20:$B$32,MATCH('Henri''s Hotel'!AP22,Tables!$A$20:$A$32,0))</f>
        <v>7800</v>
      </c>
      <c r="AR22" s="46">
        <f>IF(AE22&gt;0,IF(AH22=Tables!$E$5,'Henri''s Hotel'!$M$32/'Henri''s Hotel'!$M$33,))</f>
        <v>0</v>
      </c>
      <c r="AS22" s="46">
        <f>IF(AH22=Tables!$E$3,'Henri''s Hotel'!AK22,)</f>
        <v>192.00000000000063</v>
      </c>
      <c r="AT22" s="46">
        <f>IF($AS$29&lt;'Hotel occupancy'!$B$13,IF('Henri''s Hotel'!AH22=Tables!$E$5,200,0),)</f>
        <v>0</v>
      </c>
      <c r="AU22" s="46">
        <f>(AK22+AL22+AR22+AS22+AT22)*Tables!$F$16</f>
        <v>19300.000000000062</v>
      </c>
      <c r="AV22" s="46">
        <f t="shared" si="7"/>
        <v>11500.000000000062</v>
      </c>
      <c r="AW22" s="58">
        <f>IF(AO22=Tables!$E$26,IF(AV22&lt;=Tables!$F$27,Tables!$G$27*'Henri''s Hotel'!AV22,IF('Henri''s Hotel'!AV22&lt;Tables!$F$28,Tables!$G$28*'Henri''s Hotel'!AV22,IF('Henri''s Hotel'!AV22&lt;Tables!$F$29,Tables!$G$29*'Henri''s Hotel'!AV22,'Henri''s Hotel'!AV22*Tables!$G$30))),IF(AV22&lt;=Tables!$F$33,Tables!$G$33*'Henri''s Hotel'!AV22,IF('Henri''s Hotel'!AV22&lt;Tables!$F$34,'Henri''s Hotel'!AV22*Tables!$G$34,IF('Henri''s Hotel'!AV22&lt;Tables!$F$35,Tables!$G$35*'Henri''s Hotel'!AV22,'Henri''s Hotel'!AV22*Tables!$G$36))))</f>
        <v>2875.0000000000155</v>
      </c>
      <c r="AX22" s="46">
        <f>IF(AU22&lt;=Tables!$F$39,'Henri''s Hotel'!AU22*Tables!$G$39,IF(AU22&gt;Tables!$F$40,Tables!$G$40*'Henri''s Hotel'!AU22,FALSE))</f>
        <v>1061.5000000000034</v>
      </c>
      <c r="AY22" s="46">
        <f t="shared" si="6"/>
        <v>15363.500000000044</v>
      </c>
      <c r="AZ22" s="43"/>
      <c r="BB22" s="42">
        <f>(MOD(K22-J22,1)+MOD(M22-L22,1)+MOD(O22-N22,1)+MOD(Q22-P22,1)+MOD(S22-R22,1)+MOD(U22-T22,1))*Tables!$F$17</f>
        <v>24.000000000000078</v>
      </c>
      <c r="BC22">
        <f>INDEX(Tables!$H$8:$H$10,MATCH(MOD(K22-J22,1)+MOD(M22-L22,1)+MOD(O22-N22,1)+MOD(Q22-P22,1)+MOD(S22-R22,1)+MOD(U22-T22,1),Tables!$D$8:$D$10,1))</f>
        <v>1</v>
      </c>
      <c r="BD22" s="43">
        <f t="shared" si="1"/>
        <v>192.00000000000063</v>
      </c>
      <c r="BE22" s="42">
        <f t="shared" si="2"/>
        <v>0</v>
      </c>
      <c r="BF22">
        <f>INDEX(Tables!$K$8:$K$10,MATCH(AE22,Tables!$D$8:$D$10,1))</f>
        <v>2</v>
      </c>
      <c r="BG22" s="43">
        <f t="shared" si="3"/>
        <v>0</v>
      </c>
    </row>
    <row r="23" spans="9:59" x14ac:dyDescent="0.25">
      <c r="I23" s="6" t="s">
        <v>37</v>
      </c>
      <c r="J23" s="71">
        <v>0.41666666666666702</v>
      </c>
      <c r="K23" s="71">
        <v>0.20833333333333334</v>
      </c>
      <c r="L23" s="71">
        <v>0.45833333333333331</v>
      </c>
      <c r="M23" s="71">
        <v>0.5</v>
      </c>
      <c r="N23" s="71">
        <v>0.54166666666666663</v>
      </c>
      <c r="O23" s="71">
        <v>1.5833333333333299</v>
      </c>
      <c r="P23" s="71">
        <v>1.625</v>
      </c>
      <c r="Q23" s="71">
        <v>1.6666666666666601</v>
      </c>
      <c r="R23" s="71">
        <v>1.7083333333333299</v>
      </c>
      <c r="S23" s="71">
        <v>1.75</v>
      </c>
      <c r="T23" s="71">
        <v>1.7916666666666601</v>
      </c>
      <c r="U23" s="71">
        <v>1.8333333333333299</v>
      </c>
      <c r="V23" s="71"/>
      <c r="W23" s="72"/>
      <c r="X23" s="56">
        <f>IF(COUNTBLANK(J23:W23)&gt;=Tables!$B$34,COUNTA(J23:W23)/Tables!$B$34,"ERROR WORKING DAYS")</f>
        <v>6</v>
      </c>
      <c r="Y23" s="79">
        <f t="shared" si="4"/>
        <v>0</v>
      </c>
      <c r="Z23" s="65">
        <f>IF(AE23&lt;(Tables!$F$8/Tables!$F$17),0,AE23-(Tables!$F$8/Tables!$F$17))</f>
        <v>0</v>
      </c>
      <c r="AA23" s="65">
        <f t="shared" si="0"/>
        <v>0.99999999999999645</v>
      </c>
      <c r="AB23" s="73">
        <f>AA23*Tables!$F$17*AJ23</f>
        <v>191.99999999999932</v>
      </c>
      <c r="AC23" s="73">
        <f>IF(Z23&gt;0,IF((Z23*Tables!$F$17)&gt;$AB$37,((Z23*Tables!$F$17)-$AB$37)*$AC$37*AJ23+($AB$36*$AC$36*AJ23),(Z23*Tables!F31)*$AC$36*AJ23),)</f>
        <v>0</v>
      </c>
      <c r="AD23" s="73"/>
      <c r="AE23" s="11">
        <f t="shared" si="5"/>
        <v>0.99999999999999645</v>
      </c>
      <c r="AF23" s="66">
        <f>IF(AH23=Tables!$E$3,IF('Henri''s Hotel'!AG23=Tables!$A$4,'Henri''s Hotel'!AE23,0),0)</f>
        <v>0.99999999999999645</v>
      </c>
      <c r="AG23" s="2" t="s">
        <v>29</v>
      </c>
      <c r="AH23" s="2" t="s">
        <v>23</v>
      </c>
      <c r="AI23" s="13">
        <f>INDEX(Tables!$F$3:$F$5,MATCH('Henri''s Hotel'!AH23,Tables!$E$3:$E$5,0))</f>
        <v>1</v>
      </c>
      <c r="AJ23" s="35">
        <f>INDEX(Tables!$F$3:$F$5,MATCH('Henri''s Hotel'!AH23,Tables!$E$3:$E$5,0))*INDEX(Tables!$B$3:$B$6,MATCH('Henri''s Hotel'!AG23,Tables!$A$3:$A$6,0))</f>
        <v>8</v>
      </c>
      <c r="AK23" s="45">
        <f>INDEX(Tables!$H$8:$H$10,MATCH(MOD(K23-J23,1)+MOD(M23-L23,1)+MOD(O23-N23,1)+MOD(Q23-P23,1)+MOD(S23-R23,1)+MOD(U23-T23,1),Tables!$D$8:$D$10,1))*AJ23*(MOD(K23-J23,1)+MOD(M23-L23,1)+MOD(O23-N23,1)+MOD(Q23-P23,1)+MOD(S23-R23,1)+MOD(U23-T23,1))*24+INDEX(Tables!$K$8:$K$10,MATCH(AE23,Tables!$D$8:$D$10,1))*(MOD(W23-V23,1)*24)*AJ23</f>
        <v>191.99999999999932</v>
      </c>
      <c r="AL23" s="33">
        <f>IF(AH23=Tables!$E$3,IF('Henri''s Hotel'!AG23=Tables!$A$4,('Henri''s Hotel'!AE23/'Henri''s Hotel'!$AE$30)*'Henri''s Hotel'!$AE$31,),0)</f>
        <v>2.0000000000000031</v>
      </c>
      <c r="AM23" s="12"/>
      <c r="AN23" s="12"/>
      <c r="AO23" s="12" t="s">
        <v>17</v>
      </c>
      <c r="AP23" s="15">
        <v>1</v>
      </c>
      <c r="AQ23" s="15">
        <f>INDEX(Tables!$B$15:$B$17,MATCH('Henri''s Hotel'!AO23,Tables!$A$15:$A$17,0))+INDEX(Tables!$B$20:$B$32,MATCH('Henri''s Hotel'!AP23,Tables!$A$20:$A$32,0))</f>
        <v>7800</v>
      </c>
      <c r="AR23" s="46">
        <f>IF(AE23&gt;0,IF(AH23=Tables!$E$5,'Henri''s Hotel'!$M$32/'Henri''s Hotel'!$M$33,))</f>
        <v>0</v>
      </c>
      <c r="AS23" s="46">
        <f>IF(AH23=Tables!$E$3,'Henri''s Hotel'!AK23,)</f>
        <v>191.99999999999932</v>
      </c>
      <c r="AT23" s="46">
        <f>IF($AS$29&lt;'Hotel occupancy'!$B$13,IF('Henri''s Hotel'!AH23=Tables!$E$5,200,0),)</f>
        <v>0</v>
      </c>
      <c r="AU23" s="46">
        <f>(AK23+AL23+AR23+AS23+AT23)*Tables!$F$16</f>
        <v>19299.999999999931</v>
      </c>
      <c r="AV23" s="46">
        <f t="shared" si="7"/>
        <v>11499.999999999931</v>
      </c>
      <c r="AW23" s="58">
        <f>IF(AO23=Tables!$E$26,IF(AV23&lt;=Tables!$F$27,Tables!$G$27*'Henri''s Hotel'!AV23,IF('Henri''s Hotel'!AV23&lt;Tables!$F$28,Tables!$G$28*'Henri''s Hotel'!AV23,IF('Henri''s Hotel'!AV23&lt;Tables!$F$29,Tables!$G$29*'Henri''s Hotel'!AV23,'Henri''s Hotel'!AV23*Tables!$G$30))),IF(AV23&lt;=Tables!$F$33,Tables!$G$33*'Henri''s Hotel'!AV23,IF('Henri''s Hotel'!AV23&lt;Tables!$F$34,'Henri''s Hotel'!AV23*Tables!$G$34,IF('Henri''s Hotel'!AV23&lt;Tables!$F$35,Tables!$G$35*'Henri''s Hotel'!AV23,'Henri''s Hotel'!AV23*Tables!$G$36))))</f>
        <v>2874.9999999999827</v>
      </c>
      <c r="AX23" s="46">
        <f>IF(AU23&lt;=Tables!$F$39,'Henri''s Hotel'!AU23*Tables!$G$39,IF(AU23&gt;Tables!$F$40,Tables!$G$40*'Henri''s Hotel'!AU23,FALSE))</f>
        <v>1061.4999999999961</v>
      </c>
      <c r="AY23" s="46">
        <f t="shared" si="6"/>
        <v>15363.499999999953</v>
      </c>
      <c r="AZ23" s="43"/>
      <c r="BB23" s="42">
        <f>(MOD(K23-J23,1)+MOD(M23-L23,1)+MOD(O23-N23,1)+MOD(Q23-P23,1)+MOD(S23-R23,1)+MOD(U23-T23,1))*Tables!$F$17</f>
        <v>23.999999999999915</v>
      </c>
      <c r="BC23">
        <f>INDEX(Tables!$H$8:$H$10,MATCH(MOD(K23-J23,1)+MOD(M23-L23,1)+MOD(O23-N23,1)+MOD(Q23-P23,1)+MOD(S23-R23,1)+MOD(U23-T23,1),Tables!$D$8:$D$10,1))</f>
        <v>1</v>
      </c>
      <c r="BD23" s="43">
        <f t="shared" si="1"/>
        <v>191.99999999999932</v>
      </c>
      <c r="BE23" s="42">
        <f t="shared" si="2"/>
        <v>0</v>
      </c>
      <c r="BF23">
        <f>INDEX(Tables!$K$8:$K$10,MATCH(AE23,Tables!$D$8:$D$10,1))</f>
        <v>2</v>
      </c>
      <c r="BG23" s="43">
        <f t="shared" si="3"/>
        <v>0</v>
      </c>
    </row>
    <row r="24" spans="9:59" x14ac:dyDescent="0.25">
      <c r="I24" s="6" t="s">
        <v>38</v>
      </c>
      <c r="J24" s="71">
        <v>0.45833333333333298</v>
      </c>
      <c r="K24" s="71">
        <v>0.25</v>
      </c>
      <c r="L24" s="71">
        <v>0.5</v>
      </c>
      <c r="M24" s="71">
        <v>0.54166666666666663</v>
      </c>
      <c r="N24" s="71">
        <v>0.58333333333333337</v>
      </c>
      <c r="O24" s="71">
        <v>1.625</v>
      </c>
      <c r="P24" s="71">
        <v>1.6666666666666701</v>
      </c>
      <c r="Q24" s="71">
        <v>1.7083333333333299</v>
      </c>
      <c r="R24" s="71">
        <v>1.75</v>
      </c>
      <c r="S24" s="71">
        <v>1.7916666666666701</v>
      </c>
      <c r="T24" s="71"/>
      <c r="U24" s="71"/>
      <c r="V24" s="71">
        <v>1.9166666666666701</v>
      </c>
      <c r="W24" s="72">
        <v>1.9583333333333299</v>
      </c>
      <c r="X24" s="56">
        <f>IF(COUNTBLANK(J24:W24)&gt;=Tables!$B$34,COUNTA(J24:W24)/Tables!$B$34,"ERROR WORKING DAYS")</f>
        <v>6</v>
      </c>
      <c r="Y24" s="79">
        <f t="shared" si="4"/>
        <v>4.1666666666659857E-2</v>
      </c>
      <c r="Z24" s="65">
        <f>IF(AE24&lt;(Tables!$F$8/Tables!$F$17),0,AE24-(Tables!$F$8/Tables!$F$17))</f>
        <v>0</v>
      </c>
      <c r="AA24" s="65">
        <f t="shared" si="0"/>
        <v>0.9999999999999899</v>
      </c>
      <c r="AB24" s="73">
        <f>AA24*Tables!$F$17*AJ24</f>
        <v>191.99999999999807</v>
      </c>
      <c r="AC24" s="73">
        <f>IF(Z24&gt;0,IF((Z24*Tables!$F$17)&gt;$AB$37,((Z24*Tables!$F$17)-$AB$37)*$AC$37*AJ24+($AB$36*$AC$36*AJ24),(Z24*Tables!F32)*$AC$36*AJ24),)</f>
        <v>0</v>
      </c>
      <c r="AD24" s="73"/>
      <c r="AE24" s="11">
        <f t="shared" si="5"/>
        <v>0.9999999999999899</v>
      </c>
      <c r="AF24" s="66">
        <f>IF(AH24=Tables!$E$3,IF('Henri''s Hotel'!AG24=Tables!$A$4,'Henri''s Hotel'!AE24,0),0)</f>
        <v>0.9999999999999899</v>
      </c>
      <c r="AG24" s="2" t="s">
        <v>29</v>
      </c>
      <c r="AH24" s="2" t="s">
        <v>23</v>
      </c>
      <c r="AI24" s="13">
        <f>INDEX(Tables!$F$3:$F$5,MATCH('Henri''s Hotel'!AH24,Tables!$E$3:$E$5,0))</f>
        <v>1</v>
      </c>
      <c r="AJ24" s="35">
        <f>INDEX(Tables!$F$3:$F$5,MATCH('Henri''s Hotel'!AH24,Tables!$E$3:$E$5,0))*INDEX(Tables!$B$3:$B$6,MATCH('Henri''s Hotel'!AG24,Tables!$A$3:$A$6,0))</f>
        <v>8</v>
      </c>
      <c r="AK24" s="45">
        <f>INDEX(Tables!$H$8:$H$10,MATCH(MOD(K24-J24,1)+MOD(M24-L24,1)+MOD(O24-N24,1)+MOD(Q24-P24,1)+MOD(S24-R24,1)+MOD(U24-T24,1),Tables!$D$8:$D$10,1))*AJ24*(MOD(K24-J24,1)+MOD(M24-L24,1)+MOD(O24-N24,1)+MOD(Q24-P24,1)+MOD(S24-R24,1)+MOD(U24-T24,1))*24+INDEX(Tables!$K$8:$K$10,MATCH(AE24,Tables!$D$8:$D$10,1))*(MOD(W24-V24,1)*24)*AJ24</f>
        <v>199.99999999999676</v>
      </c>
      <c r="AL24" s="33">
        <f>IF(AH24=Tables!$E$3,IF('Henri''s Hotel'!AG24=Tables!$A$4,('Henri''s Hotel'!AE24/'Henri''s Hotel'!$AE$30)*'Henri''s Hotel'!$AE$31,),0)</f>
        <v>1.9999999999999902</v>
      </c>
      <c r="AM24" s="12"/>
      <c r="AN24" s="12"/>
      <c r="AO24" s="12" t="s">
        <v>17</v>
      </c>
      <c r="AP24" s="15">
        <v>1</v>
      </c>
      <c r="AQ24" s="15">
        <f>INDEX(Tables!$B$15:$B$17,MATCH('Henri''s Hotel'!AO24,Tables!$A$15:$A$17,0))+INDEX(Tables!$B$20:$B$32,MATCH('Henri''s Hotel'!AP24,Tables!$A$20:$A$32,0))</f>
        <v>7800</v>
      </c>
      <c r="AR24" s="46">
        <f>IF(AE24&gt;0,IF(AH24=Tables!$E$5,'Henri''s Hotel'!$M$32/'Henri''s Hotel'!$M$33,))</f>
        <v>0</v>
      </c>
      <c r="AS24" s="46">
        <f>IF(AH24=Tables!$E$3,'Henri''s Hotel'!AK24,)</f>
        <v>199.99999999999676</v>
      </c>
      <c r="AT24" s="46">
        <f>IF($AS$29&lt;'Hotel occupancy'!$B$13,IF('Henri''s Hotel'!AH24=Tables!$E$5,200,0),)</f>
        <v>0</v>
      </c>
      <c r="AU24" s="46">
        <f>(AK24+AL24+AR24+AS24+AT24)*Tables!$F$16</f>
        <v>20099.999999999676</v>
      </c>
      <c r="AV24" s="46">
        <f t="shared" si="7"/>
        <v>12299.999999999676</v>
      </c>
      <c r="AW24" s="58">
        <f>IF(AO24=Tables!$E$26,IF(AV24&lt;=Tables!$F$27,Tables!$G$27*'Henri''s Hotel'!AV24,IF('Henri''s Hotel'!AV24&lt;Tables!$F$28,Tables!$G$28*'Henri''s Hotel'!AV24,IF('Henri''s Hotel'!AV24&lt;Tables!$F$29,Tables!$G$29*'Henri''s Hotel'!AV24,'Henri''s Hotel'!AV24*Tables!$G$30))),IF(AV24&lt;=Tables!$F$33,Tables!$G$33*'Henri''s Hotel'!AV24,IF('Henri''s Hotel'!AV24&lt;Tables!$F$34,'Henri''s Hotel'!AV24*Tables!$G$34,IF('Henri''s Hotel'!AV24&lt;Tables!$F$35,Tables!$G$35*'Henri''s Hotel'!AV24,'Henri''s Hotel'!AV24*Tables!$G$36))))</f>
        <v>3074.9999999999191</v>
      </c>
      <c r="AX24" s="46">
        <f>IF(AU24&lt;=Tables!$F$39,'Henri''s Hotel'!AU24*Tables!$G$39,IF(AU24&gt;Tables!$F$40,Tables!$G$40*'Henri''s Hotel'!AU24,FALSE))</f>
        <v>1105.4999999999823</v>
      </c>
      <c r="AY24" s="46">
        <f t="shared" si="6"/>
        <v>15919.499999999774</v>
      </c>
      <c r="AZ24" s="43"/>
      <c r="BB24" s="42">
        <f>(MOD(K24-J24,1)+MOD(M24-L24,1)+MOD(O24-N24,1)+MOD(Q24-P24,1)+MOD(S24-R24,1)+MOD(U24-T24,1))*Tables!$F$17</f>
        <v>22.999999999999922</v>
      </c>
      <c r="BC24">
        <f>INDEX(Tables!$H$8:$H$10,MATCH(MOD(K24-J24,1)+MOD(M24-L24,1)+MOD(O24-N24,1)+MOD(Q24-P24,1)+MOD(S24-R24,1)+MOD(U24-T24,1),Tables!$D$8:$D$10,1))</f>
        <v>1</v>
      </c>
      <c r="BD24" s="43">
        <f t="shared" si="1"/>
        <v>183.99999999999937</v>
      </c>
      <c r="BE24" s="42">
        <f t="shared" si="2"/>
        <v>0.99999999999983658</v>
      </c>
      <c r="BF24">
        <f>INDEX(Tables!$K$8:$K$10,MATCH(AE24,Tables!$D$8:$D$10,1))</f>
        <v>2</v>
      </c>
      <c r="BG24" s="43">
        <f t="shared" si="3"/>
        <v>15.999999999997385</v>
      </c>
    </row>
    <row r="25" spans="9:59" x14ac:dyDescent="0.25">
      <c r="I25" s="6" t="s">
        <v>39</v>
      </c>
      <c r="J25" s="71">
        <v>0.5</v>
      </c>
      <c r="K25" s="71">
        <v>0.29166666666666669</v>
      </c>
      <c r="L25" s="71">
        <v>0.54166666666666663</v>
      </c>
      <c r="M25" s="71">
        <v>0.58333333333333337</v>
      </c>
      <c r="N25" s="71">
        <v>0.625</v>
      </c>
      <c r="O25" s="71">
        <v>1.6666666666666701</v>
      </c>
      <c r="P25" s="71">
        <v>1.7083333333333399</v>
      </c>
      <c r="Q25" s="71">
        <v>1.75</v>
      </c>
      <c r="R25" s="71"/>
      <c r="S25" s="71"/>
      <c r="T25" s="71">
        <v>1.875</v>
      </c>
      <c r="U25" s="71">
        <v>1.9166666666666701</v>
      </c>
      <c r="V25" s="71">
        <v>1.9583333333333399</v>
      </c>
      <c r="W25" s="72">
        <v>2</v>
      </c>
      <c r="X25" s="56">
        <f>IF(COUNTBLANK(J25:W25)&gt;=Tables!$B$34,COUNTA(J25:W25)/Tables!$B$34,"ERROR WORKING DAYS")</f>
        <v>6</v>
      </c>
      <c r="Y25" s="79">
        <f t="shared" si="4"/>
        <v>4.1666666666660079E-2</v>
      </c>
      <c r="Z25" s="65">
        <f>IF(AE25&lt;(Tables!$F$8/Tables!$F$17),0,AE25-(Tables!$F$8/Tables!$F$17))</f>
        <v>0</v>
      </c>
      <c r="AA25" s="65">
        <f t="shared" si="0"/>
        <v>0.99999999999999378</v>
      </c>
      <c r="AB25" s="73">
        <f>AA25*Tables!$F$17*AJ25</f>
        <v>359.99999999999778</v>
      </c>
      <c r="AC25" s="73">
        <f>IF(Z25&gt;0,IF((Z25*Tables!$F$17)&gt;$AB$37,((Z25*Tables!$F$17)-$AB$37)*$AC$37*AJ25+($AB$36*$AC$36*AJ25),(Z25*Tables!F33)*$AC$36*AJ25),)</f>
        <v>0</v>
      </c>
      <c r="AD25" s="73"/>
      <c r="AE25" s="11">
        <f t="shared" si="5"/>
        <v>0.99999999999999378</v>
      </c>
      <c r="AF25" s="66">
        <f>IF(AH25=Tables!$E$3,IF('Henri''s Hotel'!AG25=Tables!$A$4,'Henri''s Hotel'!AE25,0),0)</f>
        <v>0</v>
      </c>
      <c r="AG25" s="2" t="s">
        <v>15</v>
      </c>
      <c r="AH25" s="2" t="s">
        <v>27</v>
      </c>
      <c r="AI25" s="13">
        <f>INDEX(Tables!$F$3:$F$5,MATCH('Henri''s Hotel'!AH25,Tables!$E$3:$E$5,0))</f>
        <v>1.5</v>
      </c>
      <c r="AJ25" s="35">
        <f>INDEX(Tables!$F$3:$F$5,MATCH('Henri''s Hotel'!AH25,Tables!$E$3:$E$5,0))*INDEX(Tables!$B$3:$B$6,MATCH('Henri''s Hotel'!AG25,Tables!$A$3:$A$6,0))</f>
        <v>15</v>
      </c>
      <c r="AK25" s="45">
        <f>INDEX(Tables!$H$8:$H$10,MATCH(MOD(K25-J25,1)+MOD(M25-L25,1)+MOD(O25-N25,1)+MOD(Q25-P25,1)+MOD(S25-R25,1)+MOD(U25-T25,1),Tables!$D$8:$D$10,1))*AJ25*(MOD(K25-J25,1)+MOD(M25-L25,1)+MOD(O25-N25,1)+MOD(Q25-P25,1)+MOD(S25-R25,1)+MOD(U25-T25,1))*24+INDEX(Tables!$K$8:$K$10,MATCH(AE25,Tables!$D$8:$D$10,1))*(MOD(W25-V25,1)*24)*AJ25</f>
        <v>374.9999999999954</v>
      </c>
      <c r="AL25" s="33">
        <f>IF(AH25=Tables!$E$3,IF('Henri''s Hotel'!AG25=Tables!$A$4,('Henri''s Hotel'!AE25/'Henri''s Hotel'!$AE$30)*'Henri''s Hotel'!$AE$31,),0)</f>
        <v>0</v>
      </c>
      <c r="AM25" s="12"/>
      <c r="AN25" s="12"/>
      <c r="AO25" s="12" t="s">
        <v>17</v>
      </c>
      <c r="AP25" s="15">
        <v>1</v>
      </c>
      <c r="AQ25" s="15">
        <f>INDEX(Tables!$B$15:$B$17,MATCH('Henri''s Hotel'!AO25,Tables!$A$15:$A$17,0))+INDEX(Tables!$B$20:$B$32,MATCH('Henri''s Hotel'!AP25,Tables!$A$20:$A$32,0))</f>
        <v>7800</v>
      </c>
      <c r="AR25" s="46">
        <f>IF(AE25&gt;0,IF(AH25=Tables!$E$5,'Henri''s Hotel'!$M$32/'Henri''s Hotel'!$M$33,))</f>
        <v>0.5</v>
      </c>
      <c r="AS25" s="46">
        <f>IF(AH25=Tables!$E$3,'Henri''s Hotel'!AK25,)</f>
        <v>0</v>
      </c>
      <c r="AT25" s="46">
        <f>IF($AS$29&lt;'Hotel occupancy'!$B$13,IF('Henri''s Hotel'!AH25=Tables!$E$5,200,0),)</f>
        <v>200</v>
      </c>
      <c r="AU25" s="46">
        <f>(AK25+AL25+AR25+AS25+AT25)*Tables!$F$16</f>
        <v>28774.999999999774</v>
      </c>
      <c r="AV25" s="46">
        <f t="shared" si="7"/>
        <v>20974.999999999774</v>
      </c>
      <c r="AW25" s="58">
        <f>IF(AO25=Tables!$E$26,IF(AV25&lt;=Tables!$F$27,Tables!$G$27*'Henri''s Hotel'!AV25,IF('Henri''s Hotel'!AV25&lt;Tables!$F$28,Tables!$G$28*'Henri''s Hotel'!AV25,IF('Henri''s Hotel'!AV25&lt;Tables!$F$29,Tables!$G$29*'Henri''s Hotel'!AV25,'Henri''s Hotel'!AV25*Tables!$G$30))),IF(AV25&lt;=Tables!$F$33,Tables!$G$33*'Henri''s Hotel'!AV25,IF('Henri''s Hotel'!AV25&lt;Tables!$F$34,'Henri''s Hotel'!AV25*Tables!$G$34,IF('Henri''s Hotel'!AV25&lt;Tables!$F$35,Tables!$G$35*'Henri''s Hotel'!AV25,'Henri''s Hotel'!AV25*Tables!$G$36))))</f>
        <v>7760.7499999999163</v>
      </c>
      <c r="AX25" s="46">
        <f>IF(AU25&lt;=Tables!$F$39,'Henri''s Hotel'!AU25*Tables!$G$39,IF(AU25&gt;Tables!$F$40,Tables!$G$40*'Henri''s Hotel'!AU25,FALSE))</f>
        <v>1582.6249999999875</v>
      </c>
      <c r="AY25" s="46">
        <f t="shared" si="6"/>
        <v>19431.624999999869</v>
      </c>
      <c r="AZ25" s="43"/>
      <c r="BB25" s="42">
        <f>(MOD(K25-J25,1)+MOD(M25-L25,1)+MOD(O25-N25,1)+MOD(Q25-P25,1)+MOD(S25-R25,1)+MOD(U25-T25,1))*Tables!$F$17</f>
        <v>23.000000000000007</v>
      </c>
      <c r="BC25">
        <f>INDEX(Tables!$H$8:$H$10,MATCH(MOD(K25-J25,1)+MOD(M25-L25,1)+MOD(O25-N25,1)+MOD(Q25-P25,1)+MOD(S25-R25,1)+MOD(U25-T25,1),Tables!$D$8:$D$10,1))</f>
        <v>1</v>
      </c>
      <c r="BD25" s="43">
        <f t="shared" si="1"/>
        <v>345.00000000000011</v>
      </c>
      <c r="BE25" s="42">
        <f t="shared" si="2"/>
        <v>0.9999999999998419</v>
      </c>
      <c r="BF25">
        <f>INDEX(Tables!$K$8:$K$10,MATCH(AE25,Tables!$D$8:$D$10,1))</f>
        <v>2</v>
      </c>
      <c r="BG25" s="43">
        <f t="shared" si="3"/>
        <v>29.999999999995257</v>
      </c>
    </row>
    <row r="26" spans="9:59" x14ac:dyDescent="0.25">
      <c r="I26" s="6" t="s">
        <v>40</v>
      </c>
      <c r="J26" s="71">
        <v>0.54166666666666696</v>
      </c>
      <c r="K26" s="71">
        <v>0.33333333333333331</v>
      </c>
      <c r="L26" s="71">
        <v>0.58333333333333337</v>
      </c>
      <c r="M26" s="71">
        <v>0.625</v>
      </c>
      <c r="N26" s="71">
        <v>0.66666666666666663</v>
      </c>
      <c r="O26" s="71">
        <v>1.7083333333333299</v>
      </c>
      <c r="P26" s="71">
        <v>1.75</v>
      </c>
      <c r="Q26" s="71">
        <v>1.7916666666666601</v>
      </c>
      <c r="R26" s="71"/>
      <c r="S26" s="71"/>
      <c r="T26" s="71">
        <v>1.9166666666666601</v>
      </c>
      <c r="U26" s="71">
        <v>1.9583333333333299</v>
      </c>
      <c r="V26" s="71">
        <v>2</v>
      </c>
      <c r="W26" s="72">
        <v>2.0416666666666599</v>
      </c>
      <c r="X26" s="56">
        <f>IF(COUNTBLANK(J26:W26)&gt;=Tables!$B$34,COUNTA(J26:W26)/Tables!$B$34,"ERROR WORKING DAYS")</f>
        <v>6</v>
      </c>
      <c r="Y26" s="79">
        <f t="shared" si="4"/>
        <v>4.1666666666659857E-2</v>
      </c>
      <c r="Z26" s="65">
        <f>IF(AE26&lt;(Tables!$F$8/Tables!$F$17),0,AE26-(Tables!$F$8/Tables!$F$17))</f>
        <v>0</v>
      </c>
      <c r="AA26" s="65">
        <f t="shared" si="0"/>
        <v>0.99999999999998612</v>
      </c>
      <c r="AB26" s="73">
        <f>AA26*Tables!$F$17*AJ26</f>
        <v>359.999999999995</v>
      </c>
      <c r="AC26" s="73">
        <f>IF(Z26&gt;0,IF((Z26*Tables!$F$17)&gt;$AB$37,((Z26*Tables!$F$17)-$AB$37)*$AC$37*AJ26+($AB$36*$AC$36*AJ26),(Z26*Tables!F34)*$AC$36*AJ26),)</f>
        <v>0</v>
      </c>
      <c r="AD26" s="73"/>
      <c r="AE26" s="11">
        <f t="shared" si="5"/>
        <v>0.99999999999998612</v>
      </c>
      <c r="AF26" s="66">
        <f>IF(AH26=Tables!$E$3,IF('Henri''s Hotel'!AG26=Tables!$A$4,'Henri''s Hotel'!AE26,0),0)</f>
        <v>0</v>
      </c>
      <c r="AG26" s="2" t="s">
        <v>15</v>
      </c>
      <c r="AH26" s="2" t="s">
        <v>27</v>
      </c>
      <c r="AI26" s="13">
        <f>INDEX(Tables!$F$3:$F$5,MATCH('Henri''s Hotel'!AH26,Tables!$E$3:$E$5,0))</f>
        <v>1.5</v>
      </c>
      <c r="AJ26" s="35">
        <f>INDEX(Tables!$F$3:$F$5,MATCH('Henri''s Hotel'!AH26,Tables!$E$3:$E$5,0))*INDEX(Tables!$B$3:$B$6,MATCH('Henri''s Hotel'!AG26,Tables!$A$3:$A$6,0))</f>
        <v>15</v>
      </c>
      <c r="AK26" s="45">
        <f>INDEX(Tables!$H$8:$H$10,MATCH(MOD(K26-J26,1)+MOD(M26-L26,1)+MOD(O26-N26,1)+MOD(Q26-P26,1)+MOD(S26-R26,1)+MOD(U26-T26,1),Tables!$D$8:$D$10,1))*AJ26*(MOD(K26-J26,1)+MOD(M26-L26,1)+MOD(O26-N26,1)+MOD(Q26-P26,1)+MOD(S26-R26,1)+MOD(U26-T26,1))*24+INDEX(Tables!$K$8:$K$10,MATCH(AE26,Tables!$D$8:$D$10,1))*(MOD(W26-V26,1)*24)*AJ26</f>
        <v>374.99999999999255</v>
      </c>
      <c r="AL26" s="33">
        <f>IF(AH26=Tables!$E$3,IF('Henri''s Hotel'!AG26=Tables!$A$4,('Henri''s Hotel'!AE26/'Henri''s Hotel'!$AE$30)*'Henri''s Hotel'!$AE$31,),0)</f>
        <v>0</v>
      </c>
      <c r="AM26" s="12"/>
      <c r="AN26" s="12"/>
      <c r="AO26" s="12" t="s">
        <v>17</v>
      </c>
      <c r="AP26" s="15">
        <v>1</v>
      </c>
      <c r="AQ26" s="15">
        <f>INDEX(Tables!$B$15:$B$17,MATCH('Henri''s Hotel'!AO26,Tables!$A$15:$A$17,0))+INDEX(Tables!$B$20:$B$32,MATCH('Henri''s Hotel'!AP26,Tables!$A$20:$A$32,0))</f>
        <v>7800</v>
      </c>
      <c r="AR26" s="46">
        <f>IF(AE26&gt;0,IF(AH26=Tables!$E$5,'Henri''s Hotel'!$M$32/'Henri''s Hotel'!$M$33,))</f>
        <v>0.5</v>
      </c>
      <c r="AS26" s="46">
        <f>IF(AH26=Tables!$E$3,'Henri''s Hotel'!AK26,)</f>
        <v>0</v>
      </c>
      <c r="AT26" s="46">
        <f>IF($AS$29&lt;'Hotel occupancy'!$B$13,IF('Henri''s Hotel'!AH26=Tables!$E$5,200,0),)</f>
        <v>200</v>
      </c>
      <c r="AU26" s="46">
        <f>(AK26+AL26+AR26+AS26+AT26)*Tables!$F$16</f>
        <v>28774.999999999625</v>
      </c>
      <c r="AV26" s="46">
        <f t="shared" si="7"/>
        <v>20974.999999999625</v>
      </c>
      <c r="AW26" s="58">
        <f>IF(AO26=Tables!$E$26,IF(AV26&lt;=Tables!$F$27,Tables!$G$27*'Henri''s Hotel'!AV26,IF('Henri''s Hotel'!AV26&lt;Tables!$F$28,Tables!$G$28*'Henri''s Hotel'!AV26,IF('Henri''s Hotel'!AV26&lt;Tables!$F$29,Tables!$G$29*'Henri''s Hotel'!AV26,'Henri''s Hotel'!AV26*Tables!$G$30))),IF(AV26&lt;=Tables!$F$33,Tables!$G$33*'Henri''s Hotel'!AV26,IF('Henri''s Hotel'!AV26&lt;Tables!$F$34,'Henri''s Hotel'!AV26*Tables!$G$34,IF('Henri''s Hotel'!AV26&lt;Tables!$F$35,Tables!$G$35*'Henri''s Hotel'!AV26,'Henri''s Hotel'!AV26*Tables!$G$36))))</f>
        <v>7760.7499999998608</v>
      </c>
      <c r="AX26" s="46">
        <f>IF(AU26&lt;=Tables!$F$39,'Henri''s Hotel'!AU26*Tables!$G$39,IF(AU26&gt;Tables!$F$40,Tables!$G$40*'Henri''s Hotel'!AU26,FALSE))</f>
        <v>1582.6249999999793</v>
      </c>
      <c r="AY26" s="46">
        <f t="shared" si="6"/>
        <v>19431.624999999785</v>
      </c>
      <c r="AZ26" s="43"/>
      <c r="BB26" s="42">
        <f>(MOD(K26-J26,1)+MOD(M26-L26,1)+MOD(O26-N26,1)+MOD(Q26-P26,1)+MOD(S26-R26,1)+MOD(U26-T26,1))*Tables!$F$17</f>
        <v>22.999999999999829</v>
      </c>
      <c r="BC26">
        <f>INDEX(Tables!$H$8:$H$10,MATCH(MOD(K26-J26,1)+MOD(M26-L26,1)+MOD(O26-N26,1)+MOD(Q26-P26,1)+MOD(S26-R26,1)+MOD(U26-T26,1),Tables!$D$8:$D$10,1))</f>
        <v>1</v>
      </c>
      <c r="BD26" s="43">
        <f t="shared" si="1"/>
        <v>344.99999999999744</v>
      </c>
      <c r="BE26" s="42">
        <f t="shared" si="2"/>
        <v>0.99999999999983658</v>
      </c>
      <c r="BF26">
        <f>INDEX(Tables!$K$8:$K$10,MATCH(AE26,Tables!$D$8:$D$10,1))</f>
        <v>2</v>
      </c>
      <c r="BG26" s="43">
        <f t="shared" si="3"/>
        <v>29.999999999995097</v>
      </c>
    </row>
    <row r="27" spans="9:59" x14ac:dyDescent="0.25">
      <c r="I27" s="6" t="s">
        <v>41</v>
      </c>
      <c r="J27" s="71">
        <v>0.58333333333333304</v>
      </c>
      <c r="K27" s="71">
        <v>0.375</v>
      </c>
      <c r="L27" s="71">
        <v>0.625</v>
      </c>
      <c r="M27" s="71">
        <v>0.66666666666666663</v>
      </c>
      <c r="N27" s="71">
        <v>0.70833333333333337</v>
      </c>
      <c r="O27" s="71">
        <v>1.75</v>
      </c>
      <c r="P27" s="71">
        <v>1.7916666666666701</v>
      </c>
      <c r="Q27" s="71">
        <v>1.8333333333333299</v>
      </c>
      <c r="R27" s="71"/>
      <c r="S27" s="71"/>
      <c r="T27" s="71">
        <v>1.9583333333333299</v>
      </c>
      <c r="U27" s="71">
        <v>2</v>
      </c>
      <c r="V27" s="71">
        <v>2.0416666666666701</v>
      </c>
      <c r="W27" s="72">
        <v>2.0833333333333299</v>
      </c>
      <c r="X27" s="56">
        <f>IF(COUNTBLANK(J27:W27)&gt;=Tables!$B$34,COUNTA(J27:W27)/Tables!$B$34,"ERROR WORKING DAYS")</f>
        <v>6</v>
      </c>
      <c r="Y27" s="79">
        <f t="shared" si="4"/>
        <v>4.1666666666659857E-2</v>
      </c>
      <c r="Z27" s="65">
        <f>IF(AE27&lt;(Tables!$F$8/Tables!$F$17),0,AE27-(Tables!$F$8/Tables!$F$17))</f>
        <v>0</v>
      </c>
      <c r="AA27" s="65">
        <f t="shared" si="0"/>
        <v>0.9999999999999899</v>
      </c>
      <c r="AB27" s="73">
        <f>AA27*Tables!$F$17*AJ27</f>
        <v>359.99999999999636</v>
      </c>
      <c r="AC27" s="73">
        <f>IF(Z27&gt;0,IF((Z27*Tables!$F$17)&gt;$AB$37,((Z27*Tables!$F$17)-$AB$37)*$AC$37*AJ27+($AB$36*$AC$36*AJ27),(Z27*Tables!F35)*$AC$36*AJ27),)</f>
        <v>0</v>
      </c>
      <c r="AD27" s="73"/>
      <c r="AE27" s="11">
        <f t="shared" si="5"/>
        <v>0.9999999999999899</v>
      </c>
      <c r="AF27" s="66">
        <f>IF(AH27=Tables!$E$3,IF('Henri''s Hotel'!AG27=Tables!$A$4,'Henri''s Hotel'!AE27,0),0)</f>
        <v>0</v>
      </c>
      <c r="AG27" s="2" t="s">
        <v>15</v>
      </c>
      <c r="AH27" s="2" t="s">
        <v>27</v>
      </c>
      <c r="AI27" s="13">
        <f>INDEX(Tables!$F$3:$F$5,MATCH('Henri''s Hotel'!AH27,Tables!$E$3:$E$5,0))</f>
        <v>1.5</v>
      </c>
      <c r="AJ27" s="35">
        <f>INDEX(Tables!$F$3:$F$5,MATCH('Henri''s Hotel'!AH27,Tables!$E$3:$E$5,0))*INDEX(Tables!$B$3:$B$6,MATCH('Henri''s Hotel'!AG27,Tables!$A$3:$A$6,0))</f>
        <v>15</v>
      </c>
      <c r="AK27" s="45">
        <f>INDEX(Tables!$H$8:$H$10,MATCH(MOD(K27-J27,1)+MOD(M27-L27,1)+MOD(O27-N27,1)+MOD(Q27-P27,1)+MOD(S27-R27,1)+MOD(U27-T27,1),Tables!$D$8:$D$10,1))*AJ27*(MOD(K27-J27,1)+MOD(M27-L27,1)+MOD(O27-N27,1)+MOD(Q27-P27,1)+MOD(S27-R27,1)+MOD(U27-T27,1))*24+INDEX(Tables!$K$8:$K$10,MATCH(AE27,Tables!$D$8:$D$10,1))*(MOD(W27-V27,1)*24)*AJ27</f>
        <v>374.99999999999392</v>
      </c>
      <c r="AL27" s="33">
        <f>IF(AH27=Tables!$E$3,IF('Henri''s Hotel'!AG27=Tables!$A$4,('Henri''s Hotel'!AE27/'Henri''s Hotel'!$AE$30)*'Henri''s Hotel'!$AE$31,),0)</f>
        <v>0</v>
      </c>
      <c r="AM27" s="12"/>
      <c r="AN27" s="12"/>
      <c r="AO27" s="12" t="s">
        <v>17</v>
      </c>
      <c r="AP27" s="15">
        <v>1</v>
      </c>
      <c r="AQ27" s="15">
        <f>INDEX(Tables!$B$15:$B$17,MATCH('Henri''s Hotel'!AO27,Tables!$A$15:$A$17,0))+INDEX(Tables!$B$20:$B$32,MATCH('Henri''s Hotel'!AP27,Tables!$A$20:$A$32,0))</f>
        <v>7800</v>
      </c>
      <c r="AR27" s="46">
        <f>IF(AE27&gt;0,IF(AH27=Tables!$E$5,'Henri''s Hotel'!$M$32/'Henri''s Hotel'!$M$33,))</f>
        <v>0.5</v>
      </c>
      <c r="AS27" s="46">
        <f>IF(AH27=Tables!$E$3,'Henri''s Hotel'!AK27,)</f>
        <v>0</v>
      </c>
      <c r="AT27" s="46">
        <f>IF($AS$29&lt;'Hotel occupancy'!$B$13,IF('Henri''s Hotel'!AH27=Tables!$E$5,200,0),)</f>
        <v>200</v>
      </c>
      <c r="AU27" s="46">
        <f>(AK27+AL27+AR27+AS27+AT27)*Tables!$F$16</f>
        <v>28774.999999999694</v>
      </c>
      <c r="AV27" s="46">
        <f t="shared" si="7"/>
        <v>20974.999999999694</v>
      </c>
      <c r="AW27" s="58">
        <f>IF(AO27=Tables!$E$26,IF(AV27&lt;=Tables!$F$27,Tables!$G$27*'Henri''s Hotel'!AV27,IF('Henri''s Hotel'!AV27&lt;Tables!$F$28,Tables!$G$28*'Henri''s Hotel'!AV27,IF('Henri''s Hotel'!AV27&lt;Tables!$F$29,Tables!$G$29*'Henri''s Hotel'!AV27,'Henri''s Hotel'!AV27*Tables!$G$30))),IF(AV27&lt;=Tables!$F$33,Tables!$G$33*'Henri''s Hotel'!AV27,IF('Henri''s Hotel'!AV27&lt;Tables!$F$34,'Henri''s Hotel'!AV27*Tables!$G$34,IF('Henri''s Hotel'!AV27&lt;Tables!$F$35,Tables!$G$35*'Henri''s Hotel'!AV27,'Henri''s Hotel'!AV27*Tables!$G$36))))</f>
        <v>7760.7499999998872</v>
      </c>
      <c r="AX27" s="46">
        <f>IF(AU27&lt;=Tables!$F$39,'Henri''s Hotel'!AU27*Tables!$G$39,IF(AU27&gt;Tables!$F$40,Tables!$G$40*'Henri''s Hotel'!AU27,FALSE))</f>
        <v>1582.6249999999832</v>
      </c>
      <c r="AY27" s="46">
        <f t="shared" si="6"/>
        <v>19431.624999999825</v>
      </c>
      <c r="AZ27" s="43"/>
      <c r="BB27" s="42">
        <f>(MOD(K27-J27,1)+MOD(M27-L27,1)+MOD(O27-N27,1)+MOD(Q27-P27,1)+MOD(S27-R27,1)+MOD(U27-T27,1))*Tables!$F$17</f>
        <v>22.999999999999922</v>
      </c>
      <c r="BC27">
        <f>INDEX(Tables!$H$8:$H$10,MATCH(MOD(K27-J27,1)+MOD(M27-L27,1)+MOD(O27-N27,1)+MOD(Q27-P27,1)+MOD(S27-R27,1)+MOD(U27-T27,1),Tables!$D$8:$D$10,1))</f>
        <v>1</v>
      </c>
      <c r="BD27" s="43">
        <f t="shared" si="1"/>
        <v>344.99999999999881</v>
      </c>
      <c r="BE27" s="42">
        <f t="shared" si="2"/>
        <v>0.99999999999983658</v>
      </c>
      <c r="BF27">
        <f>INDEX(Tables!$K$8:$K$10,MATCH(AE27,Tables!$D$8:$D$10,1))</f>
        <v>2</v>
      </c>
      <c r="BG27" s="43">
        <f t="shared" si="3"/>
        <v>29.999999999995097</v>
      </c>
    </row>
    <row r="28" spans="9:59" x14ac:dyDescent="0.25">
      <c r="I28" s="6" t="s">
        <v>42</v>
      </c>
      <c r="J28" s="71">
        <v>0.625</v>
      </c>
      <c r="K28" s="71">
        <v>0.41666666666666669</v>
      </c>
      <c r="L28" s="71">
        <v>0.66666666666666663</v>
      </c>
      <c r="M28" s="71">
        <v>0.70833333333333337</v>
      </c>
      <c r="N28" s="71">
        <v>0.75</v>
      </c>
      <c r="O28" s="71">
        <v>1.7916666666666701</v>
      </c>
      <c r="P28" s="71">
        <v>1.8333333333333399</v>
      </c>
      <c r="Q28" s="71">
        <v>1.875</v>
      </c>
      <c r="R28" s="71"/>
      <c r="S28" s="71"/>
      <c r="T28" s="71">
        <v>2</v>
      </c>
      <c r="U28" s="71">
        <v>2.0416666666666701</v>
      </c>
      <c r="V28" s="71">
        <v>2.0833333333333401</v>
      </c>
      <c r="W28" s="72">
        <v>2.125</v>
      </c>
      <c r="X28" s="56">
        <f>IF(COUNTBLANK(J28:W28)&gt;=Tables!$B$34,COUNTA(J28:W28)/Tables!$B$34,"ERROR WORKING DAYS")</f>
        <v>6</v>
      </c>
      <c r="Y28" s="79">
        <f t="shared" si="4"/>
        <v>4.1666666666659857E-2</v>
      </c>
      <c r="Z28" s="65">
        <f>IF(AE28&lt;(Tables!$F$8/Tables!$F$17),0,AE28-(Tables!$F$8/Tables!$F$17))</f>
        <v>0</v>
      </c>
      <c r="AA28" s="65">
        <f t="shared" si="0"/>
        <v>0.99999999999999356</v>
      </c>
      <c r="AB28" s="73">
        <f>AA28*Tables!$F$17*AJ28</f>
        <v>359.99999999999767</v>
      </c>
      <c r="AC28" s="73">
        <f>IF(Z28&gt;0,IF((Z28*Tables!$F$17)&gt;$AB$37,((Z28*Tables!$F$17)-$AB$37)*$AC$37*AJ28+($AB$36*$AC$36*AJ28),(Z28*Tables!F36)*$AC$36*AJ28),)</f>
        <v>0</v>
      </c>
      <c r="AD28" s="73"/>
      <c r="AE28" s="11">
        <f t="shared" si="5"/>
        <v>0.99999999999999356</v>
      </c>
      <c r="AF28" s="66">
        <f>IF(AH28=Tables!$E$3,IF('Henri''s Hotel'!AG28=Tables!$A$4,'Henri''s Hotel'!AE28,0),0)</f>
        <v>0</v>
      </c>
      <c r="AG28" s="2" t="s">
        <v>15</v>
      </c>
      <c r="AH28" s="2" t="s">
        <v>27</v>
      </c>
      <c r="AI28" s="13">
        <f>INDEX(Tables!$F$3:$F$5,MATCH('Henri''s Hotel'!AH28,Tables!$E$3:$E$5,0))</f>
        <v>1.5</v>
      </c>
      <c r="AJ28" s="35">
        <f>INDEX(Tables!$F$3:$F$5,MATCH('Henri''s Hotel'!AH28,Tables!$E$3:$E$5,0))*INDEX(Tables!$B$3:$B$6,MATCH('Henri''s Hotel'!AG28,Tables!$A$3:$A$6,0))</f>
        <v>15</v>
      </c>
      <c r="AK28" s="45">
        <f>INDEX(Tables!$H$8:$H$10,MATCH(MOD(K28-J28,1)+MOD(M28-L28,1)+MOD(O28-N28,1)+MOD(Q28-P28,1)+MOD(S28-R28,1)+MOD(U28-T28,1),Tables!$D$8:$D$10,1))*AJ28*(MOD(K28-J28,1)+MOD(M28-L28,1)+MOD(O28-N28,1)+MOD(Q28-P28,1)+MOD(S28-R28,1)+MOD(U28-T28,1))*24+INDEX(Tables!$K$8:$K$10,MATCH(AE28,Tables!$D$8:$D$10,1))*(MOD(W28-V28,1)*24)*AJ28</f>
        <v>374.99999999999523</v>
      </c>
      <c r="AL28" s="33">
        <f>IF(AH28=Tables!$E$3,IF('Henri''s Hotel'!AG28=Tables!$A$4,('Henri''s Hotel'!AE28/'Henri''s Hotel'!$AE$30)*'Henri''s Hotel'!$AE$31,),0)</f>
        <v>0</v>
      </c>
      <c r="AM28" s="12"/>
      <c r="AN28" s="12"/>
      <c r="AO28" s="12" t="s">
        <v>17</v>
      </c>
      <c r="AP28" s="15">
        <v>1</v>
      </c>
      <c r="AQ28" s="15">
        <f>INDEX(Tables!$B$15:$B$17,MATCH('Henri''s Hotel'!AO28,Tables!$A$15:$A$17,0))+INDEX(Tables!$B$20:$B$32,MATCH('Henri''s Hotel'!AP28,Tables!$A$20:$A$32,0))</f>
        <v>7800</v>
      </c>
      <c r="AR28" s="46">
        <f>IF(AE28&gt;0,IF(AH28=Tables!$E$5,'Henri''s Hotel'!$M$32/'Henri''s Hotel'!$M$33,))</f>
        <v>0.5</v>
      </c>
      <c r="AS28" s="46">
        <f>IF(AH28=Tables!$E$3,'Henri''s Hotel'!AK28,)</f>
        <v>0</v>
      </c>
      <c r="AT28" s="46">
        <f>IF($AS$29&lt;'Hotel occupancy'!$B$13,IF('Henri''s Hotel'!AH28=Tables!$E$5,200,0),)</f>
        <v>200</v>
      </c>
      <c r="AU28" s="46">
        <f>(AK28+AL28+AR28+AS28+AT28)*Tables!$F$16</f>
        <v>28774.99999999976</v>
      </c>
      <c r="AV28" s="46">
        <f t="shared" si="7"/>
        <v>20974.99999999976</v>
      </c>
      <c r="AW28" s="58">
        <f>IF(AO28=Tables!$E$26,IF(AV28&lt;=Tables!$F$27,Tables!$G$27*'Henri''s Hotel'!AV28,IF('Henri''s Hotel'!AV28&lt;Tables!$F$28,Tables!$G$28*'Henri''s Hotel'!AV28,IF('Henri''s Hotel'!AV28&lt;Tables!$F$29,Tables!$G$29*'Henri''s Hotel'!AV28,'Henri''s Hotel'!AV28*Tables!$G$30))),IF(AV28&lt;=Tables!$F$33,Tables!$G$33*'Henri''s Hotel'!AV28,IF('Henri''s Hotel'!AV28&lt;Tables!$F$34,'Henri''s Hotel'!AV28*Tables!$G$34,IF('Henri''s Hotel'!AV28&lt;Tables!$F$35,Tables!$G$35*'Henri''s Hotel'!AV28,'Henri''s Hotel'!AV28*Tables!$G$36))))</f>
        <v>7760.7499999999109</v>
      </c>
      <c r="AX28" s="46">
        <f>IF(AU28&lt;=Tables!$F$39,'Henri''s Hotel'!AU28*Tables!$G$39,IF(AU28&gt;Tables!$F$40,Tables!$G$40*'Henri''s Hotel'!AU28,FALSE))</f>
        <v>1582.6249999999868</v>
      </c>
      <c r="AY28" s="46">
        <f t="shared" si="6"/>
        <v>19431.624999999862</v>
      </c>
      <c r="AZ28" s="43"/>
      <c r="BB28" s="42">
        <f>(MOD(K28-J28,1)+MOD(M28-L28,1)+MOD(O28-N28,1)+MOD(Q28-P28,1)+MOD(S28-R28,1)+MOD(U28-T28,1))*Tables!$F$17</f>
        <v>23.000000000000007</v>
      </c>
      <c r="BC28">
        <f>INDEX(Tables!$H$8:$H$10,MATCH(MOD(K28-J28,1)+MOD(M28-L28,1)+MOD(O28-N28,1)+MOD(Q28-P28,1)+MOD(S28-R28,1)+MOD(U28-T28,1),Tables!$D$8:$D$10,1))</f>
        <v>1</v>
      </c>
      <c r="BD28" s="43">
        <f t="shared" si="1"/>
        <v>345.00000000000011</v>
      </c>
      <c r="BE28" s="42">
        <f t="shared" si="2"/>
        <v>0.99999999999983658</v>
      </c>
      <c r="BF28">
        <f>INDEX(Tables!$K$8:$K$10,MATCH(AE28,Tables!$D$8:$D$10,1))</f>
        <v>2</v>
      </c>
      <c r="BG28" s="43">
        <f t="shared" si="3"/>
        <v>29.999999999995097</v>
      </c>
    </row>
    <row r="29" spans="9:59" x14ac:dyDescent="0.25">
      <c r="AS29" s="53">
        <f>(SUM(AS9:AS28))/O31</f>
        <v>0.17684615384615254</v>
      </c>
      <c r="AT29" s="43"/>
      <c r="AU29" s="43"/>
    </row>
    <row r="30" spans="9:59" x14ac:dyDescent="0.25">
      <c r="I30" s="24" t="s">
        <v>11</v>
      </c>
      <c r="J30" s="20">
        <v>1000</v>
      </c>
      <c r="L30" s="59" t="s">
        <v>74</v>
      </c>
      <c r="M30" s="46">
        <v>12000</v>
      </c>
      <c r="O30" t="s">
        <v>85</v>
      </c>
      <c r="P30" t="s">
        <v>87</v>
      </c>
      <c r="Q30" t="s">
        <v>88</v>
      </c>
      <c r="X30" s="12" t="s">
        <v>62</v>
      </c>
      <c r="Y30" s="12"/>
      <c r="Z30" s="12"/>
      <c r="AA30" s="12"/>
      <c r="AB30" s="12"/>
      <c r="AC30" s="12"/>
      <c r="AD30" s="12"/>
      <c r="AE30" s="23">
        <f>SUM(AF9:AF29)</f>
        <v>4.9999999999999742</v>
      </c>
      <c r="AF30" s="30"/>
      <c r="AG30" s="27"/>
      <c r="AS30" s="53"/>
    </row>
    <row r="31" spans="9:59" x14ac:dyDescent="0.25">
      <c r="I31" s="24" t="s">
        <v>12</v>
      </c>
      <c r="J31" s="20">
        <f>J30*Tables!F14</f>
        <v>50</v>
      </c>
      <c r="L31" s="59" t="s">
        <v>76</v>
      </c>
      <c r="M31" s="52">
        <f>IF('Hotel occupancy'!B10&lt;'Hotel occupancy'!C5,'Hotel occupancy'!D5,IF('Hotel occupancy'!B10&lt;'Hotel occupancy'!C6,'Hotel occupancy'!D6,IF('Hotel occupancy'!B10&lt;'Hotel occupancy'!C7,'Hotel occupancy'!D7,IF('Hotel occupancy'!B10&gt;'Hotel occupancy'!C7,'Hotel occupancy'!D8,))))</f>
        <v>5.0000000000000001E-4</v>
      </c>
      <c r="O31" s="43">
        <f>M30+J30</f>
        <v>13000</v>
      </c>
      <c r="AE31" s="29">
        <f>(100/500)*J31</f>
        <v>10</v>
      </c>
      <c r="AF31" s="29"/>
    </row>
    <row r="32" spans="9:59" x14ac:dyDescent="0.25">
      <c r="L32" s="59" t="s">
        <v>77</v>
      </c>
      <c r="M32" s="46">
        <f>M31*M30</f>
        <v>6</v>
      </c>
    </row>
    <row r="33" spans="10:30" x14ac:dyDescent="0.25">
      <c r="L33" t="s">
        <v>83</v>
      </c>
      <c r="M33">
        <f>COUNTIF(AH9:AH28,Tables!$E$5)</f>
        <v>12</v>
      </c>
    </row>
    <row r="34" spans="10:30" x14ac:dyDescent="0.25">
      <c r="L34" t="s">
        <v>84</v>
      </c>
      <c r="M34" s="43">
        <f>M32/M33</f>
        <v>0.5</v>
      </c>
      <c r="AB34" s="76" t="s">
        <v>131</v>
      </c>
      <c r="AC34" s="76"/>
      <c r="AD34" s="76"/>
    </row>
    <row r="35" spans="10:30" x14ac:dyDescent="0.25">
      <c r="AA35" t="s">
        <v>132</v>
      </c>
      <c r="AB35">
        <v>0</v>
      </c>
      <c r="AC35">
        <v>1</v>
      </c>
    </row>
    <row r="36" spans="10:30" x14ac:dyDescent="0.25">
      <c r="AA36" t="s">
        <v>133</v>
      </c>
      <c r="AB36">
        <v>6</v>
      </c>
      <c r="AC36">
        <v>1.25</v>
      </c>
    </row>
    <row r="37" spans="10:30" x14ac:dyDescent="0.25">
      <c r="AA37" t="s">
        <v>134</v>
      </c>
      <c r="AB37">
        <v>6</v>
      </c>
      <c r="AC37">
        <v>1.5</v>
      </c>
    </row>
    <row r="40" spans="10:30" x14ac:dyDescent="0.25">
      <c r="J40" s="57"/>
    </row>
  </sheetData>
  <dataConsolidate function="countNums">
    <dataRefs count="1">
      <dataRef ref="AF9:AF28" sheet="Henri's Hotel"/>
    </dataRefs>
  </dataConsolidate>
  <mergeCells count="14">
    <mergeCell ref="I7:I8"/>
    <mergeCell ref="V7:W7"/>
    <mergeCell ref="T7:U7"/>
    <mergeCell ref="R7:S7"/>
    <mergeCell ref="P7:Q7"/>
    <mergeCell ref="N7:O7"/>
    <mergeCell ref="L7:M7"/>
    <mergeCell ref="J7:K7"/>
    <mergeCell ref="AF7:AF8"/>
    <mergeCell ref="X7:X8"/>
    <mergeCell ref="Z7:Z8"/>
    <mergeCell ref="AB7:AB8"/>
    <mergeCell ref="AE7:AE8"/>
    <mergeCell ref="AA7:AA8"/>
  </mergeCells>
  <conditionalFormatting sqref="AE9:AE28">
    <cfRule type="dataBar" priority="23">
      <dataBar>
        <cfvo type="min"/>
        <cfvo type="max"/>
        <color theme="3" tint="0.79998168889431442"/>
      </dataBar>
      <extLst>
        <ext xmlns:x14="http://schemas.microsoft.com/office/spreadsheetml/2009/9/main" uri="{B025F937-C7B1-47D3-B67F-A62EFF666E3E}">
          <x14:id>{C0808594-B8B0-406E-ACC0-9C1C13B442FD}</x14:id>
        </ext>
      </extLst>
    </cfRule>
    <cfRule type="dataBar" priority="24">
      <dataBar>
        <cfvo type="min"/>
        <cfvo type="max"/>
        <color rgb="FF638EC6"/>
      </dataBar>
      <extLst>
        <ext xmlns:x14="http://schemas.microsoft.com/office/spreadsheetml/2009/9/main" uri="{B025F937-C7B1-47D3-B67F-A62EFF666E3E}">
          <x14:id>{F395B7FE-8AEF-46F6-934C-7404FD4DAFB2}</x14:id>
        </ext>
      </extLst>
    </cfRule>
  </conditionalFormatting>
  <conditionalFormatting sqref="X9:AD28">
    <cfRule type="cellIs" dxfId="4" priority="20" operator="equal">
      <formula>"ERROR"</formula>
    </cfRule>
    <cfRule type="containsText" dxfId="3" priority="21" operator="containsText" text="ERROR">
      <formula>NOT(ISERROR(SEARCH("ERROR",X9)))</formula>
    </cfRule>
    <cfRule type="containsText" dxfId="2" priority="22" operator="containsText" text="&quot;ERROR WORKING DAYS3">
      <formula>NOT(ISERROR(SEARCH("""ERROR WORKING DAYS3",X9)))</formula>
    </cfRule>
  </conditionalFormatting>
  <conditionalFormatting sqref="X9:AD28">
    <cfRule type="cellIs" dxfId="1" priority="19" operator="equal">
      <formula>5.5</formula>
    </cfRule>
  </conditionalFormatting>
  <conditionalFormatting sqref="J9:W28">
    <cfRule type="cellIs" dxfId="0" priority="11" operator="equal">
      <formula>0</formula>
    </cfRule>
  </conditionalFormatting>
  <conditionalFormatting sqref="AU9:AU28">
    <cfRule type="dataBar" priority="9">
      <dataBar>
        <cfvo type="min"/>
        <cfvo type="max"/>
        <color rgb="FF008AEF"/>
      </dataBar>
      <extLst>
        <ext xmlns:x14="http://schemas.microsoft.com/office/spreadsheetml/2009/9/main" uri="{B025F937-C7B1-47D3-B67F-A62EFF666E3E}">
          <x14:id>{E6BF1E41-7C52-450E-8A27-E3516EC3C5EB}</x14:id>
        </ext>
      </extLst>
    </cfRule>
  </conditionalFormatting>
  <conditionalFormatting sqref="AY9:AY28">
    <cfRule type="dataBar" priority="7">
      <dataBar>
        <cfvo type="min"/>
        <cfvo type="max"/>
        <color rgb="FF638EC6"/>
      </dataBar>
      <extLst>
        <ext xmlns:x14="http://schemas.microsoft.com/office/spreadsheetml/2009/9/main" uri="{B025F937-C7B1-47D3-B67F-A62EFF666E3E}">
          <x14:id>{0D176399-9D2D-4E73-8EB1-DCCE6FFF86A3}</x14:id>
        </ext>
      </extLst>
    </cfRule>
  </conditionalFormatting>
  <conditionalFormatting sqref="AX9:AX28">
    <cfRule type="dataBar" priority="6">
      <dataBar>
        <cfvo type="min"/>
        <cfvo type="max"/>
        <color rgb="FFFFB628"/>
      </dataBar>
      <extLst>
        <ext xmlns:x14="http://schemas.microsoft.com/office/spreadsheetml/2009/9/main" uri="{B025F937-C7B1-47D3-B67F-A62EFF666E3E}">
          <x14:id>{4B074856-E160-4710-834A-2F2713A7D33A}</x14:id>
        </ext>
      </extLst>
    </cfRule>
  </conditionalFormatting>
  <conditionalFormatting sqref="AW9:AW28">
    <cfRule type="dataBar" priority="5">
      <dataBar>
        <cfvo type="min"/>
        <cfvo type="max"/>
        <color rgb="FFFFB628"/>
      </dataBar>
      <extLst>
        <ext xmlns:x14="http://schemas.microsoft.com/office/spreadsheetml/2009/9/main" uri="{B025F937-C7B1-47D3-B67F-A62EFF666E3E}">
          <x14:id>{5D64BA84-04BB-41F4-B71C-5EBFEDCB02F5}</x14:id>
        </ext>
      </extLst>
    </cfRule>
  </conditionalFormatting>
  <conditionalFormatting sqref="AV9:AV28">
    <cfRule type="dataBar" priority="4">
      <dataBar>
        <cfvo type="min"/>
        <cfvo type="max"/>
        <color rgb="FFFFB628"/>
      </dataBar>
      <extLst>
        <ext xmlns:x14="http://schemas.microsoft.com/office/spreadsheetml/2009/9/main" uri="{B025F937-C7B1-47D3-B67F-A62EFF666E3E}">
          <x14:id>{AD507FA9-9C12-4003-BA1D-EA10142E2B18}</x14:id>
        </ext>
      </extLst>
    </cfRule>
  </conditionalFormatting>
  <conditionalFormatting sqref="Z9:Z28">
    <cfRule type="dataBar" priority="1">
      <dataBar>
        <cfvo type="min"/>
        <cfvo type="max"/>
        <color rgb="FF638EC6"/>
      </dataBar>
      <extLst>
        <ext xmlns:x14="http://schemas.microsoft.com/office/spreadsheetml/2009/9/main" uri="{B025F937-C7B1-47D3-B67F-A62EFF666E3E}">
          <x14:id>{738CC98C-3071-41AB-9AD0-1B3CBE08796E}</x14:id>
        </ext>
      </extLst>
    </cfRule>
  </conditionalFormatting>
  <pageMargins left="0.70000000000000007" right="0.70000000000000007" top="0.75" bottom="0.75" header="0.30000000000000004" footer="0.30000000000000004"/>
  <pageSetup paperSize="9" fitToWidth="0"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dataBar" id="{C0808594-B8B0-406E-ACC0-9C1C13B442FD}">
            <x14:dataBar minLength="0" maxLength="100" gradient="0">
              <x14:cfvo type="autoMin"/>
              <x14:cfvo type="autoMax"/>
              <x14:negativeFillColor rgb="FFFF0000"/>
              <x14:axisColor rgb="FF000000"/>
            </x14:dataBar>
          </x14:cfRule>
          <x14:cfRule type="dataBar" id="{F395B7FE-8AEF-46F6-934C-7404FD4DAFB2}">
            <x14:dataBar minLength="0" maxLength="100" border="1" negativeBarBorderColorSameAsPositive="0">
              <x14:cfvo type="autoMin"/>
              <x14:cfvo type="autoMax"/>
              <x14:borderColor rgb="FF638EC6"/>
              <x14:negativeFillColor rgb="FFFF0000"/>
              <x14:negativeBorderColor rgb="FFFF0000"/>
              <x14:axisColor rgb="FF000000"/>
            </x14:dataBar>
          </x14:cfRule>
          <xm:sqref>AE9:AE28</xm:sqref>
        </x14:conditionalFormatting>
        <x14:conditionalFormatting xmlns:xm="http://schemas.microsoft.com/office/excel/2006/main">
          <x14:cfRule type="dataBar" id="{E6BF1E41-7C52-450E-8A27-E3516EC3C5EB}">
            <x14:dataBar minLength="0" maxLength="100" border="1" negativeBarBorderColorSameAsPositive="0">
              <x14:cfvo type="autoMin"/>
              <x14:cfvo type="autoMax"/>
              <x14:borderColor rgb="FF008AEF"/>
              <x14:negativeFillColor rgb="FFFF0000"/>
              <x14:negativeBorderColor rgb="FFFF0000"/>
              <x14:axisColor rgb="FF000000"/>
            </x14:dataBar>
          </x14:cfRule>
          <xm:sqref>AU9:AU28</xm:sqref>
        </x14:conditionalFormatting>
        <x14:conditionalFormatting xmlns:xm="http://schemas.microsoft.com/office/excel/2006/main">
          <x14:cfRule type="dataBar" id="{0D176399-9D2D-4E73-8EB1-DCCE6FFF86A3}">
            <x14:dataBar minLength="0" maxLength="100" border="1" negativeBarBorderColorSameAsPositive="0">
              <x14:cfvo type="autoMin"/>
              <x14:cfvo type="autoMax"/>
              <x14:borderColor rgb="FF638EC6"/>
              <x14:negativeFillColor rgb="FFFF0000"/>
              <x14:negativeBorderColor rgb="FFFF0000"/>
              <x14:axisColor rgb="FF000000"/>
            </x14:dataBar>
          </x14:cfRule>
          <xm:sqref>AY9:AY28</xm:sqref>
        </x14:conditionalFormatting>
        <x14:conditionalFormatting xmlns:xm="http://schemas.microsoft.com/office/excel/2006/main">
          <x14:cfRule type="dataBar" id="{4B074856-E160-4710-834A-2F2713A7D33A}">
            <x14:dataBar minLength="0" maxLength="100" border="1" negativeBarBorderColorSameAsPositive="0">
              <x14:cfvo type="autoMin"/>
              <x14:cfvo type="autoMax"/>
              <x14:borderColor rgb="FFFFB628"/>
              <x14:negativeFillColor rgb="FFFF0000"/>
              <x14:negativeBorderColor rgb="FFFF0000"/>
              <x14:axisColor rgb="FF000000"/>
            </x14:dataBar>
          </x14:cfRule>
          <xm:sqref>AX9:AX28</xm:sqref>
        </x14:conditionalFormatting>
        <x14:conditionalFormatting xmlns:xm="http://schemas.microsoft.com/office/excel/2006/main">
          <x14:cfRule type="dataBar" id="{5D64BA84-04BB-41F4-B71C-5EBFEDCB02F5}">
            <x14:dataBar minLength="0" maxLength="100" border="1" negativeBarBorderColorSameAsPositive="0">
              <x14:cfvo type="autoMin"/>
              <x14:cfvo type="autoMax"/>
              <x14:borderColor rgb="FFFFB628"/>
              <x14:negativeFillColor rgb="FFFF0000"/>
              <x14:negativeBorderColor rgb="FFFF0000"/>
              <x14:axisColor rgb="FF000000"/>
            </x14:dataBar>
          </x14:cfRule>
          <xm:sqref>AW9:AW28</xm:sqref>
        </x14:conditionalFormatting>
        <x14:conditionalFormatting xmlns:xm="http://schemas.microsoft.com/office/excel/2006/main">
          <x14:cfRule type="dataBar" id="{AD507FA9-9C12-4003-BA1D-EA10142E2B18}">
            <x14:dataBar minLength="0" maxLength="100" border="1" negativeBarBorderColorSameAsPositive="0">
              <x14:cfvo type="autoMin"/>
              <x14:cfvo type="autoMax"/>
              <x14:borderColor rgb="FFFFB628"/>
              <x14:negativeFillColor rgb="FFFF0000"/>
              <x14:negativeBorderColor rgb="FFFF0000"/>
              <x14:axisColor rgb="FF000000"/>
            </x14:dataBar>
          </x14:cfRule>
          <xm:sqref>AV9:AV28</xm:sqref>
        </x14:conditionalFormatting>
        <x14:conditionalFormatting xmlns:xm="http://schemas.microsoft.com/office/excel/2006/main">
          <x14:cfRule type="dataBar" id="{738CC98C-3071-41AB-9AD0-1B3CBE08796E}">
            <x14:dataBar minLength="0" maxLength="100" border="1" negativeBarBorderColorSameAsPositive="0">
              <x14:cfvo type="autoMin"/>
              <x14:cfvo type="autoMax"/>
              <x14:borderColor rgb="FF638EC6"/>
              <x14:negativeFillColor rgb="FFFF0000"/>
              <x14:negativeBorderColor rgb="FFFF0000"/>
              <x14:axisColor rgb="FF000000"/>
            </x14:dataBar>
          </x14:cfRule>
          <xm:sqref>Z9:Z28</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Tables!$A$3:$A$6</xm:f>
          </x14:formula1>
          <xm:sqref>AG9:AG28</xm:sqref>
        </x14:dataValidation>
        <x14:dataValidation type="list" allowBlank="1" showInputMessage="1" showErrorMessage="1">
          <x14:formula1>
            <xm:f>Tables!$E$3:$E$5</xm:f>
          </x14:formula1>
          <xm:sqref>AH9:AH28</xm:sqref>
        </x14:dataValidation>
        <x14:dataValidation type="list" allowBlank="1" showInputMessage="1" showErrorMessage="1">
          <x14:formula1>
            <xm:f>Tables!$J$3:$J$5</xm:f>
          </x14:formula1>
          <xm:sqref>AO9:AO28</xm:sqref>
        </x14:dataValidation>
        <x14:dataValidation type="list" operator="greaterThan" allowBlank="1" showInputMessage="1" showErrorMessage="1">
          <x14:formula1>
            <xm:f>Tables!$A$20:$A$32</xm:f>
          </x14:formula1>
          <xm:sqref>AP9:AP28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0"/>
  <sheetViews>
    <sheetView workbookViewId="0"/>
  </sheetViews>
  <sheetFormatPr baseColWidth="10" defaultColWidth="8.85546875" defaultRowHeight="15" x14ac:dyDescent="0.25"/>
  <cols>
    <col min="1" max="1" width="22.140625" bestFit="1" customWidth="1"/>
    <col min="2" max="2" width="11" customWidth="1"/>
    <col min="3" max="4" width="9.140625" customWidth="1"/>
    <col min="5" max="5" width="26.7109375" bestFit="1" customWidth="1"/>
    <col min="6" max="6" width="22.28515625" customWidth="1"/>
    <col min="7" max="7" width="42" customWidth="1"/>
    <col min="8" max="8" width="12.85546875" bestFit="1" customWidth="1"/>
    <col min="9" max="9" width="9.140625" customWidth="1"/>
    <col min="10" max="10" width="24.140625" customWidth="1"/>
    <col min="11" max="11" width="18.5703125" customWidth="1"/>
    <col min="12" max="12" width="9.140625" customWidth="1"/>
  </cols>
  <sheetData>
    <row r="2" spans="1:11" x14ac:dyDescent="0.25">
      <c r="A2" s="3" t="s">
        <v>8</v>
      </c>
      <c r="B2" s="3" t="s">
        <v>43</v>
      </c>
      <c r="E2" s="3" t="s">
        <v>9</v>
      </c>
      <c r="F2" s="3" t="s">
        <v>44</v>
      </c>
      <c r="G2" s="55"/>
      <c r="J2" s="63" t="s">
        <v>13</v>
      </c>
      <c r="K2" s="63" t="s">
        <v>45</v>
      </c>
    </row>
    <row r="3" spans="1:11" x14ac:dyDescent="0.25">
      <c r="A3" s="4" t="s">
        <v>15</v>
      </c>
      <c r="B3" s="2">
        <v>10</v>
      </c>
      <c r="E3" s="4" t="s">
        <v>23</v>
      </c>
      <c r="F3" s="2">
        <v>1</v>
      </c>
      <c r="G3" s="47"/>
      <c r="J3" s="63" t="s">
        <v>34</v>
      </c>
      <c r="K3" s="12">
        <v>5000</v>
      </c>
    </row>
    <row r="4" spans="1:11" x14ac:dyDescent="0.25">
      <c r="A4" s="4" t="s">
        <v>29</v>
      </c>
      <c r="B4" s="2">
        <v>8</v>
      </c>
      <c r="E4" s="4" t="s">
        <v>16</v>
      </c>
      <c r="F4" s="2">
        <v>1.25</v>
      </c>
      <c r="G4" s="47"/>
      <c r="J4" s="63" t="s">
        <v>17</v>
      </c>
      <c r="K4" s="12">
        <v>7000</v>
      </c>
    </row>
    <row r="5" spans="1:11" x14ac:dyDescent="0.25">
      <c r="A5" s="4" t="s">
        <v>46</v>
      </c>
      <c r="B5" s="2">
        <v>7</v>
      </c>
      <c r="E5" s="4" t="s">
        <v>27</v>
      </c>
      <c r="F5" s="2">
        <v>1.5</v>
      </c>
      <c r="G5" s="47"/>
      <c r="J5" s="63" t="s">
        <v>24</v>
      </c>
      <c r="K5" s="12">
        <v>5500</v>
      </c>
    </row>
    <row r="6" spans="1:11" x14ac:dyDescent="0.25">
      <c r="A6" s="4" t="s">
        <v>21</v>
      </c>
      <c r="B6" s="2">
        <v>6.5</v>
      </c>
    </row>
    <row r="7" spans="1:11" x14ac:dyDescent="0.25">
      <c r="E7" s="16" t="s">
        <v>49</v>
      </c>
      <c r="F7" s="19" t="s">
        <v>59</v>
      </c>
      <c r="G7" s="19"/>
      <c r="H7" s="19" t="s">
        <v>53</v>
      </c>
      <c r="I7" s="19"/>
      <c r="J7" s="19" t="s">
        <v>60</v>
      </c>
      <c r="K7" s="19" t="s">
        <v>53</v>
      </c>
    </row>
    <row r="8" spans="1:11" x14ac:dyDescent="0.25">
      <c r="D8" s="12">
        <v>0</v>
      </c>
      <c r="E8" s="16" t="s">
        <v>50</v>
      </c>
      <c r="F8" s="12">
        <v>39</v>
      </c>
      <c r="G8" s="12"/>
      <c r="H8" s="12">
        <v>1</v>
      </c>
      <c r="I8" s="12"/>
      <c r="J8" s="12">
        <v>39</v>
      </c>
      <c r="K8" s="12">
        <f>H11*H8</f>
        <v>2</v>
      </c>
    </row>
    <row r="9" spans="1:11" x14ac:dyDescent="0.25">
      <c r="D9" s="12">
        <f>39/24</f>
        <v>1.625</v>
      </c>
      <c r="E9" s="16" t="s">
        <v>51</v>
      </c>
      <c r="F9" s="12">
        <v>45</v>
      </c>
      <c r="G9" s="12"/>
      <c r="H9" s="12">
        <v>1.25</v>
      </c>
      <c r="I9" s="12"/>
      <c r="J9" s="12">
        <v>45</v>
      </c>
      <c r="K9" s="12">
        <f>H9*H11</f>
        <v>2.5</v>
      </c>
    </row>
    <row r="10" spans="1:11" x14ac:dyDescent="0.25">
      <c r="D10" s="12">
        <f>45/24</f>
        <v>1.875</v>
      </c>
      <c r="E10" s="16" t="s">
        <v>52</v>
      </c>
      <c r="F10" s="18">
        <v>45</v>
      </c>
      <c r="G10" s="18"/>
      <c r="H10" s="12">
        <v>1.5</v>
      </c>
      <c r="I10" s="12"/>
      <c r="J10" s="18">
        <v>45</v>
      </c>
      <c r="K10" s="12">
        <f>H11*H10</f>
        <v>3</v>
      </c>
    </row>
    <row r="11" spans="1:11" x14ac:dyDescent="0.25">
      <c r="E11" s="16" t="s">
        <v>7</v>
      </c>
      <c r="F11" s="12"/>
      <c r="G11" s="12"/>
      <c r="H11" s="18">
        <v>2</v>
      </c>
      <c r="I11" s="17"/>
    </row>
    <row r="14" spans="1:11" x14ac:dyDescent="0.25">
      <c r="A14" s="110" t="s">
        <v>45</v>
      </c>
      <c r="B14" s="110"/>
      <c r="E14" s="16" t="s">
        <v>12</v>
      </c>
      <c r="F14" s="49">
        <v>0.05</v>
      </c>
      <c r="G14" s="28"/>
    </row>
    <row r="15" spans="1:11" x14ac:dyDescent="0.25">
      <c r="A15" s="60" t="s">
        <v>34</v>
      </c>
      <c r="B15" s="12">
        <v>5000</v>
      </c>
    </row>
    <row r="16" spans="1:11" x14ac:dyDescent="0.25">
      <c r="A16" s="60" t="s">
        <v>17</v>
      </c>
      <c r="B16" s="12">
        <v>7000</v>
      </c>
      <c r="E16" s="19" t="s">
        <v>65</v>
      </c>
      <c r="F16" s="12">
        <v>50</v>
      </c>
      <c r="G16" s="47"/>
    </row>
    <row r="17" spans="1:11" x14ac:dyDescent="0.25">
      <c r="A17" s="60" t="s">
        <v>24</v>
      </c>
      <c r="B17" s="12">
        <v>5500</v>
      </c>
      <c r="E17" s="19" t="s">
        <v>72</v>
      </c>
      <c r="F17" s="12">
        <v>24</v>
      </c>
    </row>
    <row r="18" spans="1:11" x14ac:dyDescent="0.25">
      <c r="A18" s="17"/>
      <c r="B18" s="17"/>
    </row>
    <row r="19" spans="1:11" x14ac:dyDescent="0.25">
      <c r="A19" s="110" t="s">
        <v>56</v>
      </c>
      <c r="B19" s="110"/>
      <c r="C19" s="60">
        <v>800</v>
      </c>
      <c r="E19" s="47"/>
      <c r="F19" s="47"/>
      <c r="G19" s="47"/>
      <c r="H19" s="47"/>
      <c r="I19" s="47"/>
      <c r="J19" s="47"/>
      <c r="K19" s="47"/>
    </row>
    <row r="20" spans="1:11" x14ac:dyDescent="0.25">
      <c r="A20" s="62">
        <v>0</v>
      </c>
      <c r="B20" s="21">
        <f>$C$19*A20</f>
        <v>0</v>
      </c>
      <c r="C20" s="22"/>
      <c r="E20" s="47"/>
      <c r="F20" s="111"/>
      <c r="G20" s="111"/>
      <c r="H20" s="47"/>
      <c r="I20" s="47"/>
      <c r="J20" s="47"/>
      <c r="K20" s="47"/>
    </row>
    <row r="21" spans="1:11" x14ac:dyDescent="0.25">
      <c r="A21" s="62">
        <v>1</v>
      </c>
      <c r="B21" s="21">
        <f t="shared" ref="B21:B32" si="0">$C$19*A21</f>
        <v>800</v>
      </c>
      <c r="C21" s="22"/>
      <c r="E21" s="47"/>
      <c r="F21" s="47"/>
      <c r="G21" s="47"/>
      <c r="H21" s="47"/>
      <c r="I21" s="47"/>
      <c r="J21" s="47"/>
      <c r="K21" s="47"/>
    </row>
    <row r="22" spans="1:11" x14ac:dyDescent="0.25">
      <c r="A22" s="62">
        <v>2</v>
      </c>
      <c r="B22" s="21">
        <f t="shared" si="0"/>
        <v>1600</v>
      </c>
      <c r="C22" s="22"/>
      <c r="E22" s="47"/>
      <c r="F22" s="47"/>
      <c r="G22" s="47"/>
      <c r="H22" s="47"/>
      <c r="I22" s="47"/>
      <c r="J22" s="47"/>
      <c r="K22" s="47"/>
    </row>
    <row r="23" spans="1:11" x14ac:dyDescent="0.25">
      <c r="A23" s="62">
        <v>3</v>
      </c>
      <c r="B23" s="21">
        <f t="shared" si="0"/>
        <v>2400</v>
      </c>
      <c r="C23" s="22"/>
      <c r="E23" s="47"/>
      <c r="F23" s="47"/>
      <c r="G23" s="47"/>
      <c r="H23" s="47"/>
      <c r="I23" s="47"/>
      <c r="J23" s="47"/>
      <c r="K23" s="47"/>
    </row>
    <row r="24" spans="1:11" x14ac:dyDescent="0.25">
      <c r="A24" s="62">
        <v>4</v>
      </c>
      <c r="B24" s="21">
        <f t="shared" si="0"/>
        <v>3200</v>
      </c>
      <c r="C24" s="22"/>
      <c r="E24" s="47"/>
      <c r="F24" s="47"/>
      <c r="G24" s="47"/>
      <c r="H24" s="47"/>
      <c r="I24" s="47"/>
      <c r="J24" s="47"/>
      <c r="K24" s="47"/>
    </row>
    <row r="25" spans="1:11" x14ac:dyDescent="0.25">
      <c r="A25" s="62">
        <v>5</v>
      </c>
      <c r="B25" s="21">
        <f t="shared" si="0"/>
        <v>4000</v>
      </c>
      <c r="C25" s="22"/>
    </row>
    <row r="26" spans="1:11" x14ac:dyDescent="0.25">
      <c r="A26" s="62">
        <v>6</v>
      </c>
      <c r="B26" s="21">
        <f t="shared" si="0"/>
        <v>4800</v>
      </c>
      <c r="C26" s="22"/>
      <c r="E26" s="60" t="s">
        <v>34</v>
      </c>
      <c r="F26" s="110" t="s">
        <v>108</v>
      </c>
      <c r="G26" s="110"/>
    </row>
    <row r="27" spans="1:11" x14ac:dyDescent="0.25">
      <c r="A27" s="62">
        <v>7</v>
      </c>
      <c r="B27" s="21">
        <f t="shared" si="0"/>
        <v>5600</v>
      </c>
      <c r="C27" s="22"/>
      <c r="E27" s="60" t="s">
        <v>109</v>
      </c>
      <c r="F27" s="12">
        <v>8000</v>
      </c>
      <c r="G27" s="51">
        <v>0.25</v>
      </c>
    </row>
    <row r="28" spans="1:11" x14ac:dyDescent="0.25">
      <c r="A28" s="62">
        <v>8</v>
      </c>
      <c r="B28" s="21">
        <f t="shared" si="0"/>
        <v>6400</v>
      </c>
      <c r="C28" s="22"/>
      <c r="E28" s="60" t="s">
        <v>110</v>
      </c>
      <c r="F28" s="12">
        <v>13000</v>
      </c>
      <c r="G28" s="51">
        <v>0.37</v>
      </c>
    </row>
    <row r="29" spans="1:11" x14ac:dyDescent="0.25">
      <c r="A29" s="62">
        <v>9</v>
      </c>
      <c r="B29" s="21">
        <f t="shared" si="0"/>
        <v>7200</v>
      </c>
      <c r="C29" s="22"/>
      <c r="E29" s="60" t="s">
        <v>112</v>
      </c>
      <c r="F29" s="12">
        <v>50000</v>
      </c>
      <c r="G29" s="51">
        <v>0.43</v>
      </c>
    </row>
    <row r="30" spans="1:11" x14ac:dyDescent="0.25">
      <c r="A30" s="62">
        <v>10</v>
      </c>
      <c r="B30" s="21">
        <f t="shared" si="0"/>
        <v>8000</v>
      </c>
      <c r="C30" s="22"/>
      <c r="E30" s="60" t="s">
        <v>113</v>
      </c>
      <c r="F30" s="12">
        <v>50000</v>
      </c>
      <c r="G30" s="51">
        <v>0.5</v>
      </c>
    </row>
    <row r="31" spans="1:11" x14ac:dyDescent="0.25">
      <c r="A31" s="62">
        <v>11</v>
      </c>
      <c r="B31" s="21">
        <f t="shared" si="0"/>
        <v>8800</v>
      </c>
      <c r="C31" s="22"/>
    </row>
    <row r="32" spans="1:11" x14ac:dyDescent="0.25">
      <c r="A32" s="62">
        <v>12</v>
      </c>
      <c r="B32" s="21">
        <f t="shared" si="0"/>
        <v>9600</v>
      </c>
      <c r="C32" s="22"/>
      <c r="E32" s="60" t="s">
        <v>120</v>
      </c>
      <c r="F32" s="110" t="s">
        <v>108</v>
      </c>
      <c r="G32" s="110"/>
    </row>
    <row r="33" spans="1:7" x14ac:dyDescent="0.25">
      <c r="E33" s="60" t="s">
        <v>111</v>
      </c>
      <c r="F33" s="12">
        <v>16500</v>
      </c>
      <c r="G33" s="51">
        <v>0.25</v>
      </c>
    </row>
    <row r="34" spans="1:7" x14ac:dyDescent="0.25">
      <c r="A34" s="61" t="s">
        <v>58</v>
      </c>
      <c r="B34" s="25">
        <v>2</v>
      </c>
      <c r="E34" s="60" t="s">
        <v>114</v>
      </c>
      <c r="F34" s="12">
        <v>25000</v>
      </c>
      <c r="G34" s="51">
        <v>0.37</v>
      </c>
    </row>
    <row r="35" spans="1:7" x14ac:dyDescent="0.25">
      <c r="A35" s="60" t="s">
        <v>117</v>
      </c>
      <c r="B35" s="23">
        <v>1.625</v>
      </c>
      <c r="E35" s="60" t="s">
        <v>115</v>
      </c>
      <c r="F35" s="12">
        <v>110000</v>
      </c>
      <c r="G35" s="51">
        <v>0.43</v>
      </c>
    </row>
    <row r="36" spans="1:7" x14ac:dyDescent="0.25">
      <c r="E36" s="60" t="s">
        <v>116</v>
      </c>
      <c r="F36" s="12">
        <v>110000</v>
      </c>
      <c r="G36" s="51">
        <v>0.5</v>
      </c>
    </row>
    <row r="37" spans="1:7" x14ac:dyDescent="0.25">
      <c r="F37" s="26"/>
      <c r="G37" s="26"/>
    </row>
    <row r="38" spans="1:7" x14ac:dyDescent="0.25">
      <c r="E38" s="60" t="s">
        <v>125</v>
      </c>
      <c r="F38" s="110" t="s">
        <v>122</v>
      </c>
      <c r="G38" s="110"/>
    </row>
    <row r="39" spans="1:7" x14ac:dyDescent="0.25">
      <c r="E39" s="60" t="s">
        <v>123</v>
      </c>
      <c r="F39" s="12">
        <v>40000</v>
      </c>
      <c r="G39" s="51">
        <v>5.5E-2</v>
      </c>
    </row>
    <row r="40" spans="1:7" x14ac:dyDescent="0.25">
      <c r="E40" s="60" t="s">
        <v>124</v>
      </c>
      <c r="F40" s="12">
        <v>40000</v>
      </c>
      <c r="G40" s="51">
        <v>4.4999999999999998E-2</v>
      </c>
    </row>
  </sheetData>
  <mergeCells count="6">
    <mergeCell ref="F38:G38"/>
    <mergeCell ref="A14:B14"/>
    <mergeCell ref="A19:B19"/>
    <mergeCell ref="F20:G20"/>
    <mergeCell ref="F32:G32"/>
    <mergeCell ref="F26:G26"/>
  </mergeCells>
  <pageMargins left="0.70000000000000007" right="0.70000000000000007" top="0.75" bottom="0.75" header="0.30000000000000004" footer="0.30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M21"/>
  <sheetViews>
    <sheetView workbookViewId="0"/>
  </sheetViews>
  <sheetFormatPr baseColWidth="10" defaultColWidth="9.140625" defaultRowHeight="15" x14ac:dyDescent="0.25"/>
  <cols>
    <col min="4" max="4" width="13.85546875" bestFit="1" customWidth="1"/>
    <col min="5" max="5" width="40.42578125" customWidth="1"/>
    <col min="6" max="6" width="9.140625" hidden="1" customWidth="1"/>
    <col min="7" max="7" width="9.140625" customWidth="1"/>
    <col min="8" max="8" width="9.140625" hidden="1" customWidth="1"/>
    <col min="9" max="9" width="24.7109375" bestFit="1" customWidth="1"/>
    <col min="12" max="12" width="30.7109375" bestFit="1" customWidth="1"/>
    <col min="13" max="13" width="16.140625" customWidth="1"/>
  </cols>
  <sheetData>
    <row r="2" spans="4:13" ht="48.75" customHeight="1" x14ac:dyDescent="0.25"/>
    <row r="4" spans="4:13" x14ac:dyDescent="0.25">
      <c r="D4" s="16" t="s">
        <v>49</v>
      </c>
      <c r="E4" s="19" t="s">
        <v>59</v>
      </c>
      <c r="F4" s="19"/>
      <c r="G4" s="19" t="s">
        <v>53</v>
      </c>
      <c r="H4" s="19"/>
      <c r="I4" s="19" t="s">
        <v>60</v>
      </c>
      <c r="J4" s="19" t="s">
        <v>53</v>
      </c>
    </row>
    <row r="5" spans="4:13" x14ac:dyDescent="0.25">
      <c r="D5" s="16" t="s">
        <v>50</v>
      </c>
      <c r="E5" s="12">
        <v>39</v>
      </c>
      <c r="F5" s="12"/>
      <c r="G5" s="12">
        <v>1</v>
      </c>
      <c r="H5" s="12"/>
      <c r="I5" s="12">
        <v>39</v>
      </c>
      <c r="J5" s="12">
        <v>2</v>
      </c>
    </row>
    <row r="6" spans="4:13" x14ac:dyDescent="0.25">
      <c r="D6" s="16" t="s">
        <v>51</v>
      </c>
      <c r="E6" s="12">
        <v>45</v>
      </c>
      <c r="F6" s="12"/>
      <c r="G6" s="12">
        <v>1.25</v>
      </c>
      <c r="H6" s="12"/>
      <c r="I6" s="12">
        <v>45</v>
      </c>
      <c r="J6" s="12">
        <v>2.5</v>
      </c>
      <c r="M6" s="76"/>
    </row>
    <row r="7" spans="4:13" x14ac:dyDescent="0.25">
      <c r="D7" s="16" t="s">
        <v>52</v>
      </c>
      <c r="E7" s="18">
        <v>45</v>
      </c>
      <c r="F7" s="18"/>
      <c r="G7" s="12">
        <v>1.5</v>
      </c>
      <c r="H7" s="12"/>
      <c r="I7" s="18">
        <v>45</v>
      </c>
      <c r="J7" s="12">
        <v>3</v>
      </c>
    </row>
    <row r="9" spans="4:13" x14ac:dyDescent="0.25">
      <c r="D9" s="3" t="s">
        <v>9</v>
      </c>
      <c r="E9" s="3" t="s">
        <v>44</v>
      </c>
    </row>
    <row r="10" spans="4:13" x14ac:dyDescent="0.25">
      <c r="D10" s="4" t="s">
        <v>23</v>
      </c>
      <c r="E10" s="2">
        <v>1</v>
      </c>
    </row>
    <row r="11" spans="4:13" x14ac:dyDescent="0.25">
      <c r="D11" s="4" t="s">
        <v>16</v>
      </c>
      <c r="E11" s="2">
        <v>1.25</v>
      </c>
    </row>
    <row r="12" spans="4:13" x14ac:dyDescent="0.25">
      <c r="D12" s="4" t="s">
        <v>27</v>
      </c>
      <c r="E12" s="2">
        <v>1.5</v>
      </c>
    </row>
    <row r="14" spans="4:13" x14ac:dyDescent="0.25">
      <c r="D14" s="3" t="s">
        <v>8</v>
      </c>
      <c r="E14" s="3" t="s">
        <v>43</v>
      </c>
    </row>
    <row r="15" spans="4:13" x14ac:dyDescent="0.25">
      <c r="D15" s="4" t="s">
        <v>15</v>
      </c>
      <c r="E15" s="2">
        <v>10</v>
      </c>
    </row>
    <row r="16" spans="4:13" x14ac:dyDescent="0.25">
      <c r="D16" s="4" t="s">
        <v>29</v>
      </c>
      <c r="E16" s="2">
        <v>8</v>
      </c>
    </row>
    <row r="17" spans="4:5" x14ac:dyDescent="0.25">
      <c r="D17" s="4" t="s">
        <v>46</v>
      </c>
      <c r="E17" s="2">
        <v>7</v>
      </c>
    </row>
    <row r="18" spans="4:5" x14ac:dyDescent="0.25">
      <c r="D18" s="4" t="s">
        <v>21</v>
      </c>
      <c r="E18" s="2">
        <v>6.5</v>
      </c>
    </row>
    <row r="21" spans="4:5" x14ac:dyDescent="0.25">
      <c r="E21" s="8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
  <sheetViews>
    <sheetView workbookViewId="0"/>
  </sheetViews>
  <sheetFormatPr baseColWidth="10" defaultColWidth="9.140625" defaultRowHeight="15" x14ac:dyDescent="0.25"/>
  <cols>
    <col min="1" max="1" width="2.85546875" customWidth="1"/>
    <col min="2" max="2" width="9.140625" hidden="1" customWidth="1"/>
    <col min="6" max="6" width="40.42578125" bestFit="1" customWidth="1"/>
  </cols>
  <sheetData>
    <row r="1" spans="5:11" ht="6.75" customHeight="1" x14ac:dyDescent="0.25"/>
    <row r="2" spans="5:11" hidden="1" x14ac:dyDescent="0.25"/>
    <row r="3" spans="5:11" hidden="1" x14ac:dyDescent="0.25"/>
    <row r="4" spans="5:11" hidden="1" x14ac:dyDescent="0.25"/>
    <row r="6" spans="5:11" x14ac:dyDescent="0.25">
      <c r="E6" s="16" t="s">
        <v>49</v>
      </c>
      <c r="F6" s="19" t="s">
        <v>59</v>
      </c>
      <c r="G6" s="19"/>
      <c r="H6" s="19" t="s">
        <v>53</v>
      </c>
      <c r="I6" s="19"/>
      <c r="J6" s="19" t="s">
        <v>60</v>
      </c>
      <c r="K6" s="19" t="s">
        <v>53</v>
      </c>
    </row>
    <row r="7" spans="5:11" x14ac:dyDescent="0.25">
      <c r="E7" s="16" t="s">
        <v>50</v>
      </c>
      <c r="F7" s="12">
        <v>39</v>
      </c>
      <c r="G7" s="12"/>
      <c r="H7" s="12">
        <v>1</v>
      </c>
      <c r="I7" s="12"/>
      <c r="J7" s="12">
        <v>39</v>
      </c>
      <c r="K7" s="12">
        <v>2</v>
      </c>
    </row>
    <row r="8" spans="5:11" x14ac:dyDescent="0.25">
      <c r="E8" s="16" t="s">
        <v>51</v>
      </c>
      <c r="F8" s="12">
        <v>45</v>
      </c>
      <c r="G8" s="12"/>
      <c r="H8" s="12">
        <v>1.25</v>
      </c>
      <c r="I8" s="12"/>
      <c r="J8" s="12">
        <v>45</v>
      </c>
      <c r="K8" s="12">
        <v>2.5</v>
      </c>
    </row>
    <row r="9" spans="5:11" x14ac:dyDescent="0.25">
      <c r="E9" s="16" t="s">
        <v>52</v>
      </c>
      <c r="F9" s="18">
        <v>45</v>
      </c>
      <c r="G9" s="18"/>
      <c r="H9" s="12">
        <v>1.5</v>
      </c>
      <c r="I9" s="12"/>
      <c r="J9" s="18">
        <v>45</v>
      </c>
      <c r="K9" s="12">
        <v>3</v>
      </c>
    </row>
    <row r="11" spans="5:11" x14ac:dyDescent="0.25">
      <c r="E11" s="3" t="s">
        <v>9</v>
      </c>
      <c r="F11" s="3" t="s">
        <v>44</v>
      </c>
    </row>
    <row r="12" spans="5:11" x14ac:dyDescent="0.25">
      <c r="E12" s="4" t="s">
        <v>23</v>
      </c>
      <c r="F12" s="2">
        <v>1</v>
      </c>
    </row>
    <row r="13" spans="5:11" x14ac:dyDescent="0.25">
      <c r="E13" s="4" t="s">
        <v>16</v>
      </c>
      <c r="F13" s="2">
        <v>1.25</v>
      </c>
    </row>
    <row r="14" spans="5:11" x14ac:dyDescent="0.25">
      <c r="E14" s="4" t="s">
        <v>27</v>
      </c>
      <c r="F14" s="2">
        <v>1.5</v>
      </c>
    </row>
    <row r="16" spans="5:11" x14ac:dyDescent="0.25">
      <c r="E16" s="3" t="s">
        <v>8</v>
      </c>
      <c r="F16" s="3" t="s">
        <v>43</v>
      </c>
    </row>
    <row r="17" spans="3:6" x14ac:dyDescent="0.25">
      <c r="E17" s="4" t="s">
        <v>15</v>
      </c>
      <c r="F17" s="2">
        <v>10</v>
      </c>
    </row>
    <row r="18" spans="3:6" x14ac:dyDescent="0.25">
      <c r="E18" s="4" t="s">
        <v>29</v>
      </c>
      <c r="F18" s="2">
        <v>8</v>
      </c>
    </row>
    <row r="19" spans="3:6" x14ac:dyDescent="0.25">
      <c r="E19" s="4" t="s">
        <v>46</v>
      </c>
      <c r="F19" s="2">
        <v>7</v>
      </c>
    </row>
    <row r="20" spans="3:6" x14ac:dyDescent="0.25">
      <c r="E20" s="4" t="s">
        <v>21</v>
      </c>
      <c r="F20" s="2">
        <v>6.5</v>
      </c>
    </row>
    <row r="22" spans="3:6" hidden="1" x14ac:dyDescent="0.25"/>
    <row r="23" spans="3:6" hidden="1" x14ac:dyDescent="0.25">
      <c r="C23" s="83"/>
    </row>
    <row r="24" spans="3:6" hidden="1" x14ac:dyDescent="0.25"/>
    <row r="25" spans="3:6" hidden="1" x14ac:dyDescent="0.25"/>
    <row r="26" spans="3:6" hidden="1" x14ac:dyDescent="0.25"/>
    <row r="27" spans="3:6" hidden="1"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3"/>
  <sheetViews>
    <sheetView workbookViewId="0"/>
  </sheetViews>
  <sheetFormatPr baseColWidth="10" defaultColWidth="8.85546875" defaultRowHeight="15" x14ac:dyDescent="0.25"/>
  <cols>
    <col min="1" max="1" width="22.85546875" bestFit="1" customWidth="1"/>
    <col min="2" max="2" width="16.85546875" customWidth="1"/>
    <col min="5" max="5" width="11.5703125" customWidth="1"/>
  </cols>
  <sheetData>
    <row r="2" spans="1:9" x14ac:dyDescent="0.25">
      <c r="B2" s="12"/>
      <c r="C2" s="12" t="s">
        <v>1</v>
      </c>
      <c r="D2" s="12" t="s">
        <v>2</v>
      </c>
      <c r="E2" s="12" t="s">
        <v>3</v>
      </c>
      <c r="F2" s="12" t="s">
        <v>4</v>
      </c>
      <c r="G2" s="12" t="s">
        <v>5</v>
      </c>
      <c r="H2" s="12" t="s">
        <v>6</v>
      </c>
      <c r="I2" s="12" t="s">
        <v>7</v>
      </c>
    </row>
    <row r="3" spans="1:9" x14ac:dyDescent="0.25">
      <c r="B3" s="12" t="s">
        <v>64</v>
      </c>
      <c r="C3" s="31">
        <v>0.6</v>
      </c>
      <c r="D3" s="31">
        <v>0.76</v>
      </c>
      <c r="E3" s="31">
        <v>0.77</v>
      </c>
      <c r="F3" s="31">
        <v>0.78</v>
      </c>
      <c r="G3" s="31">
        <v>0.79</v>
      </c>
      <c r="H3" s="31">
        <v>0.8</v>
      </c>
      <c r="I3" s="31">
        <v>0.81</v>
      </c>
    </row>
    <row r="5" spans="1:9" x14ac:dyDescent="0.25">
      <c r="B5" s="12" t="s">
        <v>78</v>
      </c>
      <c r="C5" s="51">
        <v>0.5</v>
      </c>
      <c r="D5" s="50">
        <v>0</v>
      </c>
    </row>
    <row r="6" spans="1:9" x14ac:dyDescent="0.25">
      <c r="B6" s="12" t="s">
        <v>79</v>
      </c>
      <c r="C6" s="51">
        <v>0.7</v>
      </c>
      <c r="D6" s="50">
        <v>5.0000000000000001E-4</v>
      </c>
    </row>
    <row r="7" spans="1:9" x14ac:dyDescent="0.25">
      <c r="B7" s="49" t="s">
        <v>80</v>
      </c>
      <c r="C7" s="51">
        <v>0.9</v>
      </c>
      <c r="D7" s="50">
        <v>6.4999999999999997E-4</v>
      </c>
    </row>
    <row r="8" spans="1:9" x14ac:dyDescent="0.25">
      <c r="B8" s="12" t="s">
        <v>81</v>
      </c>
      <c r="C8" s="51"/>
      <c r="D8" s="50">
        <v>8.4999999999999995E-4</v>
      </c>
    </row>
    <row r="10" spans="1:9" x14ac:dyDescent="0.25">
      <c r="A10" s="12" t="s">
        <v>82</v>
      </c>
      <c r="B10" s="49">
        <f>MIN(C3:I3)</f>
        <v>0.6</v>
      </c>
    </row>
    <row r="13" spans="1:9" x14ac:dyDescent="0.25">
      <c r="A13" s="12" t="s">
        <v>90</v>
      </c>
      <c r="B13" s="49">
        <v>0.2</v>
      </c>
    </row>
  </sheetData>
  <pageMargins left="0.70000000000000007" right="0.70000000000000007" top="0.75" bottom="0.75" header="0.30000000000000004" footer="0.3000000000000000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heetViews>
  <sheetFormatPr baseColWidth="10" defaultColWidth="9.140625" defaultRowHeight="15" x14ac:dyDescent="0.25"/>
  <cols>
    <col min="1" max="1" width="70" bestFit="1" customWidth="1"/>
    <col min="2" max="2" width="18.7109375" customWidth="1"/>
  </cols>
  <sheetData>
    <row r="1" spans="1:2" ht="15.75" x14ac:dyDescent="0.25">
      <c r="A1" s="54" t="s">
        <v>92</v>
      </c>
      <c r="B1" s="46"/>
    </row>
    <row r="2" spans="1:2" ht="15.75" x14ac:dyDescent="0.25">
      <c r="A2" s="54" t="s">
        <v>93</v>
      </c>
      <c r="B2" s="46"/>
    </row>
    <row r="3" spans="1:2" ht="15.75" x14ac:dyDescent="0.25">
      <c r="A3" s="54" t="s">
        <v>94</v>
      </c>
      <c r="B3" s="64">
        <f>SUM('Henri''s Hotel'!Z9:Z28)</f>
        <v>1.4166666666666436</v>
      </c>
    </row>
    <row r="4" spans="1:2" ht="15.75" x14ac:dyDescent="0.25">
      <c r="A4" s="54" t="s">
        <v>95</v>
      </c>
      <c r="B4" s="46"/>
    </row>
    <row r="5" spans="1:2" ht="15.75" x14ac:dyDescent="0.25">
      <c r="A5" s="54" t="s">
        <v>96</v>
      </c>
      <c r="B5" s="12"/>
    </row>
    <row r="6" spans="1:2" ht="15.75" x14ac:dyDescent="0.25">
      <c r="A6" s="54" t="s">
        <v>97</v>
      </c>
      <c r="B6" s="58">
        <f>COUNT('Henri''s Hotel'!Z9:Z28)-COUNTIF('Henri''s Hotel'!Z9:Z28,)</f>
        <v>3</v>
      </c>
    </row>
    <row r="7" spans="1:2" ht="15.75" x14ac:dyDescent="0.25">
      <c r="A7" s="54" t="s">
        <v>98</v>
      </c>
      <c r="B7" s="46">
        <f>SUM('Henri''s Hotel'!AW9:AW28)</f>
        <v>171868.99999999843</v>
      </c>
    </row>
    <row r="8" spans="1:2" ht="15.75" x14ac:dyDescent="0.25">
      <c r="A8" s="54" t="s">
        <v>99</v>
      </c>
      <c r="B8" s="46">
        <f>SUM('Henri''s Hotel'!AX9:AX28)</f>
        <v>31267.24999999976</v>
      </c>
    </row>
    <row r="9" spans="1:2" ht="15.75" x14ac:dyDescent="0.25">
      <c r="A9" s="54" t="s">
        <v>100</v>
      </c>
      <c r="B9" s="46"/>
    </row>
    <row r="10" spans="1:2" ht="15.75" x14ac:dyDescent="0.25">
      <c r="A10" s="54" t="s">
        <v>101</v>
      </c>
      <c r="B10" s="46"/>
    </row>
    <row r="11" spans="1:2" ht="15.75" x14ac:dyDescent="0.25">
      <c r="A11" s="54" t="s">
        <v>102</v>
      </c>
      <c r="B11" s="46"/>
    </row>
    <row r="12" spans="1:2" ht="15.75" x14ac:dyDescent="0.25">
      <c r="A12" s="54" t="s">
        <v>103</v>
      </c>
      <c r="B12" s="46"/>
    </row>
    <row r="13" spans="1:2" ht="15.75" x14ac:dyDescent="0.25">
      <c r="A13" s="54" t="s">
        <v>104</v>
      </c>
      <c r="B13" s="46"/>
    </row>
    <row r="14" spans="1:2" ht="15.75" x14ac:dyDescent="0.25">
      <c r="A14" s="54" t="s">
        <v>105</v>
      </c>
      <c r="B14" s="46">
        <f>AVERAGE('Henri''s Hotel'!AY9:AY28)</f>
        <v>20000.687499999865</v>
      </c>
    </row>
    <row r="15" spans="1:2" ht="15.75" x14ac:dyDescent="0.25">
      <c r="A15" s="54" t="s">
        <v>106</v>
      </c>
      <c r="B15" s="46">
        <f>MAX('Henri''s Hotel'!AY9:AY28)</f>
        <v>59266.499999999738</v>
      </c>
    </row>
    <row r="16" spans="1:2" ht="15.75" x14ac:dyDescent="0.25">
      <c r="A16" s="54" t="s">
        <v>107</v>
      </c>
      <c r="B16" s="46">
        <f>MIN('Henri''s Hotel'!AY9:AY28)</f>
        <v>5669.9999999997717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abSelected="1" workbookViewId="0">
      <selection activeCell="E7" sqref="E7"/>
    </sheetView>
  </sheetViews>
  <sheetFormatPr baseColWidth="10" defaultColWidth="11.5703125" defaultRowHeight="15" x14ac:dyDescent="0.25"/>
  <cols>
    <col min="2" max="2" width="12.85546875" customWidth="1"/>
    <col min="7" max="7" width="12.85546875" customWidth="1"/>
    <col min="10" max="16" width="11.5703125" style="96"/>
    <col min="17" max="17" width="12.85546875" style="97" customWidth="1"/>
    <col min="18" max="19" width="11.5703125" style="97"/>
  </cols>
  <sheetData>
    <row r="1" spans="1:19" s="84" customFormat="1" ht="120" x14ac:dyDescent="0.25">
      <c r="A1" s="84" t="s">
        <v>137</v>
      </c>
      <c r="B1" s="84" t="s">
        <v>143</v>
      </c>
      <c r="C1" s="84" t="s">
        <v>146</v>
      </c>
      <c r="D1" s="84" t="s">
        <v>148</v>
      </c>
      <c r="E1" s="84" t="s">
        <v>149</v>
      </c>
      <c r="F1" s="84" t="s">
        <v>160</v>
      </c>
      <c r="G1" s="84" t="s">
        <v>150</v>
      </c>
      <c r="H1" s="84" t="s">
        <v>147</v>
      </c>
      <c r="J1" s="86" t="s">
        <v>152</v>
      </c>
      <c r="K1" s="87" t="s">
        <v>157</v>
      </c>
      <c r="L1" s="88" t="s">
        <v>153</v>
      </c>
      <c r="M1" s="87" t="s">
        <v>151</v>
      </c>
      <c r="N1" s="88" t="s">
        <v>154</v>
      </c>
      <c r="O1" s="86"/>
      <c r="P1" s="86" t="s">
        <v>158</v>
      </c>
      <c r="Q1" s="86" t="s">
        <v>155</v>
      </c>
      <c r="R1" s="86" t="s">
        <v>156</v>
      </c>
      <c r="S1" s="86" t="s">
        <v>159</v>
      </c>
    </row>
    <row r="2" spans="1:19" s="84" customFormat="1" ht="66.75" customHeight="1" x14ac:dyDescent="0.25">
      <c r="J2" s="112" t="s">
        <v>161</v>
      </c>
      <c r="K2" s="113"/>
      <c r="L2" s="113"/>
      <c r="M2" s="113"/>
      <c r="N2" s="114"/>
      <c r="O2" s="86"/>
      <c r="P2" s="86"/>
      <c r="Q2" s="86"/>
      <c r="R2" s="86"/>
      <c r="S2" s="86"/>
    </row>
    <row r="3" spans="1:19" x14ac:dyDescent="0.25">
      <c r="A3" t="s">
        <v>138</v>
      </c>
      <c r="B3" t="s">
        <v>46</v>
      </c>
      <c r="C3" t="s">
        <v>27</v>
      </c>
      <c r="D3">
        <v>46</v>
      </c>
      <c r="E3">
        <v>2</v>
      </c>
      <c r="F3">
        <f>D3+(2*E3)</f>
        <v>50</v>
      </c>
      <c r="G3">
        <f>IF(ISERROR(VLOOKUP(B3,Tables!$A$3:$B$6,2,FALSE)),6.5,VLOOKUP(B3,Tables!$A$3:$B$6,2,FALSE))</f>
        <v>7</v>
      </c>
      <c r="H3" s="85">
        <f>IF(F3&gt;=45,(F3-44)*1.5+5*1.25+39,                 IF(F3&gt;39,(F3-39)*1.25+39,                  F3))          *G3               *(IF(C3="Supervisor",1.25,IF(C3="Manager",1.5,1)))</f>
        <v>569.625</v>
      </c>
      <c r="J3" s="89">
        <f>MIN(39,F3)</f>
        <v>39</v>
      </c>
      <c r="K3" s="90">
        <f>IF(F3&gt;39,MIN((F3-39),5),0)</f>
        <v>5</v>
      </c>
      <c r="L3" s="91">
        <f>K3*1.25</f>
        <v>6.25</v>
      </c>
      <c r="M3" s="90">
        <f>IF(F3&gt;=45,(F3-44),0)</f>
        <v>6</v>
      </c>
      <c r="N3" s="91">
        <f>M3*1.5</f>
        <v>9</v>
      </c>
      <c r="O3" s="89"/>
      <c r="P3" s="89">
        <f>J3+L3+N3+O3</f>
        <v>54.25</v>
      </c>
      <c r="Q3" s="92">
        <f>P3*G3</f>
        <v>379.75</v>
      </c>
      <c r="R3" s="92">
        <f>(IF(C3="Supervisor",1.25,IF(C3="Manager",1.5,1)))</f>
        <v>1.5</v>
      </c>
      <c r="S3" s="93">
        <f>Q3*R3</f>
        <v>569.625</v>
      </c>
    </row>
    <row r="4" spans="1:19" x14ac:dyDescent="0.25">
      <c r="A4" t="s">
        <v>139</v>
      </c>
      <c r="B4" t="s">
        <v>29</v>
      </c>
      <c r="C4" t="s">
        <v>16</v>
      </c>
      <c r="D4">
        <v>40</v>
      </c>
      <c r="F4">
        <f t="shared" ref="F4:F7" si="0">D4+(2*E4)</f>
        <v>40</v>
      </c>
      <c r="G4">
        <f>IF(ISERROR(VLOOKUP(B4,Tables!$A$3:$B$6,2,FALSE)),6.5,VLOOKUP(B4,Tables!$A$3:$B$6,2,FALSE))</f>
        <v>8</v>
      </c>
      <c r="H4" s="85">
        <f t="shared" ref="H4:H7" si="1">IF(F4&gt;=45,(F4-44)*1.5+5*1.25+39,IF(F4&gt;39,(F4-39)*1.25+39,F4))*G4*(IF(C4="Supervisor",1.25,IF(C4="Manager",1.5,1)))</f>
        <v>402.5</v>
      </c>
      <c r="J4" s="89">
        <f>MIN(39,F4)</f>
        <v>39</v>
      </c>
      <c r="K4" s="90">
        <f>IF(F4&gt;39,MIN((F4-39),5),0)</f>
        <v>1</v>
      </c>
      <c r="L4" s="91">
        <f t="shared" ref="L4:L7" si="2">K4*1.25</f>
        <v>1.25</v>
      </c>
      <c r="M4" s="90">
        <f>IF(F4&gt;=45,(F4-44),0)</f>
        <v>0</v>
      </c>
      <c r="N4" s="91">
        <f t="shared" ref="N4:N7" si="3">M4*1.5</f>
        <v>0</v>
      </c>
      <c r="O4" s="89"/>
      <c r="P4" s="89">
        <f t="shared" ref="P4:P7" si="4">J4+L4+N4+O4</f>
        <v>40.25</v>
      </c>
      <c r="Q4" s="92">
        <f t="shared" ref="Q4:Q7" si="5">P4*G4</f>
        <v>322</v>
      </c>
      <c r="R4" s="92">
        <f t="shared" ref="R4:R7" si="6">(IF(C4="Supervisor",1.25,IF(C4="Manager",1.5,1)))</f>
        <v>1.25</v>
      </c>
      <c r="S4" s="93">
        <f t="shared" ref="S4:S7" si="7">Q4*R4</f>
        <v>402.5</v>
      </c>
    </row>
    <row r="5" spans="1:19" x14ac:dyDescent="0.25">
      <c r="A5" t="s">
        <v>140</v>
      </c>
      <c r="B5" t="s">
        <v>46</v>
      </c>
      <c r="C5" t="s">
        <v>27</v>
      </c>
      <c r="D5">
        <v>44</v>
      </c>
      <c r="F5">
        <f t="shared" si="0"/>
        <v>44</v>
      </c>
      <c r="G5">
        <f>IF(ISERROR(VLOOKUP(B5,Tables!$A$3:$B$6,2,FALSE)),6.5,VLOOKUP(B5,Tables!$A$3:$B$6,2,FALSE))</f>
        <v>7</v>
      </c>
      <c r="H5" s="85">
        <f t="shared" si="1"/>
        <v>475.125</v>
      </c>
      <c r="J5" s="89">
        <f>MIN(39,F5)</f>
        <v>39</v>
      </c>
      <c r="K5" s="90">
        <f>IF(F5&gt;39,MIN((F5-39),5),0)</f>
        <v>5</v>
      </c>
      <c r="L5" s="91">
        <f t="shared" si="2"/>
        <v>6.25</v>
      </c>
      <c r="M5" s="90">
        <f>IF(F5&gt;=45,(F5-44),0)</f>
        <v>0</v>
      </c>
      <c r="N5" s="91">
        <f t="shared" si="3"/>
        <v>0</v>
      </c>
      <c r="O5" s="89"/>
      <c r="P5" s="89">
        <f t="shared" si="4"/>
        <v>45.25</v>
      </c>
      <c r="Q5" s="92">
        <f t="shared" si="5"/>
        <v>316.75</v>
      </c>
      <c r="R5" s="92">
        <f t="shared" si="6"/>
        <v>1.5</v>
      </c>
      <c r="S5" s="93">
        <f t="shared" si="7"/>
        <v>475.125</v>
      </c>
    </row>
    <row r="6" spans="1:19" x14ac:dyDescent="0.25">
      <c r="A6" t="s">
        <v>141</v>
      </c>
      <c r="B6" t="s">
        <v>144</v>
      </c>
      <c r="C6" t="s">
        <v>23</v>
      </c>
      <c r="D6">
        <v>20</v>
      </c>
      <c r="E6">
        <v>1</v>
      </c>
      <c r="F6">
        <f t="shared" si="0"/>
        <v>22</v>
      </c>
      <c r="G6">
        <f>IF(ISERROR(VLOOKUP(B6,Tables!$A$3:$B$6,2,FALSE)),6.5,VLOOKUP(B6,Tables!$A$3:$B$6,2,FALSE))</f>
        <v>6.5</v>
      </c>
      <c r="H6" s="85">
        <f t="shared" si="1"/>
        <v>143</v>
      </c>
      <c r="J6" s="89">
        <f>MIN(39,F6)</f>
        <v>22</v>
      </c>
      <c r="K6" s="90">
        <f>IF(F6&gt;39,MIN((F6-39),5),0)</f>
        <v>0</v>
      </c>
      <c r="L6" s="91">
        <f t="shared" si="2"/>
        <v>0</v>
      </c>
      <c r="M6" s="90">
        <f>IF(F6&gt;=45,(F6-44),0)</f>
        <v>0</v>
      </c>
      <c r="N6" s="91">
        <f t="shared" si="3"/>
        <v>0</v>
      </c>
      <c r="O6" s="89"/>
      <c r="P6" s="89">
        <f>J6+L6+N6+O6</f>
        <v>22</v>
      </c>
      <c r="Q6" s="92">
        <f>P6*G6</f>
        <v>143</v>
      </c>
      <c r="R6" s="92">
        <f t="shared" si="6"/>
        <v>1</v>
      </c>
      <c r="S6" s="93">
        <f>Q6*R6</f>
        <v>143</v>
      </c>
    </row>
    <row r="7" spans="1:19" x14ac:dyDescent="0.25">
      <c r="A7" t="s">
        <v>142</v>
      </c>
      <c r="B7" t="s">
        <v>145</v>
      </c>
      <c r="C7" t="s">
        <v>16</v>
      </c>
      <c r="D7">
        <v>44</v>
      </c>
      <c r="E7">
        <v>10</v>
      </c>
      <c r="F7">
        <f t="shared" si="0"/>
        <v>64</v>
      </c>
      <c r="G7">
        <f>IF(ISERROR(VLOOKUP(B7,Tables!$A$3:$B$6,2,FALSE)),6.5,VLOOKUP(B7,Tables!$A$3:$B$6,2,FALSE))</f>
        <v>6.5</v>
      </c>
      <c r="H7" s="85">
        <f t="shared" si="1"/>
        <v>611.40625</v>
      </c>
      <c r="J7" s="89">
        <f>MIN(39,F7)</f>
        <v>39</v>
      </c>
      <c r="K7" s="94">
        <f>IF(F7&gt;39,MIN((F7-39),5),0)</f>
        <v>5</v>
      </c>
      <c r="L7" s="95">
        <f t="shared" si="2"/>
        <v>6.25</v>
      </c>
      <c r="M7" s="94">
        <f>IF(F7&gt;=45,(F7-44),0)</f>
        <v>20</v>
      </c>
      <c r="N7" s="95">
        <f t="shared" si="3"/>
        <v>30</v>
      </c>
      <c r="O7" s="89"/>
      <c r="P7" s="89">
        <f t="shared" si="4"/>
        <v>75.25</v>
      </c>
      <c r="Q7" s="92">
        <f t="shared" si="5"/>
        <v>489.125</v>
      </c>
      <c r="R7" s="92">
        <f t="shared" si="6"/>
        <v>1.25</v>
      </c>
      <c r="S7" s="93">
        <f t="shared" si="7"/>
        <v>611.40625</v>
      </c>
    </row>
  </sheetData>
  <mergeCells count="1">
    <mergeCell ref="J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Henri's Hotel</vt:lpstr>
      <vt:lpstr>Tables</vt:lpstr>
      <vt:lpstr>EXEMPLE</vt:lpstr>
      <vt:lpstr>EXEMPLE 2</vt:lpstr>
      <vt:lpstr>Hotel occupancy</vt:lpstr>
      <vt:lpstr>Management Information</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lacy</cp:lastModifiedBy>
  <dcterms:created xsi:type="dcterms:W3CDTF">2013-10-24T18:15:58Z</dcterms:created>
  <dcterms:modified xsi:type="dcterms:W3CDTF">2013-11-03T20:50:18Z</dcterms:modified>
</cp:coreProperties>
</file>