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27" documentId="8_{56712B37-B3A7-4AD4-9FA7-617F6F830107}" xr6:coauthVersionLast="47" xr6:coauthVersionMax="47" xr10:uidLastSave="{398B3E8C-5E1D-4FA8-A75E-F5417E2B14C4}"/>
  <bookViews>
    <workbookView xWindow="-120" yWindow="-120" windowWidth="29040" windowHeight="15840" xr2:uid="{00000000-000D-0000-FFFF-FFFF00000000}"/>
  </bookViews>
  <sheets>
    <sheet name="choix" sheetId="3" r:id="rId1"/>
    <sheet name="Feuil2" sheetId="2" r:id="rId2"/>
    <sheet name="Feuil4" sheetId="4" r:id="rId3"/>
    <sheet name="Feuil5" sheetId="5" r:id="rId4"/>
  </sheets>
  <definedNames>
    <definedName name="frigo">choix!$K$12</definedName>
    <definedName name="mode">choix!$K$4</definedName>
    <definedName name="modele">Feuil5!$A$6:$A$26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3" l="1"/>
  <c r="M20" i="3"/>
  <c r="M18" i="3"/>
  <c r="M22" i="3"/>
  <c r="M21" i="3"/>
  <c r="K22" i="3"/>
  <c r="K18" i="3"/>
  <c r="K20" i="3"/>
  <c r="K21" i="3"/>
  <c r="K40" i="4"/>
  <c r="K39" i="4"/>
  <c r="N32" i="5" l="1"/>
  <c r="N31" i="5"/>
  <c r="B68" i="5" s="1"/>
  <c r="N33" i="5"/>
  <c r="B70" i="5" s="1"/>
  <c r="E66" i="5"/>
  <c r="D66" i="5"/>
  <c r="D65" i="5"/>
  <c r="D63" i="5"/>
  <c r="D62" i="5"/>
  <c r="D60" i="5"/>
  <c r="D59" i="5"/>
  <c r="D58" i="5"/>
  <c r="D56" i="5"/>
  <c r="D55" i="5"/>
  <c r="D54" i="5"/>
  <c r="D53" i="5"/>
  <c r="D51" i="5"/>
  <c r="D50" i="5"/>
  <c r="D48" i="5"/>
  <c r="D47" i="5"/>
  <c r="B69" i="5" l="1"/>
  <c r="E21" i="3" l="1"/>
  <c r="G21" i="3" s="1"/>
  <c r="H21" i="3" s="1"/>
  <c r="I21" i="3" s="1"/>
  <c r="E20" i="3"/>
  <c r="G20" i="3" s="1"/>
  <c r="H20" i="3" s="1"/>
  <c r="I20" i="3" s="1"/>
  <c r="E19" i="3"/>
  <c r="G19" i="3" s="1"/>
  <c r="H19" i="3" s="1"/>
  <c r="I19" i="3" s="1"/>
  <c r="E18" i="3"/>
  <c r="G18" i="3" s="1"/>
  <c r="H18" i="3" s="1"/>
  <c r="I18" i="3" s="1"/>
  <c r="E17" i="3"/>
  <c r="G17" i="3" s="1"/>
  <c r="H17" i="3" s="1"/>
  <c r="I17" i="3" s="1"/>
  <c r="E16" i="3"/>
  <c r="G16" i="3" s="1"/>
  <c r="H16" i="3" s="1"/>
  <c r="I16" i="3" s="1"/>
  <c r="E15" i="3"/>
  <c r="G15" i="3" s="1"/>
  <c r="H15" i="3" s="1"/>
  <c r="I15" i="3" s="1"/>
  <c r="E14" i="3"/>
  <c r="G14" i="3" s="1"/>
  <c r="H14" i="3" s="1"/>
  <c r="I14" i="3" s="1"/>
  <c r="E13" i="3"/>
  <c r="G13" i="3" s="1"/>
  <c r="H13" i="3" s="1"/>
  <c r="I13" i="3" s="1"/>
  <c r="E12" i="3"/>
  <c r="G12" i="3" s="1"/>
  <c r="H12" i="3" s="1"/>
  <c r="I12" i="3" s="1"/>
  <c r="E11" i="3"/>
  <c r="G11" i="3" s="1"/>
  <c r="H11" i="3" s="1"/>
  <c r="I11" i="3" s="1"/>
  <c r="E10" i="3"/>
  <c r="G10" i="3" s="1"/>
  <c r="H10" i="3" s="1"/>
  <c r="I10" i="3" s="1"/>
  <c r="E9" i="3"/>
  <c r="G9" i="3" s="1"/>
  <c r="H9" i="3" s="1"/>
  <c r="I9" i="3" s="1"/>
  <c r="E8" i="3"/>
  <c r="G8" i="3" s="1"/>
  <c r="H8" i="3" s="1"/>
  <c r="I8" i="3" s="1"/>
  <c r="E7" i="3"/>
  <c r="G7" i="3" s="1"/>
  <c r="H7" i="3" s="1"/>
  <c r="I7" i="3" s="1"/>
  <c r="E6" i="3"/>
  <c r="E26" i="5"/>
  <c r="D25" i="5"/>
  <c r="D23" i="5"/>
  <c r="D22" i="5"/>
  <c r="D20" i="5"/>
  <c r="D19" i="5"/>
  <c r="D18" i="5"/>
  <c r="D16" i="5"/>
  <c r="D15" i="5"/>
  <c r="D14" i="5"/>
  <c r="D13" i="5"/>
  <c r="D11" i="5"/>
  <c r="D10" i="5"/>
  <c r="D8" i="5"/>
  <c r="D7" i="5"/>
  <c r="E22" i="3" l="1"/>
  <c r="I22" i="3"/>
  <c r="G6" i="3"/>
  <c r="D26" i="5"/>
  <c r="E23" i="3" l="1"/>
  <c r="D2" i="5" s="1"/>
  <c r="B46" i="5" s="1"/>
  <c r="H6" i="3"/>
  <c r="H22" i="3" s="1"/>
  <c r="G22" i="3"/>
  <c r="B21" i="5" l="1"/>
  <c r="B63" i="4" s="1"/>
  <c r="B64" i="5"/>
  <c r="B58" i="5"/>
  <c r="B51" i="5"/>
  <c r="B52" i="5"/>
  <c r="B65" i="5"/>
  <c r="B61" i="5"/>
  <c r="B60" i="5"/>
  <c r="B57" i="5"/>
  <c r="B49" i="5"/>
  <c r="B53" i="5"/>
  <c r="B55" i="5"/>
  <c r="B54" i="5"/>
  <c r="B63" i="5"/>
  <c r="B62" i="5"/>
  <c r="B59" i="5"/>
  <c r="B47" i="5"/>
  <c r="B66" i="5"/>
  <c r="B50" i="5"/>
  <c r="B48" i="5"/>
  <c r="B56" i="5"/>
  <c r="B12" i="5"/>
  <c r="B61" i="4" s="1"/>
  <c r="B18" i="5"/>
  <c r="B13" i="5"/>
  <c r="B19" i="5"/>
  <c r="B10" i="5"/>
  <c r="B17" i="5"/>
  <c r="B7" i="5"/>
  <c r="B22" i="5"/>
  <c r="B20" i="5"/>
  <c r="B14" i="5"/>
  <c r="B6" i="5"/>
  <c r="B16" i="5"/>
  <c r="B25" i="5"/>
  <c r="B26" i="5"/>
  <c r="B65" i="4" s="1"/>
  <c r="B24" i="5"/>
  <c r="B64" i="4" s="1"/>
  <c r="B11" i="5"/>
  <c r="B23" i="5"/>
  <c r="B9" i="5"/>
  <c r="B15" i="5"/>
  <c r="B8" i="5"/>
  <c r="B59" i="4" l="1"/>
  <c r="K14" i="3" s="1"/>
  <c r="B60" i="4"/>
  <c r="B62" i="4"/>
  <c r="C43" i="4"/>
  <c r="B43" i="4"/>
  <c r="D43" i="4"/>
  <c r="B45" i="4"/>
  <c r="D45" i="4"/>
  <c r="C45" i="4"/>
  <c r="B46" i="4"/>
  <c r="D46" i="4"/>
  <c r="C46" i="4"/>
  <c r="C41" i="4"/>
  <c r="B41" i="4"/>
  <c r="K13" i="3" s="1"/>
  <c r="D41" i="4"/>
  <c r="C42" i="4"/>
  <c r="B53" i="4" s="1"/>
  <c r="G43" i="4" s="1"/>
  <c r="D42" i="4"/>
  <c r="B54" i="4" s="1"/>
  <c r="G44" i="4" s="1"/>
  <c r="B42" i="4"/>
  <c r="B16" i="4"/>
  <c r="D47" i="4"/>
  <c r="B47" i="4"/>
  <c r="C47" i="4"/>
  <c r="B44" i="4"/>
  <c r="D44" i="4"/>
  <c r="C44" i="4"/>
  <c r="H38" i="5" a="1"/>
  <c r="H38" i="5" s="1"/>
  <c r="H14" i="4"/>
  <c r="E4" i="4"/>
  <c r="F10" i="4"/>
  <c r="C12" i="4"/>
  <c r="H10" i="4"/>
  <c r="C8" i="4"/>
  <c r="E14" i="4"/>
  <c r="B10" i="4"/>
  <c r="C4" i="4"/>
  <c r="C10" i="4"/>
  <c r="G4" i="4"/>
  <c r="B12" i="4"/>
  <c r="E10" i="4"/>
  <c r="G8" i="4"/>
  <c r="B4" i="4"/>
  <c r="F4" i="4"/>
  <c r="H4" i="4"/>
  <c r="K15" i="3" s="1"/>
  <c r="F12" i="4"/>
  <c r="B6" i="4"/>
  <c r="C6" i="4"/>
  <c r="E12" i="4"/>
  <c r="G10" i="4"/>
  <c r="G14" i="4"/>
  <c r="G16" i="4"/>
  <c r="G12" i="4"/>
  <c r="E6" i="4"/>
  <c r="F14" i="4"/>
  <c r="C14" i="4"/>
  <c r="F16" i="4"/>
  <c r="C16" i="4"/>
  <c r="G6" i="4"/>
  <c r="H16" i="4"/>
  <c r="F8" i="4"/>
  <c r="B8" i="4"/>
  <c r="F6" i="4"/>
  <c r="H6" i="4"/>
  <c r="E8" i="4"/>
  <c r="B29" i="4"/>
  <c r="K11" i="3" s="1"/>
  <c r="H12" i="4"/>
  <c r="H8" i="4"/>
  <c r="B14" i="4"/>
  <c r="E16" i="4"/>
  <c r="G42" i="4" l="1"/>
  <c r="B52" i="4"/>
  <c r="K8" i="3"/>
  <c r="K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<sst xmlns="http://schemas.openxmlformats.org/spreadsheetml/2006/main" count="183" uniqueCount="96">
  <si>
    <t xml:space="preserve">Puissance nécessaire </t>
  </si>
  <si>
    <t>Puissance Théorique</t>
  </si>
  <si>
    <t>Puissance Min</t>
  </si>
  <si>
    <t>Puissance Max</t>
  </si>
  <si>
    <t xml:space="preserve">Ref VF Unité Intérieur </t>
  </si>
  <si>
    <t>Ref VF Grp EXT</t>
  </si>
  <si>
    <t>Support Mural</t>
  </si>
  <si>
    <t>Support Sol</t>
  </si>
  <si>
    <t>Liaison Isolé 1/4</t>
  </si>
  <si>
    <t>Liaison 5/8</t>
  </si>
  <si>
    <t>Tube annele</t>
  </si>
  <si>
    <t>Goulottes optimal 80</t>
  </si>
  <si>
    <t>Goulottes optimal 110</t>
  </si>
  <si>
    <t>entrée /sortie optimal taille 80</t>
  </si>
  <si>
    <t>entrée /sortie optimal Taille 100</t>
  </si>
  <si>
    <t>Cerfa GAZ</t>
  </si>
  <si>
    <t>LORAI</t>
  </si>
  <si>
    <t>119596(W)/119597(S)</t>
  </si>
  <si>
    <t>X</t>
  </si>
  <si>
    <t>x</t>
  </si>
  <si>
    <t>119598(W)/119599(S)</t>
  </si>
  <si>
    <t>119600(W)/119521(S)</t>
  </si>
  <si>
    <t>TAKAI</t>
  </si>
  <si>
    <t>MOKAI</t>
  </si>
  <si>
    <t>Mural 
Petit 
Tertiaire</t>
  </si>
  <si>
    <t>UTOPIA
 Prime</t>
  </si>
  <si>
    <t>10 R32</t>
  </si>
  <si>
    <t>152758/152745(V)</t>
  </si>
  <si>
    <t>10 R410A</t>
  </si>
  <si>
    <t>152730/152725(V)</t>
  </si>
  <si>
    <t xml:space="preserve">Puissance du groupe exterieur </t>
  </si>
  <si>
    <t>Surface</t>
  </si>
  <si>
    <t>Pièce</t>
  </si>
  <si>
    <t>L</t>
  </si>
  <si>
    <t>l</t>
  </si>
  <si>
    <t>M²</t>
  </si>
  <si>
    <t>HSP</t>
  </si>
  <si>
    <t>Vol</t>
  </si>
  <si>
    <t>Déper'</t>
  </si>
  <si>
    <t>Total</t>
  </si>
  <si>
    <t>Lorai</t>
  </si>
  <si>
    <t>Takai</t>
  </si>
  <si>
    <t>Mokai</t>
  </si>
  <si>
    <t>Dodai</t>
  </si>
  <si>
    <t>REF VF UI</t>
  </si>
  <si>
    <t>REF VF groupe ext</t>
  </si>
  <si>
    <t>modele</t>
  </si>
  <si>
    <t>Sol</t>
  </si>
  <si>
    <t>Mural</t>
  </si>
  <si>
    <t>Liaison frigo</t>
  </si>
  <si>
    <t>REF VF bitube</t>
  </si>
  <si>
    <t xml:space="preserve">MES+Raccordement </t>
  </si>
  <si>
    <t>liaison bitube</t>
  </si>
  <si>
    <t>liaion isolé</t>
  </si>
  <si>
    <t>Modèle</t>
  </si>
  <si>
    <t>Petit tertiaire</t>
  </si>
  <si>
    <t>Utopia prime R32</t>
  </si>
  <si>
    <t>Utopia prime R410</t>
  </si>
  <si>
    <t>CERFA</t>
  </si>
  <si>
    <t>Puissance froid</t>
  </si>
  <si>
    <t>Choix du matériels</t>
  </si>
  <si>
    <t>Unité intérieur</t>
  </si>
  <si>
    <t>Groupe extérieur</t>
  </si>
  <si>
    <t>Support</t>
  </si>
  <si>
    <t>Goulotte optimal</t>
  </si>
  <si>
    <t>Entrée/sortie optimal</t>
  </si>
  <si>
    <t>M.E.S</t>
  </si>
  <si>
    <t xml:space="preserve">DODAI </t>
  </si>
  <si>
    <t>Isole</t>
  </si>
  <si>
    <t xml:space="preserve"> isole</t>
  </si>
  <si>
    <t>bitube</t>
  </si>
  <si>
    <t>Bitube</t>
  </si>
  <si>
    <t>isole</t>
  </si>
  <si>
    <t>UTOPIA
 Prime R410</t>
  </si>
  <si>
    <t>UTOPIA
 Prime R32</t>
  </si>
  <si>
    <t>UTOPIA
 Prime R33</t>
  </si>
  <si>
    <t>INDEX($H$46:$J$66;EQUIV(1;($A$46:$A$66=mode)*(Feuil5!$B$46:$B$66=1);0;1)</t>
  </si>
  <si>
    <t>Colonne1</t>
  </si>
  <si>
    <t>2</t>
  </si>
  <si>
    <t>3</t>
  </si>
  <si>
    <t>5</t>
  </si>
  <si>
    <t>6</t>
  </si>
  <si>
    <t>7</t>
  </si>
  <si>
    <t>8</t>
  </si>
  <si>
    <t>9</t>
  </si>
  <si>
    <t xml:space="preserve">liason </t>
  </si>
  <si>
    <t>num ligne</t>
  </si>
  <si>
    <t>num colonne</t>
  </si>
  <si>
    <t>isole2</t>
  </si>
  <si>
    <t>Quantité</t>
  </si>
  <si>
    <t xml:space="preserve">Nom du client </t>
  </si>
  <si>
    <t>ref chantier</t>
  </si>
  <si>
    <t>nom de savaugarde</t>
  </si>
  <si>
    <t>zzz</t>
  </si>
  <si>
    <t>uuu</t>
  </si>
  <si>
    <t>https://forum.excel-pratique.com/excel/extraire-des-donnees-excel-pour-mettre-dans-mon-bureau-170985#:~:text=dans%20mon%20bureau-,Extraire%20des%20donn%C3%A9es%20Excel%20pour%20mettre%20dans%20mon%20bureau,-R%C3%A9pondre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</si>
</sst>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FF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i/>
      <sz val="10"/>
      <color theme="0"/>
      <name val="Arial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/>
    <xf numFmtId="0" fontId="1" fillId="3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4" fillId="0" borderId="8" xfId="0" applyFont="1" applyBorder="1"/>
    <xf numFmtId="0" fontId="7" fillId="0" borderId="0" xfId="0" applyFont="1" applyBorder="1" applyAlignment="1">
      <alignment horizontal="center"/>
    </xf>
    <xf numFmtId="0" fontId="8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6" xfId="0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14" fillId="11" borderId="5" xfId="0" applyFont="1" applyFill="1" applyBorder="1" applyAlignment="1">
      <alignment horizontal="center"/>
    </xf>
    <xf numFmtId="0" fontId="11" fillId="11" borderId="5" xfId="0" applyFont="1" applyFill="1" applyBorder="1" applyAlignment="1">
      <alignment horizontal="center"/>
    </xf>
    <xf numFmtId="0" fontId="17" fillId="0" borderId="0" xfId="0" applyFont="1" applyFill="1" applyBorder="1"/>
    <xf numFmtId="0" fontId="15" fillId="12" borderId="20" xfId="0" applyFont="1" applyFill="1" applyBorder="1"/>
    <xf numFmtId="0" fontId="15" fillId="12" borderId="22" xfId="0" applyFont="1" applyFill="1" applyBorder="1"/>
    <xf numFmtId="0" fontId="15" fillId="12" borderId="25" xfId="0" applyFont="1" applyFill="1" applyBorder="1"/>
    <xf numFmtId="0" fontId="15" fillId="12" borderId="23" xfId="0" applyFont="1" applyFill="1" applyBorder="1"/>
    <xf numFmtId="0" fontId="0" fillId="0" borderId="0" xfId="0" applyBorder="1" applyAlignment="1">
      <alignment vertical="center" wrapText="1"/>
    </xf>
    <xf numFmtId="0" fontId="5" fillId="0" borderId="0" xfId="0" applyFont="1"/>
    <xf numFmtId="0" fontId="0" fillId="5" borderId="5" xfId="0" applyFill="1" applyBorder="1"/>
    <xf numFmtId="0" fontId="4" fillId="5" borderId="2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13" borderId="5" xfId="0" applyFont="1" applyFill="1" applyBorder="1"/>
    <xf numFmtId="0" fontId="20" fillId="0" borderId="0" xfId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6" fillId="5" borderId="5" xfId="0" applyFont="1" applyFill="1" applyBorder="1" applyAlignment="1">
      <alignment horizontal="center"/>
    </xf>
    <xf numFmtId="0" fontId="16" fillId="5" borderId="15" xfId="0" applyFont="1" applyFill="1" applyBorder="1" applyAlignment="1">
      <alignment horizontal="center"/>
    </xf>
    <xf numFmtId="0" fontId="15" fillId="5" borderId="5" xfId="0" applyFont="1" applyFill="1" applyBorder="1" applyAlignment="1">
      <alignment horizontal="center"/>
    </xf>
    <xf numFmtId="0" fontId="15" fillId="5" borderId="15" xfId="0" applyFont="1" applyFill="1" applyBorder="1" applyAlignment="1">
      <alignment horizontal="center"/>
    </xf>
    <xf numFmtId="0" fontId="16" fillId="5" borderId="24" xfId="0" applyFont="1" applyFill="1" applyBorder="1" applyAlignment="1">
      <alignment horizontal="center"/>
    </xf>
    <xf numFmtId="0" fontId="16" fillId="5" borderId="27" xfId="0" applyFont="1" applyFill="1" applyBorder="1" applyAlignment="1">
      <alignment horizontal="center"/>
    </xf>
    <xf numFmtId="0" fontId="16" fillId="5" borderId="12" xfId="0" applyFont="1" applyFill="1" applyBorder="1" applyAlignment="1">
      <alignment horizontal="center"/>
    </xf>
    <xf numFmtId="0" fontId="16" fillId="5" borderId="19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5" fillId="5" borderId="21" xfId="0" applyFont="1" applyFill="1" applyBorder="1" applyAlignment="1">
      <alignment horizontal="center"/>
    </xf>
    <xf numFmtId="0" fontId="15" fillId="5" borderId="26" xfId="0" applyFont="1" applyFill="1" applyBorder="1" applyAlignment="1">
      <alignment horizontal="center"/>
    </xf>
    <xf numFmtId="0" fontId="0" fillId="0" borderId="1" xfId="0" applyBorder="1"/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Link" xfId="1" builtinId="8"/>
    <cellStyle name="Standard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2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752475</xdr:colOff>
      <xdr:row>10</xdr:row>
      <xdr:rowOff>19050</xdr:rowOff>
    </xdr:from>
    <xdr:to>
      <xdr:col>16</xdr:col>
      <xdr:colOff>28575</xdr:colOff>
      <xdr:row>11</xdr:row>
      <xdr:rowOff>228600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230100" y="1790700"/>
          <a:ext cx="1562100" cy="44767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752475</xdr:colOff>
          <xdr:row>14</xdr:row>
          <xdr:rowOff>38100</xdr:rowOff>
        </xdr:from>
        <xdr:to>
          <xdr:col>17</xdr:col>
          <xdr:colOff>9525</xdr:colOff>
          <xdr:row>18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695325</xdr:colOff>
          <xdr:row>1</xdr:row>
          <xdr:rowOff>152400</xdr:rowOff>
        </xdr:from>
        <xdr:to>
          <xdr:col>7</xdr:col>
          <xdr:colOff>419100</xdr:colOff>
          <xdr:row>4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Essai Yvouille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H16" totalsRowShown="0" headerRowDxfId="18" dataDxfId="17" tableBorderDxfId="16">
  <autoFilter ref="A2:H16" xr:uid="{00000000-0009-0000-0100-000002000000}"/>
  <tableColumns count="8">
    <tableColumn id="1" xr3:uid="{00000000-0010-0000-0000-000001000000}" name="Colonne1" dataDxfId="15"/>
    <tableColumn id="2" xr3:uid="{00000000-0010-0000-0000-000002000000}" name="2" dataDxfId="14"/>
    <tableColumn id="3" xr3:uid="{00000000-0010-0000-0000-000003000000}" name="3" dataDxfId="13"/>
    <tableColumn id="4" xr3:uid="{00000000-0010-0000-0000-000004000000}" name="5" dataDxfId="12"/>
    <tableColumn id="5" xr3:uid="{00000000-0010-0000-0000-000005000000}" name="6" dataDxfId="11"/>
    <tableColumn id="6" xr3:uid="{00000000-0010-0000-0000-000006000000}" name="7" dataDxfId="10"/>
    <tableColumn id="7" xr3:uid="{00000000-0010-0000-0000-000007000000}" name="8" dataDxfId="9"/>
    <tableColumn id="8" xr3:uid="{00000000-0010-0000-0000-000008000000}" name="9" dataDxfId="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40:D47" totalsRowShown="0" headerRowDxfId="7" headerRowBorderDxfId="6" tableBorderDxfId="5" totalsRowBorderDxfId="4">
  <autoFilter ref="A40:D47" xr:uid="{00000000-0009-0000-0100-000003000000}"/>
  <tableColumns count="4">
    <tableColumn id="1" xr3:uid="{00000000-0010-0000-0100-000001000000}" name="modele" dataDxfId="3"/>
    <tableColumn id="2" xr3:uid="{00000000-0010-0000-0100-000002000000}" name="isole" dataDxfId="2"/>
    <tableColumn id="3" xr3:uid="{00000000-0010-0000-0100-000003000000}" name="isole2" dataDxfId="1"/>
    <tableColumn id="4" xr3:uid="{00000000-0010-0000-0100-000004000000}" name="bitub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xtraire-des-donnees-excel-pour-mettre-dans-mon-bureau-170985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Q23"/>
  <sheetViews>
    <sheetView tabSelected="1" topLeftCell="F1" workbookViewId="0">
      <selection activeCell="Q29" sqref="Q29"/>
    </sheetView>
  </sheetViews>
  <sheetFormatPr baseColWidth="10" defaultRowHeight="15" x14ac:dyDescent="0.25"/>
  <cols>
    <col min="2" max="2" width="20.28515625" customWidth="1"/>
    <col min="10" max="10" width="26.5703125" customWidth="1"/>
    <col min="12" max="12" width="16.85546875" customWidth="1"/>
    <col min="15" max="15" width="16.85546875" customWidth="1"/>
    <col min="16" max="16" width="29.140625" customWidth="1"/>
  </cols>
  <sheetData>
    <row r="1" spans="1:17" x14ac:dyDescent="0.25">
      <c r="A1" s="82" t="s">
        <v>30</v>
      </c>
      <c r="B1" s="82"/>
      <c r="C1" s="82"/>
      <c r="D1" s="82"/>
      <c r="E1" s="82"/>
      <c r="F1" s="16"/>
      <c r="G1" s="16"/>
      <c r="H1" s="16"/>
      <c r="I1" s="16"/>
      <c r="J1" s="82" t="s">
        <v>60</v>
      </c>
      <c r="K1" s="82"/>
      <c r="L1" s="82"/>
      <c r="M1" s="82"/>
      <c r="N1" s="82"/>
      <c r="O1" s="82"/>
      <c r="Q1" s="72" t="s">
        <v>95</v>
      </c>
    </row>
    <row r="2" spans="1:17" x14ac:dyDescent="0.25">
      <c r="A2" s="3"/>
      <c r="B2" s="3"/>
      <c r="C2" s="3"/>
      <c r="D2" s="3"/>
      <c r="E2" s="3"/>
      <c r="F2" s="3"/>
      <c r="G2" s="3"/>
      <c r="H2" s="3"/>
      <c r="I2" s="3"/>
    </row>
    <row r="3" spans="1:17" ht="15.75" thickBot="1" x14ac:dyDescent="0.3">
      <c r="A3" s="82" t="s">
        <v>31</v>
      </c>
      <c r="B3" s="82"/>
      <c r="C3" s="82"/>
      <c r="D3" s="82"/>
      <c r="E3" s="82"/>
      <c r="F3" s="16"/>
      <c r="G3" s="16"/>
      <c r="H3" s="16"/>
      <c r="I3" s="16"/>
    </row>
    <row r="4" spans="1:17" ht="18.75" x14ac:dyDescent="0.3">
      <c r="J4" s="61" t="s">
        <v>54</v>
      </c>
      <c r="K4" s="83" t="s">
        <v>41</v>
      </c>
      <c r="L4" s="84"/>
      <c r="M4" s="68" t="s">
        <v>89</v>
      </c>
      <c r="O4" s="71" t="s">
        <v>90</v>
      </c>
      <c r="P4" s="71" t="s">
        <v>93</v>
      </c>
    </row>
    <row r="5" spans="1:17" ht="18.75" x14ac:dyDescent="0.3">
      <c r="A5" s="86" t="s">
        <v>32</v>
      </c>
      <c r="B5" s="86"/>
      <c r="C5" s="4" t="s">
        <v>33</v>
      </c>
      <c r="D5" s="4" t="s">
        <v>34</v>
      </c>
      <c r="E5" s="25" t="s">
        <v>35</v>
      </c>
      <c r="F5" s="21" t="s">
        <v>36</v>
      </c>
      <c r="G5" s="21" t="s">
        <v>37</v>
      </c>
      <c r="H5" s="21" t="s">
        <v>38</v>
      </c>
      <c r="I5" s="21"/>
      <c r="J5" s="62"/>
      <c r="K5" s="76"/>
      <c r="L5" s="77"/>
      <c r="M5" s="69"/>
      <c r="O5" s="71" t="s">
        <v>91</v>
      </c>
      <c r="P5" s="71" t="s">
        <v>94</v>
      </c>
    </row>
    <row r="6" spans="1:17" ht="18.75" x14ac:dyDescent="0.3">
      <c r="A6" s="85"/>
      <c r="B6" s="85"/>
      <c r="C6" s="5">
        <v>40</v>
      </c>
      <c r="D6" s="5">
        <v>1</v>
      </c>
      <c r="E6" s="25">
        <f t="shared" ref="E6:E21" si="0">C6*D6</f>
        <v>40</v>
      </c>
      <c r="F6" s="22">
        <v>2.5</v>
      </c>
      <c r="G6" s="21">
        <f t="shared" ref="G6:G21" si="1">E6*F6</f>
        <v>100</v>
      </c>
      <c r="H6" s="23">
        <f>ROUNDUP((G6*B36*B44),0)</f>
        <v>0</v>
      </c>
      <c r="I6" s="21"/>
      <c r="J6" s="62" t="s">
        <v>61</v>
      </c>
      <c r="K6" s="74">
        <f>VLOOKUP(K4,Feuil4!$A$4:$H$16,2,0)</f>
        <v>219045</v>
      </c>
      <c r="L6" s="75"/>
      <c r="M6" s="69">
        <v>1</v>
      </c>
      <c r="O6" s="67" t="s">
        <v>92</v>
      </c>
      <c r="P6" s="67" t="str">
        <f>"Devis "&amp;"Client "&amp;P4&amp;" Chantier "&amp;P5</f>
        <v>Devis Client zzz Chantier uuu</v>
      </c>
    </row>
    <row r="7" spans="1:17" ht="18.75" hidden="1" x14ac:dyDescent="0.3">
      <c r="A7" s="85"/>
      <c r="B7" s="85"/>
      <c r="C7" s="5"/>
      <c r="D7" s="5"/>
      <c r="E7" s="25">
        <f t="shared" si="0"/>
        <v>0</v>
      </c>
      <c r="F7" s="22">
        <v>2.5</v>
      </c>
      <c r="G7" s="21">
        <f t="shared" si="1"/>
        <v>0</v>
      </c>
      <c r="H7" s="23">
        <f>ROUNDUP((G7*B36*B44),0)</f>
        <v>0</v>
      </c>
      <c r="I7" s="21">
        <f t="shared" ref="I7:I21" si="2">H7*1.4</f>
        <v>0</v>
      </c>
      <c r="J7" s="62"/>
      <c r="K7" s="74"/>
      <c r="L7" s="75"/>
      <c r="M7" s="69"/>
    </row>
    <row r="8" spans="1:17" ht="18.75" x14ac:dyDescent="0.3">
      <c r="A8" s="85"/>
      <c r="B8" s="85"/>
      <c r="C8" s="5"/>
      <c r="D8" s="5"/>
      <c r="E8" s="25">
        <f t="shared" si="0"/>
        <v>0</v>
      </c>
      <c r="F8" s="22">
        <v>2.5</v>
      </c>
      <c r="G8" s="21">
        <f t="shared" si="1"/>
        <v>0</v>
      </c>
      <c r="H8" s="23">
        <f>ROUNDUP((G8*B36*B44),0)</f>
        <v>0</v>
      </c>
      <c r="I8" s="21">
        <f t="shared" si="2"/>
        <v>0</v>
      </c>
      <c r="J8" s="62" t="s">
        <v>62</v>
      </c>
      <c r="K8" s="74">
        <f>VLOOKUP(K4,Feuil4!A4:H16,3,0)</f>
        <v>219046</v>
      </c>
      <c r="L8" s="75"/>
      <c r="M8" s="69">
        <v>1</v>
      </c>
    </row>
    <row r="9" spans="1:17" ht="18.75" hidden="1" x14ac:dyDescent="0.3">
      <c r="A9" s="85"/>
      <c r="B9" s="85"/>
      <c r="C9" s="5"/>
      <c r="D9" s="5"/>
      <c r="E9" s="25">
        <f t="shared" si="0"/>
        <v>0</v>
      </c>
      <c r="F9" s="22">
        <v>2.5</v>
      </c>
      <c r="G9" s="21">
        <f t="shared" si="1"/>
        <v>0</v>
      </c>
      <c r="H9" s="23">
        <f>ROUNDUP((G9*B36*B44),0)</f>
        <v>0</v>
      </c>
      <c r="I9" s="21">
        <f t="shared" si="2"/>
        <v>0</v>
      </c>
      <c r="J9" s="62"/>
      <c r="K9" s="74"/>
      <c r="L9" s="75"/>
      <c r="M9" s="69"/>
    </row>
    <row r="10" spans="1:17" ht="18.75" x14ac:dyDescent="0.3">
      <c r="A10" s="85"/>
      <c r="B10" s="85"/>
      <c r="C10" s="5"/>
      <c r="D10" s="5"/>
      <c r="E10" s="25">
        <f t="shared" si="0"/>
        <v>0</v>
      </c>
      <c r="F10" s="22">
        <v>2.5</v>
      </c>
      <c r="G10" s="21">
        <f t="shared" si="1"/>
        <v>0</v>
      </c>
      <c r="H10" s="23">
        <f>ROUNDUP((G10*B36*B44),0)</f>
        <v>0</v>
      </c>
      <c r="I10" s="21">
        <f t="shared" si="2"/>
        <v>0</v>
      </c>
      <c r="J10" s="62" t="s">
        <v>63</v>
      </c>
      <c r="K10" s="74" t="s">
        <v>47</v>
      </c>
      <c r="L10" s="75"/>
      <c r="M10" s="69" t="s">
        <v>19</v>
      </c>
    </row>
    <row r="11" spans="1:17" ht="18.75" x14ac:dyDescent="0.3">
      <c r="A11" s="85"/>
      <c r="B11" s="85"/>
      <c r="C11" s="5"/>
      <c r="D11" s="5"/>
      <c r="E11" s="25">
        <f t="shared" si="0"/>
        <v>0</v>
      </c>
      <c r="F11" s="22">
        <v>2.5</v>
      </c>
      <c r="G11" s="21">
        <f t="shared" si="1"/>
        <v>0</v>
      </c>
      <c r="H11" s="23">
        <f>ROUNDUP((G11*B36*B44),0)</f>
        <v>0</v>
      </c>
      <c r="I11" s="21">
        <f t="shared" si="2"/>
        <v>0</v>
      </c>
      <c r="J11" s="62"/>
      <c r="K11" s="74">
        <f>VLOOKUP(K10,Feuil4!$A$28:$B$29,2,0)</f>
        <v>248085</v>
      </c>
      <c r="L11" s="75"/>
      <c r="M11" s="69">
        <v>1</v>
      </c>
    </row>
    <row r="12" spans="1:17" ht="18.75" x14ac:dyDescent="0.3">
      <c r="A12" s="85"/>
      <c r="B12" s="85"/>
      <c r="C12" s="5"/>
      <c r="D12" s="5"/>
      <c r="E12" s="25">
        <f t="shared" si="0"/>
        <v>0</v>
      </c>
      <c r="F12" s="22">
        <v>2.5</v>
      </c>
      <c r="G12" s="21">
        <f t="shared" si="1"/>
        <v>0</v>
      </c>
      <c r="H12" s="23">
        <f>ROUNDUP((G12*B36*B44),0)</f>
        <v>0</v>
      </c>
      <c r="I12" s="21">
        <f t="shared" si="2"/>
        <v>0</v>
      </c>
      <c r="J12" s="62" t="s">
        <v>49</v>
      </c>
      <c r="K12" s="74" t="s">
        <v>72</v>
      </c>
      <c r="L12" s="75"/>
      <c r="M12" s="69" t="s">
        <v>19</v>
      </c>
    </row>
    <row r="13" spans="1:17" ht="18.75" x14ac:dyDescent="0.3">
      <c r="A13" s="85"/>
      <c r="B13" s="85"/>
      <c r="C13" s="5"/>
      <c r="D13" s="5"/>
      <c r="E13" s="25">
        <f t="shared" si="0"/>
        <v>0</v>
      </c>
      <c r="F13" s="22">
        <v>2.5</v>
      </c>
      <c r="G13" s="21">
        <f t="shared" si="1"/>
        <v>0</v>
      </c>
      <c r="H13" s="23">
        <f>ROUNDUP((G13*B36*B44),0)</f>
        <v>0</v>
      </c>
      <c r="I13" s="21">
        <f t="shared" si="2"/>
        <v>0</v>
      </c>
      <c r="J13" s="62"/>
      <c r="K13" s="74">
        <f>INDEX(Feuil4!$A$41:D47,MATCH(mode,Feuil4!$A$41:$A$47,0),MATCH(frigo,Feuil4!$A$40:$D$40,0))</f>
        <v>246059</v>
      </c>
      <c r="L13" s="75"/>
      <c r="M13" s="69">
        <v>1</v>
      </c>
    </row>
    <row r="14" spans="1:17" ht="18.75" x14ac:dyDescent="0.3">
      <c r="A14" s="85"/>
      <c r="B14" s="85"/>
      <c r="C14" s="5"/>
      <c r="D14" s="5"/>
      <c r="E14" s="25">
        <f t="shared" si="0"/>
        <v>0</v>
      </c>
      <c r="F14" s="22">
        <v>2.5</v>
      </c>
      <c r="G14" s="21">
        <f t="shared" si="1"/>
        <v>0</v>
      </c>
      <c r="H14" s="23">
        <f>ROUNDUP((G14*B36*B44),0)</f>
        <v>0</v>
      </c>
      <c r="I14" s="21">
        <f t="shared" si="2"/>
        <v>0</v>
      </c>
      <c r="J14" s="62"/>
      <c r="K14" s="74">
        <f>INDEX(Feuil4!$A$59:$B$65,MATCH(mode,Feuil4!$A$59:$A$65,0),MATCH(frigo,Feuil4!$A$58:$B$58,0))</f>
        <v>246061</v>
      </c>
      <c r="L14" s="75"/>
      <c r="M14" s="69"/>
    </row>
    <row r="15" spans="1:17" ht="18.75" x14ac:dyDescent="0.3">
      <c r="A15" s="85"/>
      <c r="B15" s="85"/>
      <c r="C15" s="5"/>
      <c r="D15" s="5"/>
      <c r="E15" s="25">
        <f t="shared" si="0"/>
        <v>0</v>
      </c>
      <c r="F15" s="22">
        <v>2.5</v>
      </c>
      <c r="G15" s="21">
        <f t="shared" si="1"/>
        <v>0</v>
      </c>
      <c r="H15" s="23">
        <f>ROUNDUP((G15*B36*B44),0)</f>
        <v>0</v>
      </c>
      <c r="I15" s="21">
        <f t="shared" si="2"/>
        <v>0</v>
      </c>
      <c r="J15" s="62" t="s">
        <v>10</v>
      </c>
      <c r="K15" s="74">
        <f>VLOOKUP(mode,Feuil4!A4:$H$16,8,0)</f>
        <v>248086</v>
      </c>
      <c r="L15" s="75"/>
      <c r="M15" s="69"/>
    </row>
    <row r="16" spans="1:17" ht="18.75" hidden="1" x14ac:dyDescent="0.3">
      <c r="A16" s="85"/>
      <c r="B16" s="85"/>
      <c r="C16" s="5"/>
      <c r="D16" s="5"/>
      <c r="E16" s="25">
        <f t="shared" si="0"/>
        <v>0</v>
      </c>
      <c r="F16" s="22">
        <v>2.5</v>
      </c>
      <c r="G16" s="21">
        <f t="shared" si="1"/>
        <v>0</v>
      </c>
      <c r="H16" s="23">
        <f>ROUNDUP((G16*B36*B44),0)</f>
        <v>0</v>
      </c>
      <c r="I16" s="21">
        <f t="shared" si="2"/>
        <v>0</v>
      </c>
      <c r="J16" s="62"/>
      <c r="K16" s="74"/>
      <c r="L16" s="75"/>
      <c r="M16" s="69"/>
    </row>
    <row r="17" spans="1:13" ht="18.75" x14ac:dyDescent="0.3">
      <c r="A17" s="85"/>
      <c r="B17" s="85"/>
      <c r="C17" s="5"/>
      <c r="D17" s="5"/>
      <c r="E17" s="25">
        <f t="shared" si="0"/>
        <v>0</v>
      </c>
      <c r="F17" s="22">
        <v>2.5</v>
      </c>
      <c r="G17" s="21">
        <f t="shared" si="1"/>
        <v>0</v>
      </c>
      <c r="H17" s="23">
        <f>ROUNDUP((G17*B36*B44*1.3),0)</f>
        <v>0</v>
      </c>
      <c r="I17" s="21">
        <f t="shared" si="2"/>
        <v>0</v>
      </c>
      <c r="J17" s="62" t="s">
        <v>64</v>
      </c>
      <c r="K17" s="74">
        <v>110</v>
      </c>
      <c r="L17" s="75"/>
      <c r="M17" s="69" t="s">
        <v>19</v>
      </c>
    </row>
    <row r="18" spans="1:13" ht="18.75" x14ac:dyDescent="0.3">
      <c r="A18" s="85"/>
      <c r="B18" s="85"/>
      <c r="C18" s="5"/>
      <c r="D18" s="5"/>
      <c r="E18" s="25">
        <f t="shared" si="0"/>
        <v>0</v>
      </c>
      <c r="F18" s="22">
        <v>2.5</v>
      </c>
      <c r="G18" s="21">
        <f t="shared" si="1"/>
        <v>0</v>
      </c>
      <c r="H18" s="23">
        <f>ROUNDUP((G18*B36*B44*1.3),0)</f>
        <v>0</v>
      </c>
      <c r="I18" s="21">
        <f t="shared" si="2"/>
        <v>0</v>
      </c>
      <c r="J18" s="62"/>
      <c r="K18" s="74">
        <f>VLOOKUP(K17,Feuil4!A24:$B$25,2,0)</f>
        <v>249080</v>
      </c>
      <c r="L18" s="75"/>
      <c r="M18" s="69">
        <f>M6*4</f>
        <v>4</v>
      </c>
    </row>
    <row r="19" spans="1:13" ht="18.75" x14ac:dyDescent="0.3">
      <c r="A19" s="85"/>
      <c r="B19" s="85"/>
      <c r="C19" s="5"/>
      <c r="D19" s="5"/>
      <c r="E19" s="25">
        <f t="shared" si="0"/>
        <v>0</v>
      </c>
      <c r="F19" s="22">
        <v>2.5</v>
      </c>
      <c r="G19" s="21">
        <f t="shared" si="1"/>
        <v>0</v>
      </c>
      <c r="H19" s="23">
        <f>ROUNDUP((G19*B36*B44*1.3),0)</f>
        <v>0</v>
      </c>
      <c r="I19" s="21">
        <f t="shared" si="2"/>
        <v>0</v>
      </c>
      <c r="J19" s="62" t="s">
        <v>65</v>
      </c>
      <c r="K19" s="74">
        <v>80</v>
      </c>
      <c r="L19" s="75"/>
      <c r="M19" s="69" t="s">
        <v>19</v>
      </c>
    </row>
    <row r="20" spans="1:13" ht="18.75" x14ac:dyDescent="0.3">
      <c r="A20" s="85"/>
      <c r="B20" s="85"/>
      <c r="C20" s="5"/>
      <c r="D20" s="5"/>
      <c r="E20" s="25">
        <f t="shared" si="0"/>
        <v>0</v>
      </c>
      <c r="F20" s="22">
        <v>2.5</v>
      </c>
      <c r="G20" s="21">
        <f t="shared" si="1"/>
        <v>0</v>
      </c>
      <c r="H20" s="23">
        <f>ROUNDUP((G20*B36*B44*1.3),0)</f>
        <v>0</v>
      </c>
      <c r="I20" s="21">
        <f t="shared" si="2"/>
        <v>0</v>
      </c>
      <c r="J20" s="62"/>
      <c r="K20" s="74">
        <f>VLOOKUP($K$19,Feuil4!$D$24:$E$25,2,0)</f>
        <v>249086</v>
      </c>
      <c r="L20" s="75"/>
      <c r="M20" s="69">
        <f>M6</f>
        <v>1</v>
      </c>
    </row>
    <row r="21" spans="1:13" ht="19.5" thickBot="1" x14ac:dyDescent="0.35">
      <c r="A21" s="85"/>
      <c r="B21" s="85"/>
      <c r="C21" s="5"/>
      <c r="D21" s="5"/>
      <c r="E21" s="26">
        <f t="shared" si="0"/>
        <v>0</v>
      </c>
      <c r="F21" s="22">
        <v>2.5</v>
      </c>
      <c r="G21" s="21">
        <f t="shared" si="1"/>
        <v>0</v>
      </c>
      <c r="H21" s="23">
        <f>ROUNDUP((G21*B36*B44),0)</f>
        <v>0</v>
      </c>
      <c r="I21" s="21">
        <f t="shared" si="2"/>
        <v>0</v>
      </c>
      <c r="J21" s="63" t="s">
        <v>58</v>
      </c>
      <c r="K21" s="80">
        <f>VLOOKUP(choix!$J$21,Feuil4!$D$28:$E$28,2,0)</f>
        <v>193</v>
      </c>
      <c r="L21" s="81"/>
      <c r="M21" s="69">
        <f>M6</f>
        <v>1</v>
      </c>
    </row>
    <row r="22" spans="1:13" ht="19.5" thickBot="1" x14ac:dyDescent="0.35">
      <c r="A22" s="6"/>
      <c r="B22" s="17" t="s">
        <v>39</v>
      </c>
      <c r="C22" s="6"/>
      <c r="D22" s="6"/>
      <c r="E22" s="27">
        <f>SUM(E6:E21)</f>
        <v>40</v>
      </c>
      <c r="F22" s="21"/>
      <c r="G22" s="21">
        <f>SUM(G6:G21)</f>
        <v>100</v>
      </c>
      <c r="H22" s="24">
        <f>SUM(H6:H21)</f>
        <v>0</v>
      </c>
      <c r="I22" s="24">
        <f>SUM(I6:I21)</f>
        <v>0</v>
      </c>
      <c r="J22" s="64" t="s">
        <v>66</v>
      </c>
      <c r="K22" s="78">
        <f>VLOOKUP($J$22,Feuil4!D28:$E$29,2,0)</f>
        <v>258036</v>
      </c>
      <c r="L22" s="79"/>
      <c r="M22" s="70">
        <f>M6</f>
        <v>1</v>
      </c>
    </row>
    <row r="23" spans="1:13" ht="19.5" thickBot="1" x14ac:dyDescent="0.35">
      <c r="B23" s="18" t="s">
        <v>59</v>
      </c>
      <c r="E23" s="19">
        <f>E22*120</f>
        <v>4800</v>
      </c>
      <c r="F23" s="20"/>
      <c r="J23" s="60"/>
      <c r="K23" s="73"/>
      <c r="L23" s="73"/>
    </row>
  </sheetData>
  <mergeCells count="40">
    <mergeCell ref="A21:B21"/>
    <mergeCell ref="A15:B15"/>
    <mergeCell ref="A16:B16"/>
    <mergeCell ref="A17:B17"/>
    <mergeCell ref="A18:B18"/>
    <mergeCell ref="A19:B19"/>
    <mergeCell ref="A20:B20"/>
    <mergeCell ref="A1:E1"/>
    <mergeCell ref="A3:E3"/>
    <mergeCell ref="A9:B9"/>
    <mergeCell ref="A10:B10"/>
    <mergeCell ref="A11:B11"/>
    <mergeCell ref="A14:B14"/>
    <mergeCell ref="A5:B5"/>
    <mergeCell ref="A6:B6"/>
    <mergeCell ref="A7:B7"/>
    <mergeCell ref="A8:B8"/>
    <mergeCell ref="A12:B12"/>
    <mergeCell ref="A13:B13"/>
    <mergeCell ref="J1:O1"/>
    <mergeCell ref="K4:L4"/>
    <mergeCell ref="K6:L6"/>
    <mergeCell ref="K8:L8"/>
    <mergeCell ref="K10:L10"/>
    <mergeCell ref="K23:L23"/>
    <mergeCell ref="K11:L11"/>
    <mergeCell ref="K9:L9"/>
    <mergeCell ref="K5:L5"/>
    <mergeCell ref="K7:L7"/>
    <mergeCell ref="K13:L13"/>
    <mergeCell ref="K14:L14"/>
    <mergeCell ref="K16:L16"/>
    <mergeCell ref="K18:L18"/>
    <mergeCell ref="K20:L20"/>
    <mergeCell ref="K22:L22"/>
    <mergeCell ref="K12:L12"/>
    <mergeCell ref="K15:L15"/>
    <mergeCell ref="K17:L17"/>
    <mergeCell ref="K19:L19"/>
    <mergeCell ref="K21:L21"/>
  </mergeCells>
  <dataValidations count="7">
    <dataValidation type="list" allowBlank="1" showInputMessage="1" showErrorMessage="1" sqref="B2 B26" xr:uid="{00000000-0002-0000-0000-000000000000}">
      <formula1>"Lorai,Takai,Mokai,Dodai"</formula1>
    </dataValidation>
    <dataValidation type="list" allowBlank="1" showInputMessage="1" showErrorMessage="1" sqref="B5 B29 K10:L10" xr:uid="{00000000-0002-0000-0000-000001000000}">
      <formula1>"Sol,Mural"</formula1>
    </dataValidation>
    <dataValidation type="list" allowBlank="1" showInputMessage="1" showErrorMessage="1" sqref="B31" xr:uid="{00000000-0002-0000-0000-000002000000}">
      <formula1>"Bitube,Isolé"</formula1>
    </dataValidation>
    <dataValidation type="list" allowBlank="1" showInputMessage="1" showErrorMessage="1" sqref="K4:L4" xr:uid="{00000000-0002-0000-0000-000003000000}">
      <formula1>"Lorai,Takai,Mokai,Dodai,Petit tertiaire,Utopia Prime R32,Utopia Prime R410,airHome400,airHome600"</formula1>
    </dataValidation>
    <dataValidation type="list" allowBlank="1" showInputMessage="1" showErrorMessage="1" sqref="K12:L12" xr:uid="{00000000-0002-0000-0000-000004000000}">
      <formula1>"isole,bitube"</formula1>
    </dataValidation>
    <dataValidation type="list" allowBlank="1" showInputMessage="1" showErrorMessage="1" sqref="K17:L17" xr:uid="{00000000-0002-0000-0000-000005000000}">
      <formula1>"110,80"</formula1>
    </dataValidation>
    <dataValidation type="list" allowBlank="1" showInputMessage="1" showErrorMessage="1" sqref="K19:L19" xr:uid="{00000000-0002-0000-0000-000006000000}">
      <formula1>"100,80"</formula1>
    </dataValidation>
  </dataValidations>
  <hyperlinks>
    <hyperlink ref="Q1" r:id="rId1" location=":~:text=dans%20mon%20bureau-,Extraire%20des%20donn%C3%A9es%20Excel%20pour%20mettre%20dans%20mon%20bureau,-R%C3%A9pondre" xr:uid="{39107668-EC75-444A-8C08-F66808C7D2B5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ouvriruserform">
                <anchor moveWithCells="1" sizeWithCells="1">
                  <from>
                    <xdr:col>13</xdr:col>
                    <xdr:colOff>752475</xdr:colOff>
                    <xdr:row>14</xdr:row>
                    <xdr:rowOff>38100</xdr:rowOff>
                  </from>
                  <to>
                    <xdr:col>17</xdr:col>
                    <xdr:colOff>9525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Makro1">
                <anchor moveWithCells="1" sizeWithCells="1">
                  <from>
                    <xdr:col>5</xdr:col>
                    <xdr:colOff>695325</xdr:colOff>
                    <xdr:row>1</xdr:row>
                    <xdr:rowOff>152400</xdr:rowOff>
                  </from>
                  <to>
                    <xdr:col>7</xdr:col>
                    <xdr:colOff>419100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1"/>
  <sheetViews>
    <sheetView workbookViewId="0"/>
  </sheetViews>
  <sheetFormatPr baseColWidth="10" defaultRowHeight="15" x14ac:dyDescent="0.25"/>
  <cols>
    <col min="1" max="1" width="27.42578125" customWidth="1"/>
  </cols>
  <sheetData>
    <row r="1" spans="1:1" x14ac:dyDescent="0.25">
      <c r="A1" s="32"/>
    </row>
    <row r="2" spans="1:1" x14ac:dyDescent="0.25">
      <c r="A2" s="32"/>
    </row>
    <row r="3" spans="1:1" x14ac:dyDescent="0.25">
      <c r="A3" s="32"/>
    </row>
    <row r="4" spans="1:1" x14ac:dyDescent="0.25">
      <c r="A4" s="32"/>
    </row>
    <row r="5" spans="1:1" x14ac:dyDescent="0.25">
      <c r="A5" s="32"/>
    </row>
    <row r="6" spans="1:1" x14ac:dyDescent="0.25">
      <c r="A6" s="32"/>
    </row>
    <row r="7" spans="1:1" x14ac:dyDescent="0.25">
      <c r="A7" s="32"/>
    </row>
    <row r="8" spans="1:1" x14ac:dyDescent="0.25">
      <c r="A8" s="32"/>
    </row>
    <row r="9" spans="1:1" x14ac:dyDescent="0.25">
      <c r="A9" s="32"/>
    </row>
    <row r="10" spans="1:1" x14ac:dyDescent="0.25">
      <c r="A10" s="32"/>
    </row>
    <row r="11" spans="1:1" x14ac:dyDescent="0.25">
      <c r="A11" s="32"/>
    </row>
    <row r="12" spans="1:1" x14ac:dyDescent="0.25">
      <c r="A12" s="32"/>
    </row>
    <row r="13" spans="1:1" x14ac:dyDescent="0.25">
      <c r="A13" s="32"/>
    </row>
    <row r="14" spans="1:1" x14ac:dyDescent="0.25">
      <c r="A14" s="32"/>
    </row>
    <row r="15" spans="1:1" x14ac:dyDescent="0.25">
      <c r="A15" s="32"/>
    </row>
    <row r="16" spans="1:1" x14ac:dyDescent="0.25">
      <c r="A16" s="32"/>
    </row>
    <row r="17" spans="1:1" x14ac:dyDescent="0.25">
      <c r="A17" s="32"/>
    </row>
    <row r="18" spans="1:1" x14ac:dyDescent="0.25">
      <c r="A18" s="32"/>
    </row>
    <row r="19" spans="1:1" x14ac:dyDescent="0.25">
      <c r="A19" s="32"/>
    </row>
    <row r="20" spans="1:1" x14ac:dyDescent="0.25">
      <c r="A20" s="32"/>
    </row>
    <row r="21" spans="1:1" x14ac:dyDescent="0.25">
      <c r="A21" s="3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65"/>
  <sheetViews>
    <sheetView topLeftCell="A43" workbookViewId="0">
      <selection activeCell="D7" sqref="D7"/>
    </sheetView>
  </sheetViews>
  <sheetFormatPr baseColWidth="10" defaultRowHeight="15" x14ac:dyDescent="0.25"/>
  <cols>
    <col min="1" max="1" width="21.42578125" customWidth="1"/>
    <col min="2" max="2" width="20.5703125" customWidth="1"/>
    <col min="3" max="3" width="23" customWidth="1"/>
    <col min="4" max="4" width="31" customWidth="1"/>
    <col min="5" max="6" width="23.5703125" customWidth="1"/>
    <col min="7" max="7" width="21.7109375" customWidth="1"/>
  </cols>
  <sheetData>
    <row r="1" spans="1:8" x14ac:dyDescent="0.25">
      <c r="A1" s="10"/>
      <c r="B1" s="10"/>
      <c r="C1" s="10"/>
      <c r="D1" s="10"/>
      <c r="E1" s="10"/>
      <c r="F1" s="10"/>
      <c r="G1" s="10"/>
    </row>
    <row r="2" spans="1:8" x14ac:dyDescent="0.25">
      <c r="A2" s="10" t="s">
        <v>77</v>
      </c>
      <c r="B2" s="7" t="s">
        <v>78</v>
      </c>
      <c r="C2" s="7" t="s">
        <v>79</v>
      </c>
      <c r="D2" s="7" t="s">
        <v>80</v>
      </c>
      <c r="E2" s="7" t="s">
        <v>81</v>
      </c>
      <c r="F2" s="7" t="s">
        <v>82</v>
      </c>
      <c r="G2" s="7" t="s">
        <v>83</v>
      </c>
      <c r="H2" s="7" t="s">
        <v>84</v>
      </c>
    </row>
    <row r="3" spans="1:8" x14ac:dyDescent="0.25">
      <c r="A3" s="11" t="s">
        <v>54</v>
      </c>
      <c r="B3" s="11" t="s">
        <v>44</v>
      </c>
      <c r="C3" s="11" t="s">
        <v>45</v>
      </c>
      <c r="D3" s="11"/>
      <c r="E3" s="11" t="s">
        <v>69</v>
      </c>
      <c r="F3" s="11" t="s">
        <v>72</v>
      </c>
      <c r="G3" s="11" t="s">
        <v>50</v>
      </c>
      <c r="H3" s="11" t="s">
        <v>10</v>
      </c>
    </row>
    <row r="4" spans="1:8" x14ac:dyDescent="0.25">
      <c r="A4" s="11" t="s">
        <v>40</v>
      </c>
      <c r="B4" s="11" t="str">
        <f>VLOOKUP(1,Feuil5!$B$6:$T$8,5,0)</f>
        <v>119600(W)/119521(S)</v>
      </c>
      <c r="C4" s="11">
        <f>VLOOKUP(1,Feuil5!$B$6:$T$8,6,0)</f>
        <v>119522</v>
      </c>
      <c r="D4" s="11"/>
      <c r="E4" s="11">
        <f>VLOOKUP(1,Feuil5!$B$6:$T$8,9,0)</f>
        <v>246059</v>
      </c>
      <c r="F4" s="11">
        <f>VLOOKUP(1,Feuil5!$B$6:$T$8,10,0)</f>
        <v>246061</v>
      </c>
      <c r="G4" s="11">
        <f>VLOOKUP(1,Feuil5!$B$6:$T$8,12,0)</f>
        <v>246079</v>
      </c>
      <c r="H4" s="11">
        <f>VLOOKUP(1,Feuil5!$B$6:$T$8,13,0)</f>
        <v>248086</v>
      </c>
    </row>
    <row r="5" spans="1:8" x14ac:dyDescent="0.25">
      <c r="A5" s="11"/>
      <c r="B5" s="11"/>
      <c r="C5" s="11"/>
      <c r="D5" s="11"/>
      <c r="E5" s="11"/>
      <c r="F5" s="11"/>
      <c r="G5" s="11"/>
      <c r="H5" s="12"/>
    </row>
    <row r="6" spans="1:8" x14ac:dyDescent="0.25">
      <c r="A6" s="11" t="s">
        <v>41</v>
      </c>
      <c r="B6" s="11">
        <f>VLOOKUP(1,Feuil5!$B$9:$T$11,5,0)</f>
        <v>219045</v>
      </c>
      <c r="C6" s="11">
        <f>VLOOKUP(1,Feuil5!$B$9:$T$11,6,0)</f>
        <v>219046</v>
      </c>
      <c r="D6" s="11"/>
      <c r="E6" s="11">
        <f>VLOOKUP(1,Feuil5!$B$9:$T$11,9,0)</f>
        <v>246059</v>
      </c>
      <c r="F6" s="11">
        <f>VLOOKUP(1,Feuil5!$B$9:$T$11,10,0)</f>
        <v>246061</v>
      </c>
      <c r="G6" s="11">
        <f>VLOOKUP(1,Feuil5!$B$9:$T$11,12,0)</f>
        <v>246079</v>
      </c>
      <c r="H6" s="11">
        <f>VLOOKUP(1,Feuil5!$B$9:$T$11,13,0)</f>
        <v>248086</v>
      </c>
    </row>
    <row r="7" spans="1:8" x14ac:dyDescent="0.25">
      <c r="A7" s="11"/>
      <c r="B7" s="11"/>
      <c r="C7" s="11"/>
      <c r="D7" s="11"/>
      <c r="E7" s="11"/>
      <c r="F7" s="11"/>
      <c r="G7" s="11"/>
      <c r="H7" s="12"/>
    </row>
    <row r="8" spans="1:8" x14ac:dyDescent="0.25">
      <c r="A8" s="11" t="s">
        <v>42</v>
      </c>
      <c r="B8" s="11">
        <f>VLOOKUP(1,Feuil5!$B$12:$T$16,5,0)</f>
        <v>219055</v>
      </c>
      <c r="C8" s="11">
        <f>VLOOKUP(1,Feuil5!$B$12:$T$16,6,0)</f>
        <v>219056</v>
      </c>
      <c r="D8" s="11"/>
      <c r="E8" s="11">
        <f>VLOOKUP(1,Feuil5!$B$12:$T$16,9,0)</f>
        <v>246059</v>
      </c>
      <c r="F8" s="11">
        <f>VLOOKUP(1,Feuil5!$B$12:$T$16,10,0)</f>
        <v>246061</v>
      </c>
      <c r="G8" s="11">
        <f>VLOOKUP(1,Feuil5!$B$12:$T$16,12,0)</f>
        <v>246079</v>
      </c>
      <c r="H8" s="11">
        <f>VLOOKUP(1,Feuil5!$B$12:$T$16,13,0)</f>
        <v>248086</v>
      </c>
    </row>
    <row r="9" spans="1:8" x14ac:dyDescent="0.25">
      <c r="A9" s="11"/>
      <c r="B9" s="11"/>
      <c r="C9" s="11"/>
      <c r="D9" s="11"/>
      <c r="E9" s="11"/>
      <c r="F9" s="11"/>
      <c r="G9" s="11"/>
      <c r="H9" s="12"/>
    </row>
    <row r="10" spans="1:8" x14ac:dyDescent="0.25">
      <c r="A10" s="11" t="s">
        <v>43</v>
      </c>
      <c r="B10" s="11">
        <f>VLOOKUP(1,Feuil5!$B$17:$T$20,5,0)</f>
        <v>135077</v>
      </c>
      <c r="C10" s="11">
        <f>VLOOKUP(1,Feuil5!$B$17:$T$20,6,0)</f>
        <v>135084</v>
      </c>
      <c r="D10" s="11"/>
      <c r="E10" s="11">
        <f>VLOOKUP(1,Feuil5!$B$17:$T$20,9,0)</f>
        <v>246059</v>
      </c>
      <c r="F10" s="11">
        <f>VLOOKUP(1,Feuil5!$B$17:$T$20,10,0)</f>
        <v>246061</v>
      </c>
      <c r="G10" s="11">
        <f>VLOOKUP(1,Feuil5!$B$17:$T$20,12,0)</f>
        <v>246079</v>
      </c>
      <c r="H10" s="11">
        <f>VLOOKUP(1,Feuil5!$B$17:$T$20,13,0)</f>
        <v>248086</v>
      </c>
    </row>
    <row r="11" spans="1:8" x14ac:dyDescent="0.25">
      <c r="A11" s="11"/>
      <c r="B11" s="11"/>
      <c r="C11" s="11"/>
      <c r="D11" s="11"/>
      <c r="E11" s="11"/>
      <c r="F11" s="11"/>
      <c r="G11" s="11"/>
      <c r="H11" s="12"/>
    </row>
    <row r="12" spans="1:8" x14ac:dyDescent="0.25">
      <c r="A12" s="11" t="s">
        <v>55</v>
      </c>
      <c r="B12" s="11">
        <f>VLOOKUP(1,Feuil5!$B$21:$T$23,5,0)</f>
        <v>119930</v>
      </c>
      <c r="C12" s="11">
        <f>VLOOKUP(1,Feuil5!$B$21:$T$23,6,0)</f>
        <v>219060</v>
      </c>
      <c r="D12" s="11"/>
      <c r="E12" s="11">
        <f>VLOOKUP(1,Feuil5!$B$21:$T$23,9,0)</f>
        <v>246059</v>
      </c>
      <c r="F12" s="11">
        <f>VLOOKUP(1,Feuil5!$B$21:$T$23,10,0)</f>
        <v>246061</v>
      </c>
      <c r="G12" s="11">
        <f>VLOOKUP(1,Feuil5!$B$21:$T$23,12,0)</f>
        <v>246079</v>
      </c>
      <c r="H12" s="11">
        <f>VLOOKUP(1,Feuil5!$B$21:$T$23,13,0)</f>
        <v>248086</v>
      </c>
    </row>
    <row r="13" spans="1:8" x14ac:dyDescent="0.25">
      <c r="A13" s="11"/>
      <c r="B13" s="11"/>
      <c r="C13" s="11"/>
      <c r="D13" s="11"/>
      <c r="E13" s="11"/>
      <c r="F13" s="11"/>
      <c r="G13" s="11"/>
      <c r="H13" s="12"/>
    </row>
    <row r="14" spans="1:8" x14ac:dyDescent="0.25">
      <c r="A14" s="11" t="s">
        <v>56</v>
      </c>
      <c r="B14" s="11">
        <f>VLOOKUP(1,Feuil5!$B$24:$T$25,5,0)</f>
        <v>152650</v>
      </c>
      <c r="C14" s="11">
        <f>VLOOKUP(1,Feuil5!$B$24:$T$25,6,0)</f>
        <v>152691</v>
      </c>
      <c r="D14" s="11"/>
      <c r="E14" s="11">
        <f>VLOOKUP(1,Feuil5!$B$24:$T$25,9,0)</f>
        <v>246059</v>
      </c>
      <c r="F14" s="11">
        <f>VLOOKUP(1,Feuil5!$B$24:$T$25,10,0)</f>
        <v>246061</v>
      </c>
      <c r="G14" s="11">
        <f>VLOOKUP(1,Feuil5!$B$24:$T$25,12,0)</f>
        <v>246079</v>
      </c>
      <c r="H14" s="11">
        <f>VLOOKUP(1,Feuil5!$B$24:$T$25,13,0)</f>
        <v>248086</v>
      </c>
    </row>
    <row r="15" spans="1:8" x14ac:dyDescent="0.25">
      <c r="A15" s="11"/>
      <c r="B15" s="11"/>
      <c r="C15" s="11"/>
      <c r="D15" s="11"/>
      <c r="E15" s="11"/>
      <c r="F15" s="11"/>
      <c r="G15" s="11"/>
      <c r="H15" s="12"/>
    </row>
    <row r="16" spans="1:8" x14ac:dyDescent="0.25">
      <c r="A16" s="47" t="s">
        <v>57</v>
      </c>
      <c r="B16" s="46" t="e">
        <f>VLOOKUP(1,Feuil5!$B$26:$T$26,5,0)</f>
        <v>#N/A</v>
      </c>
      <c r="C16" s="47" t="e">
        <f>VLOOKUP(1,Feuil5!$B$26:$T$26,6,0)</f>
        <v>#N/A</v>
      </c>
      <c r="D16" s="47"/>
      <c r="E16" s="46" t="e">
        <f>VLOOKUP(1,Feuil5!$B$26:$T$26,9,0)</f>
        <v>#N/A</v>
      </c>
      <c r="F16" s="47" t="e">
        <f>VLOOKUP(1,Feuil5!$B$26:$T$26,10,0)</f>
        <v>#N/A</v>
      </c>
      <c r="G16" s="47" t="e">
        <f>VLOOKUP(1,Feuil5!$B$26:$T$26,12,0)</f>
        <v>#N/A</v>
      </c>
      <c r="H16" s="47" t="e">
        <f>VLOOKUP(1,Feuil5!$B$26:$T$26,13,0)</f>
        <v>#N/A</v>
      </c>
    </row>
    <row r="17" spans="1:7" x14ac:dyDescent="0.25">
      <c r="A17" s="10"/>
      <c r="B17" s="10"/>
      <c r="C17" s="10"/>
      <c r="D17" s="10"/>
      <c r="E17" s="10"/>
      <c r="F17" s="10"/>
      <c r="G17" s="10"/>
    </row>
    <row r="18" spans="1:7" x14ac:dyDescent="0.25">
      <c r="A18" s="10"/>
      <c r="B18" s="10"/>
      <c r="C18" s="10"/>
      <c r="D18" s="10"/>
      <c r="E18" s="10"/>
      <c r="F18" s="10"/>
      <c r="G18" s="10"/>
    </row>
    <row r="19" spans="1:7" x14ac:dyDescent="0.25">
      <c r="A19" s="10"/>
      <c r="B19" s="10"/>
      <c r="C19" s="10"/>
      <c r="D19" s="10"/>
      <c r="E19" s="10"/>
      <c r="F19" s="10"/>
      <c r="G19" s="10"/>
    </row>
    <row r="20" spans="1:7" x14ac:dyDescent="0.25">
      <c r="A20" s="10"/>
      <c r="B20" s="10"/>
      <c r="C20" s="10"/>
      <c r="D20" s="10"/>
      <c r="E20" s="10"/>
      <c r="F20" s="10"/>
      <c r="G20" s="10"/>
    </row>
    <row r="21" spans="1:7" x14ac:dyDescent="0.25">
      <c r="A21" s="10"/>
      <c r="B21" s="10"/>
      <c r="C21" s="10"/>
      <c r="D21" s="10"/>
      <c r="E21" s="10"/>
      <c r="F21" s="10"/>
      <c r="G21" s="10"/>
    </row>
    <row r="22" spans="1:7" x14ac:dyDescent="0.25">
      <c r="A22" s="10"/>
      <c r="B22" s="10"/>
      <c r="C22" s="10"/>
      <c r="D22" s="10"/>
      <c r="E22" s="10"/>
      <c r="F22" s="10"/>
      <c r="G22" s="10"/>
    </row>
    <row r="23" spans="1:7" x14ac:dyDescent="0.25">
      <c r="A23" s="10"/>
      <c r="B23" s="10"/>
      <c r="C23" s="10"/>
      <c r="D23" s="10"/>
      <c r="E23" s="10"/>
      <c r="F23" s="10"/>
      <c r="G23" s="10"/>
    </row>
    <row r="24" spans="1:7" x14ac:dyDescent="0.25">
      <c r="A24" s="11">
        <v>80</v>
      </c>
      <c r="B24" s="12">
        <v>249062</v>
      </c>
      <c r="C24" s="7"/>
      <c r="D24" s="12">
        <v>80</v>
      </c>
      <c r="E24" s="12">
        <v>249086</v>
      </c>
      <c r="F24" s="10"/>
      <c r="G24" s="10"/>
    </row>
    <row r="25" spans="1:7" x14ac:dyDescent="0.25">
      <c r="A25" s="11">
        <v>110</v>
      </c>
      <c r="B25" s="12">
        <v>249080</v>
      </c>
      <c r="C25" s="7"/>
      <c r="D25" s="12">
        <v>100</v>
      </c>
      <c r="E25" s="12">
        <v>249094</v>
      </c>
      <c r="F25" s="10"/>
      <c r="G25" s="10"/>
    </row>
    <row r="26" spans="1:7" x14ac:dyDescent="0.25">
      <c r="A26" s="7"/>
      <c r="B26" s="7"/>
      <c r="C26" s="7"/>
      <c r="D26" s="7"/>
      <c r="E26" s="7"/>
      <c r="F26" s="10"/>
      <c r="G26" s="10"/>
    </row>
    <row r="27" spans="1:7" x14ac:dyDescent="0.25">
      <c r="A27" s="7"/>
      <c r="B27" s="7"/>
      <c r="C27" s="7"/>
      <c r="D27" s="7"/>
      <c r="E27" s="7"/>
      <c r="F27" s="10"/>
      <c r="G27" s="10"/>
    </row>
    <row r="28" spans="1:7" x14ac:dyDescent="0.25">
      <c r="A28" s="11" t="s">
        <v>47</v>
      </c>
      <c r="B28" s="12">
        <v>248085</v>
      </c>
      <c r="C28" s="7"/>
      <c r="D28" s="11" t="s">
        <v>58</v>
      </c>
      <c r="E28" s="11">
        <v>193</v>
      </c>
      <c r="F28" s="10"/>
      <c r="G28" s="10"/>
    </row>
    <row r="29" spans="1:7" x14ac:dyDescent="0.25">
      <c r="A29" s="11" t="s">
        <v>48</v>
      </c>
      <c r="B29" s="11">
        <f>VLOOKUP(1,Feuil5!B6:H26,7,0)</f>
        <v>151841</v>
      </c>
      <c r="C29" s="7"/>
      <c r="D29" s="11" t="s">
        <v>66</v>
      </c>
      <c r="E29" s="11">
        <v>258036</v>
      </c>
      <c r="F29" s="10"/>
      <c r="G29" s="10"/>
    </row>
    <row r="30" spans="1:7" x14ac:dyDescent="0.25">
      <c r="A30" s="10"/>
      <c r="B30" s="10"/>
      <c r="C30" s="10"/>
      <c r="D30" s="10"/>
      <c r="E30" s="10"/>
      <c r="F30" s="10"/>
      <c r="G30" s="10"/>
    </row>
    <row r="31" spans="1:7" x14ac:dyDescent="0.25">
      <c r="A31" s="10"/>
      <c r="B31" s="10"/>
      <c r="C31" s="10"/>
      <c r="D31" s="10"/>
      <c r="E31" s="10"/>
      <c r="F31" s="10"/>
      <c r="G31" s="10"/>
    </row>
    <row r="32" spans="1:7" x14ac:dyDescent="0.25">
      <c r="A32" s="10"/>
      <c r="B32" s="10"/>
      <c r="C32" s="10"/>
      <c r="D32" s="10"/>
      <c r="E32" s="10"/>
      <c r="F32" s="10"/>
      <c r="G32" s="10"/>
    </row>
    <row r="33" spans="1:11" x14ac:dyDescent="0.25">
      <c r="A33" s="10"/>
      <c r="B33" s="10"/>
      <c r="C33" s="10"/>
      <c r="D33" s="10"/>
      <c r="E33" s="10"/>
      <c r="F33" s="10"/>
      <c r="G33" s="10"/>
    </row>
    <row r="34" spans="1:11" x14ac:dyDescent="0.25">
      <c r="A34" s="10"/>
      <c r="B34" s="10"/>
      <c r="C34" s="10"/>
      <c r="D34" s="10"/>
      <c r="E34" s="10"/>
      <c r="F34" s="10"/>
      <c r="G34" s="10"/>
    </row>
    <row r="35" spans="1:11" x14ac:dyDescent="0.25">
      <c r="A35" s="10"/>
      <c r="B35" s="10"/>
      <c r="C35" s="10"/>
      <c r="D35" s="10"/>
      <c r="E35" s="10"/>
      <c r="F35" s="10"/>
      <c r="G35" s="10"/>
    </row>
    <row r="36" spans="1:11" x14ac:dyDescent="0.25">
      <c r="A36" s="10"/>
      <c r="B36" s="10"/>
      <c r="C36" s="10"/>
      <c r="D36" s="10"/>
      <c r="E36" s="10"/>
      <c r="F36" s="10"/>
      <c r="G36" s="10"/>
    </row>
    <row r="37" spans="1:11" x14ac:dyDescent="0.25">
      <c r="A37" s="10"/>
      <c r="B37" s="10"/>
      <c r="C37" s="10"/>
      <c r="D37" s="10"/>
      <c r="E37" s="10"/>
      <c r="F37" s="10"/>
      <c r="G37" s="10"/>
    </row>
    <row r="38" spans="1:11" x14ac:dyDescent="0.25">
      <c r="A38" s="10"/>
      <c r="B38" s="10"/>
      <c r="C38" s="10"/>
      <c r="D38" s="10"/>
      <c r="E38" s="10"/>
      <c r="F38" s="10"/>
      <c r="G38" s="10"/>
    </row>
    <row r="39" spans="1:11" x14ac:dyDescent="0.25">
      <c r="A39" s="8"/>
      <c r="B39" s="8"/>
      <c r="C39" s="7"/>
      <c r="D39" s="7"/>
      <c r="E39" s="7"/>
      <c r="F39" s="7"/>
      <c r="G39" s="7"/>
      <c r="J39" t="s">
        <v>86</v>
      </c>
      <c r="K39">
        <f>MATCH($G$40,Tableau3[modele],0)</f>
        <v>2</v>
      </c>
    </row>
    <row r="40" spans="1:11" x14ac:dyDescent="0.25">
      <c r="A40" s="45" t="s">
        <v>46</v>
      </c>
      <c r="B40" s="52" t="s">
        <v>72</v>
      </c>
      <c r="C40" s="52" t="s">
        <v>88</v>
      </c>
      <c r="D40" s="53" t="s">
        <v>70</v>
      </c>
      <c r="E40" s="9"/>
      <c r="F40" s="49" t="s">
        <v>46</v>
      </c>
      <c r="G40" s="87" t="s">
        <v>41</v>
      </c>
      <c r="H40" s="87"/>
      <c r="J40" t="s">
        <v>87</v>
      </c>
      <c r="K40">
        <f>MATCH($G$41,Tableau3[#Headers],0)</f>
        <v>2</v>
      </c>
    </row>
    <row r="41" spans="1:11" x14ac:dyDescent="0.25">
      <c r="A41" s="50" t="s">
        <v>40</v>
      </c>
      <c r="B41" s="48">
        <f>VLOOKUP(1,Feuil5!$B$6:$T$8,9,0)</f>
        <v>246059</v>
      </c>
      <c r="C41" s="48">
        <f>VLOOKUP(1,Feuil5!$B$6:$T$8,10,0)</f>
        <v>246061</v>
      </c>
      <c r="D41" s="51">
        <f>VLOOKUP(1,Feuil5!$B$6:$T$8,12,0)</f>
        <v>246079</v>
      </c>
      <c r="E41" s="7"/>
      <c r="F41" s="7" t="s">
        <v>85</v>
      </c>
      <c r="G41" s="87" t="s">
        <v>68</v>
      </c>
      <c r="H41" s="87"/>
    </row>
    <row r="42" spans="1:11" x14ac:dyDescent="0.25">
      <c r="A42" s="50" t="s">
        <v>41</v>
      </c>
      <c r="B42" s="48">
        <f>VLOOKUP(1,Feuil5!$B$9:$T$11,9,0)</f>
        <v>246059</v>
      </c>
      <c r="C42" s="48">
        <f>VLOOKUP(1,Feuil5!$B$9:$T$11,10,0)</f>
        <v>246061</v>
      </c>
      <c r="D42" s="51">
        <f>VLOOKUP(1,Feuil5!$B$9:$T$11,12,0)</f>
        <v>246079</v>
      </c>
      <c r="E42" s="7"/>
      <c r="F42" s="7" t="s">
        <v>72</v>
      </c>
      <c r="G42" s="7">
        <f>INDEX(Tableau3[],MATCH($G$40,Tableau3[modele],0),MATCH($G$41,Tableau3[#Headers],0))</f>
        <v>246059</v>
      </c>
    </row>
    <row r="43" spans="1:11" x14ac:dyDescent="0.25">
      <c r="A43" s="50" t="s">
        <v>42</v>
      </c>
      <c r="B43" s="48">
        <f>VLOOKUP(1,Feuil5!$B$12:$T$16,9,0)</f>
        <v>246059</v>
      </c>
      <c r="C43" s="48">
        <f>VLOOKUP(1,Feuil5!$B$12:$T$16,10,0)</f>
        <v>246061</v>
      </c>
      <c r="D43" s="51">
        <f>VLOOKUP(1,Feuil5!$B$12:$T$16,12,0)</f>
        <v>246079</v>
      </c>
      <c r="E43" s="7"/>
      <c r="F43" s="7" t="s">
        <v>72</v>
      </c>
      <c r="G43" s="7">
        <f>B53</f>
        <v>246061</v>
      </c>
    </row>
    <row r="44" spans="1:11" x14ac:dyDescent="0.25">
      <c r="A44" s="50" t="s">
        <v>43</v>
      </c>
      <c r="B44" s="48">
        <f>VLOOKUP(1,Feuil5!$B$17:$T$20,9,0)</f>
        <v>246059</v>
      </c>
      <c r="C44" s="48">
        <f>VLOOKUP(1,Feuil5!$B$17:$T$20,10,0)</f>
        <v>246061</v>
      </c>
      <c r="D44" s="51">
        <f>VLOOKUP(1,Feuil5!$B$17:$T$20,12,0)</f>
        <v>246079</v>
      </c>
      <c r="E44" s="7"/>
      <c r="F44" s="7" t="s">
        <v>70</v>
      </c>
      <c r="G44" s="7">
        <f>B54</f>
        <v>246079</v>
      </c>
    </row>
    <row r="45" spans="1:11" x14ac:dyDescent="0.25">
      <c r="A45" s="50" t="s">
        <v>55</v>
      </c>
      <c r="B45" s="48">
        <f>VLOOKUP(1,Feuil5!$B$21:$T$23,9,0)</f>
        <v>246059</v>
      </c>
      <c r="C45" s="48">
        <f>VLOOKUP(1,Feuil5!$B$21:$T$23,10,0)</f>
        <v>246061</v>
      </c>
      <c r="D45" s="51">
        <f>VLOOKUP(1,Feuil5!$B$21:$T$23,12,0)</f>
        <v>246079</v>
      </c>
      <c r="E45" s="7"/>
      <c r="F45" s="7"/>
      <c r="G45" s="7"/>
    </row>
    <row r="46" spans="1:11" x14ac:dyDescent="0.25">
      <c r="A46" s="50" t="s">
        <v>56</v>
      </c>
      <c r="B46" s="48">
        <f>VLOOKUP(1,Feuil5!$B$24:$T$25,9,0)</f>
        <v>246059</v>
      </c>
      <c r="C46" s="48">
        <f>VLOOKUP(1,Feuil5!$B$24:$T$25,10,0)</f>
        <v>246061</v>
      </c>
      <c r="D46" s="51">
        <f>VLOOKUP(1,Feuil5!$B$24:$T$25,12,0)</f>
        <v>246079</v>
      </c>
      <c r="E46" s="7"/>
      <c r="F46" s="7"/>
      <c r="G46" s="7"/>
    </row>
    <row r="47" spans="1:11" x14ac:dyDescent="0.25">
      <c r="A47" s="54" t="s">
        <v>57</v>
      </c>
      <c r="B47" s="55" t="e">
        <f>VLOOKUP(1,Feuil5!$B$26:$T$26,9,0)</f>
        <v>#N/A</v>
      </c>
      <c r="C47" s="56" t="e">
        <f>VLOOKUP(1,Feuil5!$B$26:$T$26,10,0)</f>
        <v>#N/A</v>
      </c>
      <c r="D47" s="57" t="e">
        <f>VLOOKUP(1,Feuil5!$B$26:$T$26,12,0)</f>
        <v>#N/A</v>
      </c>
      <c r="E47" s="7"/>
      <c r="F47" s="7"/>
      <c r="G47" s="7"/>
    </row>
    <row r="52" spans="1:2" x14ac:dyDescent="0.25">
      <c r="A52" s="16" t="s">
        <v>68</v>
      </c>
      <c r="B52">
        <f>INDEX(Tableau3[],MATCH($G$40,Tableau3[modele],0),MATCH($A$52,Tableau3[#Headers],0))</f>
        <v>246059</v>
      </c>
    </row>
    <row r="53" spans="1:2" x14ac:dyDescent="0.25">
      <c r="A53" s="16" t="s">
        <v>88</v>
      </c>
      <c r="B53" s="16">
        <f>INDEX(Tableau3[],MATCH($G$40,Tableau3[modele],0),MATCH($A$53,Tableau3[#Headers],0))</f>
        <v>246061</v>
      </c>
    </row>
    <row r="54" spans="1:2" x14ac:dyDescent="0.25">
      <c r="A54" s="16" t="s">
        <v>70</v>
      </c>
      <c r="B54">
        <f>INDEX(Tableau3[],MATCH($G$40,Tableau3[modele],0),MATCH($A$54,Tableau3[#Headers],0))</f>
        <v>246079</v>
      </c>
    </row>
    <row r="58" spans="1:2" x14ac:dyDescent="0.25">
      <c r="A58" s="59" t="s">
        <v>46</v>
      </c>
      <c r="B58" s="58" t="s">
        <v>72</v>
      </c>
    </row>
    <row r="59" spans="1:2" x14ac:dyDescent="0.25">
      <c r="A59" s="48" t="s">
        <v>40</v>
      </c>
      <c r="B59" s="48">
        <f>VLOOKUP(1,Feuil5!$B$6:$T$8,10,0)</f>
        <v>246061</v>
      </c>
    </row>
    <row r="60" spans="1:2" x14ac:dyDescent="0.25">
      <c r="A60" s="48" t="s">
        <v>41</v>
      </c>
      <c r="B60" s="48">
        <f>VLOOKUP(1,Feuil5!$B$9:$T$11,10,0)</f>
        <v>246061</v>
      </c>
    </row>
    <row r="61" spans="1:2" x14ac:dyDescent="0.25">
      <c r="A61" s="48" t="s">
        <v>42</v>
      </c>
      <c r="B61" s="48">
        <f>VLOOKUP(1,Feuil5!$B$12:$T$16,10,0)</f>
        <v>246061</v>
      </c>
    </row>
    <row r="62" spans="1:2" x14ac:dyDescent="0.25">
      <c r="A62" s="48" t="s">
        <v>43</v>
      </c>
      <c r="B62" s="48">
        <f>VLOOKUP(1,Feuil5!$B$17:$T$20,10,0)</f>
        <v>246061</v>
      </c>
    </row>
    <row r="63" spans="1:2" x14ac:dyDescent="0.25">
      <c r="A63" s="48" t="s">
        <v>55</v>
      </c>
      <c r="B63" s="48">
        <f>VLOOKUP(1,Feuil5!$B$21:$T$23,10,0)</f>
        <v>246061</v>
      </c>
    </row>
    <row r="64" spans="1:2" x14ac:dyDescent="0.25">
      <c r="A64" s="48" t="s">
        <v>56</v>
      </c>
      <c r="B64" s="48">
        <f>VLOOKUP(1,Feuil5!$B$24:$T$25,10,0)</f>
        <v>246061</v>
      </c>
    </row>
    <row r="65" spans="1:2" x14ac:dyDescent="0.25">
      <c r="A65" s="48" t="s">
        <v>57</v>
      </c>
      <c r="B65" s="48" t="e">
        <f>VLOOKUP(1,Feuil5!$B$26:$T$26,10,0)</f>
        <v>#N/A</v>
      </c>
    </row>
  </sheetData>
  <mergeCells count="2">
    <mergeCell ref="G40:H40"/>
    <mergeCell ref="G41:H41"/>
  </mergeCells>
  <dataValidations count="3">
    <dataValidation type="list" allowBlank="1" showInputMessage="1" showErrorMessage="1" sqref="G40:H40" xr:uid="{00000000-0002-0000-0200-000000000000}">
      <formula1>"Lorai,Takai,Mokai,Dodai,Petit tertiaire,Utopia Prime R32,Utopia Prime R410,airHome400,airHome600"</formula1>
    </dataValidation>
    <dataValidation type="list" allowBlank="1" showInputMessage="1" showErrorMessage="1" sqref="G41:H41" xr:uid="{00000000-0002-0000-0200-000001000000}">
      <formula1>"Isole,bitube"</formula1>
    </dataValidation>
    <dataValidation type="list" allowBlank="1" showInputMessage="1" showErrorMessage="1" sqref="A52:A54" xr:uid="{00000000-0002-0000-0200-000002000000}">
      <formula1>"Isole,isole2,bitube"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2:T70"/>
  <sheetViews>
    <sheetView topLeftCell="A61" zoomScale="55" zoomScaleNormal="55" workbookViewId="0">
      <selection activeCell="A68" sqref="A68"/>
    </sheetView>
  </sheetViews>
  <sheetFormatPr baseColWidth="10" defaultRowHeight="15" x14ac:dyDescent="0.25"/>
  <cols>
    <col min="3" max="3" width="25.85546875" customWidth="1"/>
    <col min="4" max="4" width="19.42578125" customWidth="1"/>
    <col min="5" max="5" width="21.42578125" customWidth="1"/>
    <col min="6" max="6" width="22.5703125" customWidth="1"/>
    <col min="7" max="7" width="19.85546875" customWidth="1"/>
    <col min="8" max="8" width="16.42578125" customWidth="1"/>
    <col min="9" max="9" width="16.85546875" customWidth="1"/>
    <col min="10" max="10" width="21" customWidth="1"/>
    <col min="11" max="11" width="19.7109375" customWidth="1"/>
    <col min="13" max="13" width="22.42578125" customWidth="1"/>
    <col min="14" max="14" width="15" customWidth="1"/>
    <col min="15" max="15" width="20.5703125" customWidth="1"/>
    <col min="16" max="16" width="24.28515625" customWidth="1"/>
    <col min="18" max="18" width="19.5703125" customWidth="1"/>
    <col min="19" max="19" width="21.42578125" customWidth="1"/>
    <col min="20" max="20" width="19.42578125" customWidth="1"/>
  </cols>
  <sheetData>
    <row r="2" spans="1:20" x14ac:dyDescent="0.25">
      <c r="A2" s="3"/>
      <c r="B2" s="3"/>
      <c r="C2" s="3" t="s">
        <v>0</v>
      </c>
      <c r="D2" s="3">
        <f>choix!E23</f>
        <v>4800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5">
      <c r="A4" s="3"/>
      <c r="B4" s="3"/>
      <c r="C4" s="3"/>
      <c r="D4" s="3"/>
      <c r="E4" s="3"/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15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  <c r="T4" s="3">
        <v>19</v>
      </c>
    </row>
    <row r="5" spans="1:20" x14ac:dyDescent="0.25">
      <c r="A5" s="1"/>
      <c r="B5" s="1"/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1" t="s">
        <v>53</v>
      </c>
      <c r="L5" s="30" t="s">
        <v>9</v>
      </c>
      <c r="M5" s="11" t="s">
        <v>52</v>
      </c>
      <c r="N5" s="1" t="s">
        <v>10</v>
      </c>
      <c r="O5" s="1" t="s">
        <v>11</v>
      </c>
      <c r="P5" s="1" t="s">
        <v>12</v>
      </c>
      <c r="Q5" s="1" t="s">
        <v>13</v>
      </c>
      <c r="R5" s="2" t="s">
        <v>14</v>
      </c>
      <c r="S5" s="1" t="s">
        <v>15</v>
      </c>
      <c r="T5" s="13" t="s">
        <v>51</v>
      </c>
    </row>
    <row r="6" spans="1:20" x14ac:dyDescent="0.25">
      <c r="A6" s="90" t="s">
        <v>16</v>
      </c>
      <c r="B6" s="1">
        <f>IF(AND($D$2&gt;D6,$D$2&lt;=E6),1,0)</f>
        <v>0</v>
      </c>
      <c r="C6" s="1">
        <v>2.5</v>
      </c>
      <c r="D6" s="1">
        <v>0</v>
      </c>
      <c r="E6" s="1">
        <v>2500</v>
      </c>
      <c r="F6" s="1" t="s">
        <v>17</v>
      </c>
      <c r="G6" s="1">
        <v>119601</v>
      </c>
      <c r="H6" s="1">
        <v>151841</v>
      </c>
      <c r="I6" s="1">
        <v>248085</v>
      </c>
      <c r="J6" s="1">
        <v>246059</v>
      </c>
      <c r="K6" s="11">
        <v>246060</v>
      </c>
      <c r="L6" s="30" t="s">
        <v>18</v>
      </c>
      <c r="M6" s="11">
        <v>246077</v>
      </c>
      <c r="N6" s="1">
        <v>248086</v>
      </c>
      <c r="O6" s="1">
        <v>249062</v>
      </c>
      <c r="P6" s="1">
        <v>249080</v>
      </c>
      <c r="Q6" s="1">
        <v>249086</v>
      </c>
      <c r="R6" s="2">
        <v>249094</v>
      </c>
      <c r="S6" s="1">
        <v>193</v>
      </c>
      <c r="T6" s="13">
        <v>258036</v>
      </c>
    </row>
    <row r="7" spans="1:20" x14ac:dyDescent="0.25">
      <c r="A7" s="90"/>
      <c r="B7" s="1">
        <f t="shared" ref="B7:B26" si="0">IF(AND($D$2&gt;D7,$D$2&lt;=E7),1,0)</f>
        <v>0</v>
      </c>
      <c r="C7" s="1">
        <v>3.5</v>
      </c>
      <c r="D7" s="1">
        <f>E6</f>
        <v>2500</v>
      </c>
      <c r="E7" s="1">
        <v>3500</v>
      </c>
      <c r="F7" s="1" t="s">
        <v>20</v>
      </c>
      <c r="G7" s="1">
        <v>119602</v>
      </c>
      <c r="H7" s="1">
        <v>151841</v>
      </c>
      <c r="I7" s="1">
        <v>248085</v>
      </c>
      <c r="J7" s="1">
        <v>246059</v>
      </c>
      <c r="K7" s="11">
        <v>246060</v>
      </c>
      <c r="L7" s="30" t="s">
        <v>18</v>
      </c>
      <c r="M7" s="11">
        <v>246077</v>
      </c>
      <c r="N7" s="1">
        <v>248086</v>
      </c>
      <c r="O7" s="1">
        <v>249062</v>
      </c>
      <c r="P7" s="1">
        <v>249080</v>
      </c>
      <c r="Q7" s="1">
        <v>249086</v>
      </c>
      <c r="R7" s="2">
        <v>249094</v>
      </c>
      <c r="S7" s="1">
        <v>193</v>
      </c>
      <c r="T7" s="13">
        <v>258036</v>
      </c>
    </row>
    <row r="8" spans="1:20" x14ac:dyDescent="0.25">
      <c r="A8" s="90"/>
      <c r="B8" s="1">
        <f t="shared" si="0"/>
        <v>1</v>
      </c>
      <c r="C8" s="1">
        <v>5</v>
      </c>
      <c r="D8" s="1">
        <f>E7</f>
        <v>3500</v>
      </c>
      <c r="E8" s="1">
        <v>5000</v>
      </c>
      <c r="F8" s="1" t="s">
        <v>21</v>
      </c>
      <c r="G8" s="1">
        <v>119522</v>
      </c>
      <c r="H8" s="1">
        <v>151841</v>
      </c>
      <c r="I8" s="1">
        <v>248085</v>
      </c>
      <c r="J8" s="1">
        <v>246059</v>
      </c>
      <c r="K8" s="11">
        <v>246061</v>
      </c>
      <c r="L8" s="30" t="s">
        <v>18</v>
      </c>
      <c r="M8" s="11">
        <v>246079</v>
      </c>
      <c r="N8" s="1">
        <v>248086</v>
      </c>
      <c r="O8" s="1">
        <v>249062</v>
      </c>
      <c r="P8" s="1">
        <v>249080</v>
      </c>
      <c r="Q8" s="1">
        <v>249086</v>
      </c>
      <c r="R8" s="2">
        <v>249094</v>
      </c>
      <c r="S8" s="1">
        <v>193</v>
      </c>
      <c r="T8" s="13">
        <v>258036</v>
      </c>
    </row>
    <row r="9" spans="1:20" x14ac:dyDescent="0.25">
      <c r="A9" s="90" t="s">
        <v>22</v>
      </c>
      <c r="B9" s="1">
        <f t="shared" si="0"/>
        <v>0</v>
      </c>
      <c r="C9" s="1">
        <v>2.5</v>
      </c>
      <c r="D9" s="1">
        <v>0</v>
      </c>
      <c r="E9" s="1">
        <v>2500</v>
      </c>
      <c r="F9" s="1">
        <v>219041</v>
      </c>
      <c r="G9" s="1">
        <v>219042</v>
      </c>
      <c r="H9" s="1">
        <v>151841</v>
      </c>
      <c r="I9" s="1">
        <v>248085</v>
      </c>
      <c r="J9" s="1">
        <v>246059</v>
      </c>
      <c r="K9" s="11">
        <v>246061</v>
      </c>
      <c r="L9" s="30" t="s">
        <v>18</v>
      </c>
      <c r="M9" s="11">
        <v>246079</v>
      </c>
      <c r="N9" s="1">
        <v>248086</v>
      </c>
      <c r="O9" s="1">
        <v>249062</v>
      </c>
      <c r="P9" s="1">
        <v>249080</v>
      </c>
      <c r="Q9" s="1">
        <v>249086</v>
      </c>
      <c r="R9" s="2">
        <v>249094</v>
      </c>
      <c r="S9" s="1">
        <v>193</v>
      </c>
      <c r="T9" s="13">
        <v>258036</v>
      </c>
    </row>
    <row r="10" spans="1:20" x14ac:dyDescent="0.25">
      <c r="A10" s="90"/>
      <c r="B10" s="1">
        <f t="shared" si="0"/>
        <v>0</v>
      </c>
      <c r="C10" s="1">
        <v>3.5</v>
      </c>
      <c r="D10" s="1">
        <f>E9</f>
        <v>2500</v>
      </c>
      <c r="E10" s="1">
        <v>3500</v>
      </c>
      <c r="F10" s="1">
        <v>219043</v>
      </c>
      <c r="G10" s="1">
        <v>219044</v>
      </c>
      <c r="H10" s="1">
        <v>151841</v>
      </c>
      <c r="I10" s="1">
        <v>248085</v>
      </c>
      <c r="J10" s="1">
        <v>246059</v>
      </c>
      <c r="K10" s="11">
        <v>246061</v>
      </c>
      <c r="L10" s="30" t="s">
        <v>18</v>
      </c>
      <c r="M10" s="11">
        <v>246079</v>
      </c>
      <c r="N10" s="1">
        <v>248086</v>
      </c>
      <c r="O10" s="1">
        <v>249062</v>
      </c>
      <c r="P10" s="1">
        <v>249080</v>
      </c>
      <c r="Q10" s="1">
        <v>249086</v>
      </c>
      <c r="R10" s="2">
        <v>249094</v>
      </c>
      <c r="S10" s="1">
        <v>193</v>
      </c>
      <c r="T10" s="13">
        <v>258036</v>
      </c>
    </row>
    <row r="11" spans="1:20" x14ac:dyDescent="0.25">
      <c r="A11" s="90"/>
      <c r="B11" s="1">
        <f t="shared" si="0"/>
        <v>1</v>
      </c>
      <c r="C11" s="1">
        <v>5</v>
      </c>
      <c r="D11" s="1">
        <f>E10</f>
        <v>3500</v>
      </c>
      <c r="E11" s="1">
        <v>5000</v>
      </c>
      <c r="F11" s="1">
        <v>219045</v>
      </c>
      <c r="G11" s="1">
        <v>219046</v>
      </c>
      <c r="H11" s="1">
        <v>151841</v>
      </c>
      <c r="I11" s="1">
        <v>248085</v>
      </c>
      <c r="J11" s="1">
        <v>246059</v>
      </c>
      <c r="K11" s="11">
        <v>246061</v>
      </c>
      <c r="L11" s="30" t="s">
        <v>18</v>
      </c>
      <c r="M11" s="11">
        <v>246079</v>
      </c>
      <c r="N11" s="1">
        <v>248086</v>
      </c>
      <c r="O11" s="1">
        <v>249062</v>
      </c>
      <c r="P11" s="1">
        <v>249080</v>
      </c>
      <c r="Q11" s="1">
        <v>249086</v>
      </c>
      <c r="R11" s="2">
        <v>249094</v>
      </c>
      <c r="S11" s="1">
        <v>193</v>
      </c>
      <c r="T11" s="13">
        <v>258036</v>
      </c>
    </row>
    <row r="12" spans="1:20" x14ac:dyDescent="0.25">
      <c r="A12" s="90" t="s">
        <v>23</v>
      </c>
      <c r="B12" s="1">
        <f t="shared" si="0"/>
        <v>0</v>
      </c>
      <c r="C12" s="1">
        <v>1.8</v>
      </c>
      <c r="D12" s="1">
        <v>0</v>
      </c>
      <c r="E12" s="1">
        <v>1800</v>
      </c>
      <c r="F12" s="1">
        <v>219047</v>
      </c>
      <c r="G12" s="1">
        <v>2119048</v>
      </c>
      <c r="H12" s="1">
        <v>151841</v>
      </c>
      <c r="I12" s="1">
        <v>248085</v>
      </c>
      <c r="J12" s="1">
        <v>246059</v>
      </c>
      <c r="K12" s="11">
        <v>246060</v>
      </c>
      <c r="L12" s="30" t="s">
        <v>18</v>
      </c>
      <c r="M12" s="11">
        <v>246077</v>
      </c>
      <c r="N12" s="1">
        <v>248086</v>
      </c>
      <c r="O12" s="1">
        <v>249062</v>
      </c>
      <c r="P12" s="1">
        <v>249080</v>
      </c>
      <c r="Q12" s="1">
        <v>249086</v>
      </c>
      <c r="R12" s="2">
        <v>249094</v>
      </c>
      <c r="S12" s="1">
        <v>193</v>
      </c>
      <c r="T12" s="13">
        <v>258036</v>
      </c>
    </row>
    <row r="13" spans="1:20" x14ac:dyDescent="0.25">
      <c r="A13" s="90"/>
      <c r="B13" s="1">
        <f t="shared" si="0"/>
        <v>0</v>
      </c>
      <c r="C13" s="1">
        <v>2.5</v>
      </c>
      <c r="D13" s="1">
        <f>E12</f>
        <v>1800</v>
      </c>
      <c r="E13" s="1">
        <v>2500</v>
      </c>
      <c r="F13" s="1">
        <v>219049</v>
      </c>
      <c r="G13" s="1">
        <v>219050</v>
      </c>
      <c r="H13" s="1">
        <v>151841</v>
      </c>
      <c r="I13" s="1">
        <v>248085</v>
      </c>
      <c r="J13" s="1">
        <v>246059</v>
      </c>
      <c r="K13" s="11">
        <v>246060</v>
      </c>
      <c r="L13" s="30" t="s">
        <v>18</v>
      </c>
      <c r="M13" s="11">
        <v>246077</v>
      </c>
      <c r="N13" s="1">
        <v>248086</v>
      </c>
      <c r="O13" s="1">
        <v>249062</v>
      </c>
      <c r="P13" s="1">
        <v>249080</v>
      </c>
      <c r="Q13" s="1">
        <v>249086</v>
      </c>
      <c r="R13" s="2">
        <v>249094</v>
      </c>
      <c r="S13" s="1">
        <v>193</v>
      </c>
      <c r="T13" s="13">
        <v>258036</v>
      </c>
    </row>
    <row r="14" spans="1:20" x14ac:dyDescent="0.25">
      <c r="A14" s="90"/>
      <c r="B14" s="1">
        <f t="shared" si="0"/>
        <v>0</v>
      </c>
      <c r="C14" s="1">
        <v>3.5</v>
      </c>
      <c r="D14" s="1">
        <f>E13</f>
        <v>2500</v>
      </c>
      <c r="E14" s="1">
        <v>3500</v>
      </c>
      <c r="F14" s="1">
        <v>219051</v>
      </c>
      <c r="G14" s="1">
        <v>219052</v>
      </c>
      <c r="H14" s="1">
        <v>151841</v>
      </c>
      <c r="I14" s="1">
        <v>248085</v>
      </c>
      <c r="J14" s="1">
        <v>246059</v>
      </c>
      <c r="K14" s="11">
        <v>246060</v>
      </c>
      <c r="L14" s="30" t="s">
        <v>18</v>
      </c>
      <c r="M14" s="11">
        <v>246077</v>
      </c>
      <c r="N14" s="1">
        <v>248086</v>
      </c>
      <c r="O14" s="1">
        <v>249062</v>
      </c>
      <c r="P14" s="1">
        <v>249080</v>
      </c>
      <c r="Q14" s="1">
        <v>249086</v>
      </c>
      <c r="R14" s="2">
        <v>249094</v>
      </c>
      <c r="S14" s="1">
        <v>193</v>
      </c>
      <c r="T14" s="13">
        <v>258036</v>
      </c>
    </row>
    <row r="15" spans="1:20" x14ac:dyDescent="0.25">
      <c r="A15" s="90"/>
      <c r="B15" s="1">
        <f t="shared" si="0"/>
        <v>0</v>
      </c>
      <c r="C15" s="1">
        <v>4.2</v>
      </c>
      <c r="D15" s="1">
        <f>E14</f>
        <v>3500</v>
      </c>
      <c r="E15" s="1">
        <v>4200</v>
      </c>
      <c r="F15" s="1">
        <v>219053</v>
      </c>
      <c r="G15" s="1">
        <v>219054</v>
      </c>
      <c r="H15" s="1">
        <v>151841</v>
      </c>
      <c r="I15" s="1">
        <v>248085</v>
      </c>
      <c r="J15" s="1">
        <v>246059</v>
      </c>
      <c r="K15" s="12">
        <v>246061</v>
      </c>
      <c r="L15" s="30" t="s">
        <v>18</v>
      </c>
      <c r="M15" s="12">
        <v>246079</v>
      </c>
      <c r="N15" s="1">
        <v>248086</v>
      </c>
      <c r="O15" s="1">
        <v>249062</v>
      </c>
      <c r="P15" s="1">
        <v>249080</v>
      </c>
      <c r="Q15" s="1">
        <v>249086</v>
      </c>
      <c r="R15" s="2">
        <v>249094</v>
      </c>
      <c r="S15" s="1">
        <v>193</v>
      </c>
      <c r="T15" s="13">
        <v>258036</v>
      </c>
    </row>
    <row r="16" spans="1:20" x14ac:dyDescent="0.25">
      <c r="A16" s="90"/>
      <c r="B16" s="1">
        <f t="shared" si="0"/>
        <v>1</v>
      </c>
      <c r="C16" s="1">
        <v>5</v>
      </c>
      <c r="D16" s="1">
        <f>E15</f>
        <v>4200</v>
      </c>
      <c r="E16" s="1">
        <v>5000</v>
      </c>
      <c r="F16" s="1">
        <v>219055</v>
      </c>
      <c r="G16" s="1">
        <v>219056</v>
      </c>
      <c r="H16" s="1">
        <v>151841</v>
      </c>
      <c r="I16" s="1">
        <v>248085</v>
      </c>
      <c r="J16" s="1">
        <v>246059</v>
      </c>
      <c r="K16" s="12">
        <v>246061</v>
      </c>
      <c r="L16" s="30" t="s">
        <v>18</v>
      </c>
      <c r="M16" s="12">
        <v>246079</v>
      </c>
      <c r="N16" s="1">
        <v>248086</v>
      </c>
      <c r="O16" s="1">
        <v>249062</v>
      </c>
      <c r="P16" s="1">
        <v>249080</v>
      </c>
      <c r="Q16" s="1">
        <v>249086</v>
      </c>
      <c r="R16" s="2">
        <v>249094</v>
      </c>
      <c r="S16" s="1">
        <v>193</v>
      </c>
      <c r="T16" s="13">
        <v>258036</v>
      </c>
    </row>
    <row r="17" spans="1:20" x14ac:dyDescent="0.25">
      <c r="A17" s="90" t="s">
        <v>67</v>
      </c>
      <c r="B17" s="1">
        <f t="shared" si="0"/>
        <v>0</v>
      </c>
      <c r="C17" s="1">
        <v>1.8</v>
      </c>
      <c r="D17" s="1">
        <v>0</v>
      </c>
      <c r="E17" s="1">
        <v>1800</v>
      </c>
      <c r="F17" s="1">
        <v>135069</v>
      </c>
      <c r="G17" s="1">
        <v>135074</v>
      </c>
      <c r="H17" s="1">
        <v>151841</v>
      </c>
      <c r="I17" s="1">
        <v>248085</v>
      </c>
      <c r="J17" s="1">
        <v>246059</v>
      </c>
      <c r="K17" s="12">
        <v>246060</v>
      </c>
      <c r="L17" s="30" t="s">
        <v>18</v>
      </c>
      <c r="M17" s="12">
        <v>246077</v>
      </c>
      <c r="N17" s="1">
        <v>248086</v>
      </c>
      <c r="O17" s="1">
        <v>249062</v>
      </c>
      <c r="P17" s="1">
        <v>249080</v>
      </c>
      <c r="Q17" s="1">
        <v>249086</v>
      </c>
      <c r="R17" s="2">
        <v>249094</v>
      </c>
      <c r="S17" s="1">
        <v>193</v>
      </c>
      <c r="T17" s="13">
        <v>258036</v>
      </c>
    </row>
    <row r="18" spans="1:20" x14ac:dyDescent="0.25">
      <c r="A18" s="90"/>
      <c r="B18" s="1">
        <f t="shared" si="0"/>
        <v>0</v>
      </c>
      <c r="C18" s="1">
        <v>2.5</v>
      </c>
      <c r="D18" s="1">
        <f>E17</f>
        <v>1800</v>
      </c>
      <c r="E18" s="1">
        <v>2500</v>
      </c>
      <c r="F18" s="1">
        <v>135071</v>
      </c>
      <c r="G18" s="1">
        <v>135079</v>
      </c>
      <c r="H18" s="1">
        <v>151841</v>
      </c>
      <c r="I18" s="1">
        <v>248085</v>
      </c>
      <c r="J18" s="1">
        <v>246059</v>
      </c>
      <c r="K18" s="12">
        <v>246060</v>
      </c>
      <c r="L18" s="30" t="s">
        <v>18</v>
      </c>
      <c r="M18" s="12">
        <v>246077</v>
      </c>
      <c r="N18" s="1">
        <v>248086</v>
      </c>
      <c r="O18" s="1">
        <v>249062</v>
      </c>
      <c r="P18" s="1">
        <v>249080</v>
      </c>
      <c r="Q18" s="1">
        <v>249086</v>
      </c>
      <c r="R18" s="2">
        <v>249094</v>
      </c>
      <c r="S18" s="1">
        <v>193</v>
      </c>
      <c r="T18" s="13">
        <v>258036</v>
      </c>
    </row>
    <row r="19" spans="1:20" x14ac:dyDescent="0.25">
      <c r="A19" s="90"/>
      <c r="B19" s="1">
        <f t="shared" si="0"/>
        <v>0</v>
      </c>
      <c r="C19" s="1">
        <v>3.5</v>
      </c>
      <c r="D19" s="1">
        <f>E18</f>
        <v>2500</v>
      </c>
      <c r="E19" s="1">
        <v>3500</v>
      </c>
      <c r="F19" s="1">
        <v>135073</v>
      </c>
      <c r="G19" s="1">
        <v>135083</v>
      </c>
      <c r="H19" s="1">
        <v>151841</v>
      </c>
      <c r="I19" s="1">
        <v>248085</v>
      </c>
      <c r="J19" s="1">
        <v>246059</v>
      </c>
      <c r="K19" s="12">
        <v>246060</v>
      </c>
      <c r="L19" s="30" t="s">
        <v>18</v>
      </c>
      <c r="M19" s="12">
        <v>246077</v>
      </c>
      <c r="N19" s="1">
        <v>248086</v>
      </c>
      <c r="O19" s="1">
        <v>249062</v>
      </c>
      <c r="P19" s="1">
        <v>249080</v>
      </c>
      <c r="Q19" s="1">
        <v>249086</v>
      </c>
      <c r="R19" s="2">
        <v>249094</v>
      </c>
      <c r="S19" s="1">
        <v>193</v>
      </c>
      <c r="T19" s="13">
        <v>258036</v>
      </c>
    </row>
    <row r="20" spans="1:20" x14ac:dyDescent="0.25">
      <c r="A20" s="90"/>
      <c r="B20" s="1">
        <f t="shared" si="0"/>
        <v>1</v>
      </c>
      <c r="C20" s="1">
        <v>5</v>
      </c>
      <c r="D20" s="1">
        <f>E19</f>
        <v>3500</v>
      </c>
      <c r="E20" s="1">
        <v>5000</v>
      </c>
      <c r="F20" s="1">
        <v>135077</v>
      </c>
      <c r="G20" s="1">
        <v>135084</v>
      </c>
      <c r="H20" s="1">
        <v>151841</v>
      </c>
      <c r="I20" s="1">
        <v>248085</v>
      </c>
      <c r="J20" s="1">
        <v>246059</v>
      </c>
      <c r="K20" s="12">
        <v>246061</v>
      </c>
      <c r="L20" s="30" t="s">
        <v>18</v>
      </c>
      <c r="M20" s="12">
        <v>246079</v>
      </c>
      <c r="N20" s="1">
        <v>248086</v>
      </c>
      <c r="O20" s="1">
        <v>249062</v>
      </c>
      <c r="P20" s="1">
        <v>249080</v>
      </c>
      <c r="Q20" s="1">
        <v>249086</v>
      </c>
      <c r="R20" s="2">
        <v>249094</v>
      </c>
      <c r="S20" s="1">
        <v>193</v>
      </c>
      <c r="T20" s="13">
        <v>258036</v>
      </c>
    </row>
    <row r="21" spans="1:20" x14ac:dyDescent="0.25">
      <c r="A21" s="91" t="s">
        <v>24</v>
      </c>
      <c r="B21" s="1">
        <f t="shared" si="0"/>
        <v>1</v>
      </c>
      <c r="C21" s="1">
        <v>5</v>
      </c>
      <c r="D21" s="1">
        <v>0</v>
      </c>
      <c r="E21" s="1">
        <v>5000</v>
      </c>
      <c r="F21" s="1">
        <v>119930</v>
      </c>
      <c r="G21" s="1">
        <v>219060</v>
      </c>
      <c r="H21" s="1">
        <v>151841</v>
      </c>
      <c r="I21" s="1">
        <v>248085</v>
      </c>
      <c r="J21" s="1">
        <v>246059</v>
      </c>
      <c r="K21" s="12">
        <v>246061</v>
      </c>
      <c r="L21" s="30" t="s">
        <v>18</v>
      </c>
      <c r="M21" s="12">
        <v>246079</v>
      </c>
      <c r="N21" s="1">
        <v>248086</v>
      </c>
      <c r="O21" s="1">
        <v>249062</v>
      </c>
      <c r="P21" s="1">
        <v>249080</v>
      </c>
      <c r="Q21" s="1">
        <v>249086</v>
      </c>
      <c r="R21" s="2">
        <v>249094</v>
      </c>
      <c r="S21" s="1">
        <v>193</v>
      </c>
      <c r="T21" s="13">
        <v>258036</v>
      </c>
    </row>
    <row r="22" spans="1:20" x14ac:dyDescent="0.25">
      <c r="A22" s="91"/>
      <c r="B22" s="1">
        <f t="shared" si="0"/>
        <v>0</v>
      </c>
      <c r="C22" s="1">
        <v>6</v>
      </c>
      <c r="D22" s="1">
        <f>E21</f>
        <v>5000</v>
      </c>
      <c r="E22" s="1">
        <v>6000</v>
      </c>
      <c r="F22" s="1">
        <v>219061</v>
      </c>
      <c r="G22" s="1">
        <v>219062</v>
      </c>
      <c r="H22" s="1">
        <v>151841</v>
      </c>
      <c r="I22" s="1">
        <v>248085</v>
      </c>
      <c r="J22" s="1">
        <v>246059</v>
      </c>
      <c r="K22" s="12">
        <v>246061</v>
      </c>
      <c r="L22" s="30" t="s">
        <v>18</v>
      </c>
      <c r="M22" s="12">
        <v>246079</v>
      </c>
      <c r="N22" s="1">
        <v>248086</v>
      </c>
      <c r="O22" s="1">
        <v>249062</v>
      </c>
      <c r="P22" s="1">
        <v>249080</v>
      </c>
      <c r="Q22" s="1">
        <v>249086</v>
      </c>
      <c r="R22" s="2">
        <v>249094</v>
      </c>
      <c r="S22" s="1">
        <v>193</v>
      </c>
      <c r="T22" s="13">
        <v>258036</v>
      </c>
    </row>
    <row r="23" spans="1:20" x14ac:dyDescent="0.25">
      <c r="A23" s="91"/>
      <c r="B23" s="1">
        <f t="shared" si="0"/>
        <v>0</v>
      </c>
      <c r="C23" s="1">
        <v>7</v>
      </c>
      <c r="D23" s="1">
        <f>E22</f>
        <v>6000</v>
      </c>
      <c r="E23" s="1">
        <v>7000</v>
      </c>
      <c r="F23" s="1">
        <v>219015</v>
      </c>
      <c r="G23" s="1">
        <v>219009</v>
      </c>
      <c r="H23" s="1">
        <v>151841</v>
      </c>
      <c r="I23" s="1">
        <v>248085</v>
      </c>
      <c r="J23" s="1">
        <v>246059</v>
      </c>
      <c r="K23" s="12">
        <v>246062</v>
      </c>
      <c r="L23" s="30" t="s">
        <v>19</v>
      </c>
      <c r="M23" s="12">
        <v>145450</v>
      </c>
      <c r="N23" s="1">
        <v>248086</v>
      </c>
      <c r="O23" s="1">
        <v>249062</v>
      </c>
      <c r="P23" s="1">
        <v>249080</v>
      </c>
      <c r="Q23" s="1">
        <v>249086</v>
      </c>
      <c r="R23" s="2">
        <v>249094</v>
      </c>
      <c r="S23" s="1">
        <v>193</v>
      </c>
      <c r="T23" s="13">
        <v>258036</v>
      </c>
    </row>
    <row r="24" spans="1:20" ht="15" customHeight="1" x14ac:dyDescent="0.25">
      <c r="A24" s="88" t="s">
        <v>25</v>
      </c>
      <c r="B24" s="1">
        <f t="shared" si="0"/>
        <v>1</v>
      </c>
      <c r="C24" s="1">
        <v>7.1</v>
      </c>
      <c r="D24" s="1">
        <v>0</v>
      </c>
      <c r="E24" s="1">
        <v>7100</v>
      </c>
      <c r="F24" s="1">
        <v>152650</v>
      </c>
      <c r="G24" s="1">
        <v>152691</v>
      </c>
      <c r="H24" s="1">
        <v>151841</v>
      </c>
      <c r="I24" s="1">
        <v>248085</v>
      </c>
      <c r="J24" s="1">
        <v>246059</v>
      </c>
      <c r="K24" s="12">
        <v>246061</v>
      </c>
      <c r="L24" s="30" t="s">
        <v>18</v>
      </c>
      <c r="M24" s="12">
        <v>246079</v>
      </c>
      <c r="N24" s="1">
        <v>248086</v>
      </c>
      <c r="O24" s="1">
        <v>249062</v>
      </c>
      <c r="P24" s="1">
        <v>249080</v>
      </c>
      <c r="Q24" s="1">
        <v>249086</v>
      </c>
      <c r="R24" s="2">
        <v>249094</v>
      </c>
      <c r="S24" s="1">
        <v>193</v>
      </c>
      <c r="T24" s="13">
        <v>258036</v>
      </c>
    </row>
    <row r="25" spans="1:20" x14ac:dyDescent="0.25">
      <c r="A25" s="89"/>
      <c r="B25" s="1">
        <f t="shared" si="0"/>
        <v>0</v>
      </c>
      <c r="C25" s="1" t="s">
        <v>26</v>
      </c>
      <c r="D25" s="1">
        <f>E24</f>
        <v>7100</v>
      </c>
      <c r="E25" s="14">
        <v>10000</v>
      </c>
      <c r="F25" s="1">
        <v>152758</v>
      </c>
      <c r="G25" s="1" t="s">
        <v>27</v>
      </c>
      <c r="H25" s="1">
        <v>151843</v>
      </c>
      <c r="I25" s="1">
        <v>248085</v>
      </c>
      <c r="J25" s="1">
        <v>246059</v>
      </c>
      <c r="K25" s="12">
        <v>246061</v>
      </c>
      <c r="L25" s="30" t="s">
        <v>18</v>
      </c>
      <c r="M25" s="12">
        <v>246079</v>
      </c>
      <c r="N25" s="1">
        <v>248086</v>
      </c>
      <c r="O25" s="1">
        <v>249062</v>
      </c>
      <c r="P25" s="1">
        <v>249080</v>
      </c>
      <c r="Q25" s="1">
        <v>249086</v>
      </c>
      <c r="R25" s="2">
        <v>249094</v>
      </c>
      <c r="S25" s="1">
        <v>193</v>
      </c>
      <c r="T25" s="13">
        <v>258036</v>
      </c>
    </row>
    <row r="26" spans="1:20" ht="30" x14ac:dyDescent="0.25">
      <c r="A26" s="44" t="s">
        <v>73</v>
      </c>
      <c r="B26" s="1">
        <f t="shared" si="0"/>
        <v>0</v>
      </c>
      <c r="C26" s="1" t="s">
        <v>28</v>
      </c>
      <c r="D26" s="1">
        <f>D25</f>
        <v>7100</v>
      </c>
      <c r="E26" s="14">
        <f>E25</f>
        <v>10000</v>
      </c>
      <c r="F26" s="1">
        <v>152651</v>
      </c>
      <c r="G26" s="1" t="s">
        <v>29</v>
      </c>
      <c r="H26" s="1">
        <v>151843</v>
      </c>
      <c r="I26" s="1">
        <v>248085</v>
      </c>
      <c r="J26" s="1">
        <v>246060</v>
      </c>
      <c r="K26" s="12">
        <v>246062</v>
      </c>
      <c r="L26" s="30">
        <v>246062</v>
      </c>
      <c r="M26" s="12">
        <v>246078</v>
      </c>
      <c r="N26" s="1">
        <v>248086</v>
      </c>
      <c r="O26" s="1">
        <v>249062</v>
      </c>
      <c r="P26" s="1">
        <v>249080</v>
      </c>
      <c r="Q26" s="1">
        <v>249086</v>
      </c>
      <c r="R26" s="2">
        <v>249094</v>
      </c>
      <c r="S26" s="1">
        <v>193</v>
      </c>
      <c r="T26" s="13">
        <v>258036</v>
      </c>
    </row>
    <row r="31" spans="1:20" x14ac:dyDescent="0.25">
      <c r="C31" s="29"/>
      <c r="D31" s="29"/>
      <c r="E31" s="29"/>
      <c r="F31" s="29"/>
      <c r="G31" s="65"/>
      <c r="H31" s="65"/>
      <c r="I31" s="29"/>
      <c r="M31" t="s">
        <v>72</v>
      </c>
      <c r="N31">
        <f>IF(choix!K12="isole",2,"")</f>
        <v>2</v>
      </c>
    </row>
    <row r="32" spans="1:20" ht="15" customHeight="1" x14ac:dyDescent="0.25">
      <c r="C32" s="29"/>
      <c r="D32" s="29"/>
      <c r="E32" s="29"/>
      <c r="F32" s="29"/>
      <c r="G32" s="65"/>
      <c r="H32" s="65"/>
      <c r="I32" s="29"/>
      <c r="M32" t="s">
        <v>72</v>
      </c>
      <c r="N32">
        <f>IF(choix!K12="isole",3,"")</f>
        <v>3</v>
      </c>
    </row>
    <row r="33" spans="1:14" x14ac:dyDescent="0.25">
      <c r="C33" s="29"/>
      <c r="D33" s="29"/>
      <c r="E33" s="29"/>
      <c r="F33" s="29"/>
      <c r="G33" s="65"/>
      <c r="H33" s="65"/>
      <c r="I33" s="29"/>
      <c r="M33" t="s">
        <v>70</v>
      </c>
      <c r="N33" t="str">
        <f>IF(choix!K12="bitube",2,"")</f>
        <v/>
      </c>
    </row>
    <row r="34" spans="1:14" x14ac:dyDescent="0.25">
      <c r="E34" s="29"/>
      <c r="F34" s="29"/>
    </row>
    <row r="35" spans="1:14" x14ac:dyDescent="0.25">
      <c r="E35" s="29"/>
    </row>
    <row r="38" spans="1:14" x14ac:dyDescent="0.25">
      <c r="H38" cm="1">
        <f t="array" ref="H38">INDEX(J6:J26,MATCH(choix!K4,Feuil5!A6:A26,0)*MATCH(1,Feuil5!B6:B26,0))</f>
        <v>246059</v>
      </c>
    </row>
    <row r="45" spans="1:14" x14ac:dyDescent="0.25">
      <c r="A45" s="1"/>
      <c r="B45" s="1"/>
      <c r="C45" s="1" t="s">
        <v>1</v>
      </c>
      <c r="D45" s="1" t="s">
        <v>2</v>
      </c>
      <c r="E45" s="1" t="s">
        <v>3</v>
      </c>
      <c r="H45" s="1" t="s">
        <v>8</v>
      </c>
      <c r="I45" s="11" t="s">
        <v>53</v>
      </c>
      <c r="J45" s="11" t="s">
        <v>52</v>
      </c>
    </row>
    <row r="46" spans="1:14" x14ac:dyDescent="0.25">
      <c r="A46" s="28" t="s">
        <v>16</v>
      </c>
      <c r="B46" s="1">
        <f>IF(AND($D$2&gt;D46,$D$2&lt;=E46),1,0)</f>
        <v>0</v>
      </c>
      <c r="C46" s="1">
        <v>2.5</v>
      </c>
      <c r="D46" s="1">
        <v>0</v>
      </c>
      <c r="E46" s="1">
        <v>2500</v>
      </c>
      <c r="H46" s="34">
        <v>246059</v>
      </c>
      <c r="I46" s="35">
        <v>246060</v>
      </c>
      <c r="J46" s="35">
        <v>246077</v>
      </c>
      <c r="M46" s="66" t="s">
        <v>76</v>
      </c>
    </row>
    <row r="47" spans="1:14" x14ac:dyDescent="0.25">
      <c r="A47" s="28" t="s">
        <v>16</v>
      </c>
      <c r="B47" s="1">
        <f t="shared" ref="B47:B66" si="1">IF(AND($D$2&gt;D47,$D$2&lt;=E47),1,0)</f>
        <v>0</v>
      </c>
      <c r="C47" s="1">
        <v>3.5</v>
      </c>
      <c r="D47" s="1">
        <f>E46</f>
        <v>2500</v>
      </c>
      <c r="E47" s="1">
        <v>3500</v>
      </c>
      <c r="H47" s="34">
        <v>246059</v>
      </c>
      <c r="I47" s="35">
        <v>246060</v>
      </c>
      <c r="J47" s="35">
        <v>246077</v>
      </c>
    </row>
    <row r="48" spans="1:14" x14ac:dyDescent="0.25">
      <c r="A48" s="28" t="s">
        <v>16</v>
      </c>
      <c r="B48" s="1">
        <f t="shared" si="1"/>
        <v>1</v>
      </c>
      <c r="C48" s="1">
        <v>5</v>
      </c>
      <c r="D48" s="1">
        <f>E47</f>
        <v>3500</v>
      </c>
      <c r="E48" s="1">
        <v>5000</v>
      </c>
      <c r="H48" s="34">
        <v>246059</v>
      </c>
      <c r="I48" s="35">
        <v>246061</v>
      </c>
      <c r="J48" s="35">
        <v>246079</v>
      </c>
    </row>
    <row r="49" spans="1:10" x14ac:dyDescent="0.25">
      <c r="A49" s="28" t="s">
        <v>22</v>
      </c>
      <c r="B49" s="1">
        <f t="shared" si="1"/>
        <v>0</v>
      </c>
      <c r="C49" s="1">
        <v>2.5</v>
      </c>
      <c r="D49" s="1">
        <v>0</v>
      </c>
      <c r="E49" s="1">
        <v>2500</v>
      </c>
      <c r="H49" s="36">
        <v>246059</v>
      </c>
      <c r="I49" s="37">
        <v>246061</v>
      </c>
      <c r="J49" s="37">
        <v>246079</v>
      </c>
    </row>
    <row r="50" spans="1:10" x14ac:dyDescent="0.25">
      <c r="A50" s="28" t="s">
        <v>22</v>
      </c>
      <c r="B50" s="1">
        <f t="shared" si="1"/>
        <v>0</v>
      </c>
      <c r="C50" s="1">
        <v>3.5</v>
      </c>
      <c r="D50" s="1">
        <f>E49</f>
        <v>2500</v>
      </c>
      <c r="E50" s="1">
        <v>3500</v>
      </c>
      <c r="H50" s="36">
        <v>246059</v>
      </c>
      <c r="I50" s="37">
        <v>246061</v>
      </c>
      <c r="J50" s="37">
        <v>246079</v>
      </c>
    </row>
    <row r="51" spans="1:10" x14ac:dyDescent="0.25">
      <c r="A51" s="28" t="s">
        <v>22</v>
      </c>
      <c r="B51" s="1">
        <f t="shared" si="1"/>
        <v>1</v>
      </c>
      <c r="C51" s="1">
        <v>5</v>
      </c>
      <c r="D51" s="1">
        <f>E50</f>
        <v>3500</v>
      </c>
      <c r="E51" s="1">
        <v>5000</v>
      </c>
      <c r="H51" s="36">
        <v>246059</v>
      </c>
      <c r="I51" s="37">
        <v>246061</v>
      </c>
      <c r="J51" s="37">
        <v>246079</v>
      </c>
    </row>
    <row r="52" spans="1:10" x14ac:dyDescent="0.25">
      <c r="A52" s="28" t="s">
        <v>23</v>
      </c>
      <c r="B52" s="1">
        <f t="shared" si="1"/>
        <v>0</v>
      </c>
      <c r="C52" s="1">
        <v>1.8</v>
      </c>
      <c r="D52" s="1">
        <v>0</v>
      </c>
      <c r="E52" s="1">
        <v>1800</v>
      </c>
      <c r="H52" s="38">
        <v>246059</v>
      </c>
      <c r="I52" s="39">
        <v>246060</v>
      </c>
      <c r="J52" s="39">
        <v>246077</v>
      </c>
    </row>
    <row r="53" spans="1:10" x14ac:dyDescent="0.25">
      <c r="A53" s="28" t="s">
        <v>23</v>
      </c>
      <c r="B53" s="1">
        <f t="shared" si="1"/>
        <v>0</v>
      </c>
      <c r="C53" s="1">
        <v>2.5</v>
      </c>
      <c r="D53" s="1">
        <f>E52</f>
        <v>1800</v>
      </c>
      <c r="E53" s="1">
        <v>2500</v>
      </c>
      <c r="H53" s="38">
        <v>246059</v>
      </c>
      <c r="I53" s="39">
        <v>246060</v>
      </c>
      <c r="J53" s="39">
        <v>246077</v>
      </c>
    </row>
    <row r="54" spans="1:10" x14ac:dyDescent="0.25">
      <c r="A54" s="28" t="s">
        <v>23</v>
      </c>
      <c r="B54" s="1">
        <f t="shared" si="1"/>
        <v>0</v>
      </c>
      <c r="C54" s="1">
        <v>3.5</v>
      </c>
      <c r="D54" s="1">
        <f>E53</f>
        <v>2500</v>
      </c>
      <c r="E54" s="1">
        <v>3500</v>
      </c>
      <c r="H54" s="38">
        <v>246059</v>
      </c>
      <c r="I54" s="39">
        <v>246060</v>
      </c>
      <c r="J54" s="39">
        <v>246077</v>
      </c>
    </row>
    <row r="55" spans="1:10" x14ac:dyDescent="0.25">
      <c r="A55" s="28" t="s">
        <v>23</v>
      </c>
      <c r="B55" s="1">
        <f t="shared" si="1"/>
        <v>0</v>
      </c>
      <c r="C55" s="1">
        <v>4.2</v>
      </c>
      <c r="D55" s="1">
        <f>E54</f>
        <v>3500</v>
      </c>
      <c r="E55" s="1">
        <v>4200</v>
      </c>
      <c r="H55" s="38">
        <v>246059</v>
      </c>
      <c r="I55" s="39">
        <v>246061</v>
      </c>
      <c r="J55" s="39">
        <v>246079</v>
      </c>
    </row>
    <row r="56" spans="1:10" x14ac:dyDescent="0.25">
      <c r="A56" s="28" t="s">
        <v>23</v>
      </c>
      <c r="B56" s="1">
        <f t="shared" si="1"/>
        <v>1</v>
      </c>
      <c r="C56" s="1">
        <v>5</v>
      </c>
      <c r="D56" s="1">
        <f>E55</f>
        <v>4200</v>
      </c>
      <c r="E56" s="1">
        <v>5000</v>
      </c>
      <c r="H56" s="38">
        <v>246059</v>
      </c>
      <c r="I56" s="39">
        <v>246061</v>
      </c>
      <c r="J56" s="39">
        <v>246079</v>
      </c>
    </row>
    <row r="57" spans="1:10" x14ac:dyDescent="0.25">
      <c r="A57" s="28" t="s">
        <v>67</v>
      </c>
      <c r="B57" s="1">
        <f t="shared" si="1"/>
        <v>0</v>
      </c>
      <c r="C57" s="1">
        <v>1.8</v>
      </c>
      <c r="D57" s="1">
        <v>0</v>
      </c>
      <c r="E57" s="1">
        <v>1800</v>
      </c>
      <c r="H57" s="40">
        <v>246059</v>
      </c>
      <c r="I57" s="41">
        <v>246060</v>
      </c>
      <c r="J57" s="41">
        <v>246077</v>
      </c>
    </row>
    <row r="58" spans="1:10" x14ac:dyDescent="0.25">
      <c r="A58" s="28" t="s">
        <v>67</v>
      </c>
      <c r="B58" s="1">
        <f t="shared" si="1"/>
        <v>0</v>
      </c>
      <c r="C58" s="1">
        <v>2.5</v>
      </c>
      <c r="D58" s="1">
        <f>E57</f>
        <v>1800</v>
      </c>
      <c r="E58" s="1">
        <v>2500</v>
      </c>
      <c r="H58" s="40">
        <v>246059</v>
      </c>
      <c r="I58" s="41">
        <v>246060</v>
      </c>
      <c r="J58" s="41">
        <v>246077</v>
      </c>
    </row>
    <row r="59" spans="1:10" x14ac:dyDescent="0.25">
      <c r="A59" s="28" t="s">
        <v>67</v>
      </c>
      <c r="B59" s="1">
        <f t="shared" si="1"/>
        <v>0</v>
      </c>
      <c r="C59" s="1">
        <v>3.5</v>
      </c>
      <c r="D59" s="1">
        <f>E58</f>
        <v>2500</v>
      </c>
      <c r="E59" s="1">
        <v>3500</v>
      </c>
      <c r="H59" s="40">
        <v>246059</v>
      </c>
      <c r="I59" s="41">
        <v>246060</v>
      </c>
      <c r="J59" s="41">
        <v>246077</v>
      </c>
    </row>
    <row r="60" spans="1:10" x14ac:dyDescent="0.25">
      <c r="A60" s="28" t="s">
        <v>67</v>
      </c>
      <c r="B60" s="1">
        <f t="shared" si="1"/>
        <v>1</v>
      </c>
      <c r="C60" s="1">
        <v>5</v>
      </c>
      <c r="D60" s="1">
        <f>E59</f>
        <v>3500</v>
      </c>
      <c r="E60" s="1">
        <v>5000</v>
      </c>
      <c r="H60" s="40">
        <v>246059</v>
      </c>
      <c r="I60" s="41">
        <v>246061</v>
      </c>
      <c r="J60" s="41">
        <v>246079</v>
      </c>
    </row>
    <row r="61" spans="1:10" ht="15" customHeight="1" x14ac:dyDescent="0.25">
      <c r="A61" s="44" t="s">
        <v>24</v>
      </c>
      <c r="B61" s="1">
        <f t="shared" si="1"/>
        <v>1</v>
      </c>
      <c r="C61" s="1">
        <v>5</v>
      </c>
      <c r="D61" s="1">
        <v>0</v>
      </c>
      <c r="E61" s="1">
        <v>5000</v>
      </c>
      <c r="H61" s="42">
        <v>246059</v>
      </c>
      <c r="I61" s="43">
        <v>246061</v>
      </c>
      <c r="J61" s="43">
        <v>246079</v>
      </c>
    </row>
    <row r="62" spans="1:10" ht="45" x14ac:dyDescent="0.25">
      <c r="A62" s="44" t="s">
        <v>24</v>
      </c>
      <c r="B62" s="1">
        <f t="shared" si="1"/>
        <v>0</v>
      </c>
      <c r="C62" s="1">
        <v>6</v>
      </c>
      <c r="D62" s="1">
        <f>E61</f>
        <v>5000</v>
      </c>
      <c r="E62" s="1">
        <v>6000</v>
      </c>
      <c r="H62" s="42">
        <v>246059</v>
      </c>
      <c r="I62" s="43">
        <v>246061</v>
      </c>
      <c r="J62" s="43">
        <v>246079</v>
      </c>
    </row>
    <row r="63" spans="1:10" ht="45" x14ac:dyDescent="0.25">
      <c r="A63" s="44" t="s">
        <v>24</v>
      </c>
      <c r="B63" s="1">
        <f t="shared" si="1"/>
        <v>0</v>
      </c>
      <c r="C63" s="1">
        <v>7</v>
      </c>
      <c r="D63" s="1">
        <f>E62</f>
        <v>6000</v>
      </c>
      <c r="E63" s="1">
        <v>7000</v>
      </c>
      <c r="H63" s="42">
        <v>246059</v>
      </c>
      <c r="I63" s="43">
        <v>246062</v>
      </c>
      <c r="J63" s="43">
        <v>145450</v>
      </c>
    </row>
    <row r="64" spans="1:10" ht="15" customHeight="1" x14ac:dyDescent="0.25">
      <c r="A64" s="44" t="s">
        <v>74</v>
      </c>
      <c r="B64" s="1">
        <f t="shared" si="1"/>
        <v>1</v>
      </c>
      <c r="C64" s="1">
        <v>7.1</v>
      </c>
      <c r="D64" s="1">
        <v>0</v>
      </c>
      <c r="E64" s="1">
        <v>7100</v>
      </c>
      <c r="H64" s="1">
        <v>246059</v>
      </c>
      <c r="I64" s="12">
        <v>246061</v>
      </c>
      <c r="J64" s="12">
        <v>246079</v>
      </c>
    </row>
    <row r="65" spans="1:10" ht="30" x14ac:dyDescent="0.25">
      <c r="A65" s="44" t="s">
        <v>75</v>
      </c>
      <c r="B65" s="1">
        <f t="shared" si="1"/>
        <v>0</v>
      </c>
      <c r="C65" s="1" t="s">
        <v>26</v>
      </c>
      <c r="D65" s="1">
        <f>E64</f>
        <v>7100</v>
      </c>
      <c r="E65" s="14">
        <v>10000</v>
      </c>
      <c r="H65" s="1">
        <v>246059</v>
      </c>
      <c r="I65" s="12">
        <v>246061</v>
      </c>
      <c r="J65" s="12">
        <v>246079</v>
      </c>
    </row>
    <row r="66" spans="1:10" ht="30" x14ac:dyDescent="0.25">
      <c r="A66" s="44" t="s">
        <v>73</v>
      </c>
      <c r="B66" s="1">
        <f t="shared" si="1"/>
        <v>0</v>
      </c>
      <c r="C66" s="1" t="s">
        <v>28</v>
      </c>
      <c r="D66" s="1">
        <f>D65</f>
        <v>7100</v>
      </c>
      <c r="E66" s="14">
        <f>E65</f>
        <v>10000</v>
      </c>
      <c r="H66" s="1">
        <v>246060</v>
      </c>
      <c r="I66" s="12">
        <v>246062</v>
      </c>
      <c r="J66" s="12">
        <v>246078</v>
      </c>
    </row>
    <row r="67" spans="1:10" x14ac:dyDescent="0.25">
      <c r="A67" s="31"/>
      <c r="B67" s="32"/>
      <c r="C67" s="32"/>
      <c r="D67" s="32"/>
      <c r="E67" s="33"/>
      <c r="H67" s="32"/>
      <c r="I67" s="32"/>
      <c r="J67" s="32"/>
    </row>
    <row r="68" spans="1:10" x14ac:dyDescent="0.25">
      <c r="A68" t="s">
        <v>72</v>
      </c>
      <c r="B68" s="3">
        <f>N31</f>
        <v>2</v>
      </c>
    </row>
    <row r="69" spans="1:10" x14ac:dyDescent="0.25">
      <c r="A69" t="s">
        <v>68</v>
      </c>
      <c r="B69" s="3">
        <f>$N$32</f>
        <v>3</v>
      </c>
    </row>
    <row r="70" spans="1:10" x14ac:dyDescent="0.25">
      <c r="A70" t="s">
        <v>71</v>
      </c>
      <c r="B70" s="3" t="str">
        <f>$N$33</f>
        <v/>
      </c>
    </row>
  </sheetData>
  <mergeCells count="6">
    <mergeCell ref="A24:A25"/>
    <mergeCell ref="A6:A8"/>
    <mergeCell ref="A9:A11"/>
    <mergeCell ref="A12:A16"/>
    <mergeCell ref="A17:A20"/>
    <mergeCell ref="A21:A23"/>
  </mergeCells>
  <phoneticPr fontId="10" type="noConversion"/>
  <dataValidations count="1">
    <dataValidation type="list" allowBlank="1" showInputMessage="1" showErrorMessage="1" sqref="A84" xr:uid="{00000000-0002-0000-0300-000000000000}">
      <formula1>"Lorai,Takai,Modai,Dodai,Petit tertiaire,Utopia Prime R32,Utopia Prime R410"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3</vt:i4>
      </vt:variant>
    </vt:vector>
  </HeadingPairs>
  <TitlesOfParts>
    <vt:vector size="7" baseType="lpstr">
      <vt:lpstr>choix</vt:lpstr>
      <vt:lpstr>Feuil2</vt:lpstr>
      <vt:lpstr>Feuil4</vt:lpstr>
      <vt:lpstr>Feuil5</vt:lpstr>
      <vt:lpstr>frigo</vt:lpstr>
      <vt:lpstr>mode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YAYLA Nuri</dc:creator>
  <cp:lastModifiedBy>Vouardoux Yves, PFC-PAN-PAC</cp:lastModifiedBy>
  <dcterms:created xsi:type="dcterms:W3CDTF">2022-04-12T12:28:03Z</dcterms:created>
  <dcterms:modified xsi:type="dcterms:W3CDTF">2022-05-03T12:15:27Z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etDate">
    <vt:lpwstr>2022-05-03T11:59:50Z</vt:lpwstr>
  </property>
  <property fmtid="{D5CDD505-2E9C-101B-9397-08002B2CF9AE}" pid="4" name="MSIP_Label_2e1fccfb-80ca-4fe1-a574-1516544edb53_Method">
    <vt:lpwstr>Standard</vt:lpwstr>
  </property>
  <property fmtid="{D5CDD505-2E9C-101B-9397-08002B2CF9AE}" pid="5" name="MSIP_Label_2e1fccfb-80ca-4fe1-a574-1516544edb53_Name">
    <vt:lpwstr>C2 Internal</vt:lpwstr>
  </property>
  <property fmtid="{D5CDD505-2E9C-101B-9397-08002B2CF9AE}" pid="6" name="MSIP_Label_2e1fccfb-80ca-4fe1-a574-1516544edb53_SiteId">
    <vt:lpwstr>364e5b87-c1c7-420d-9bee-c35d19b557a1</vt:lpwstr>
  </property>
  <property fmtid="{D5CDD505-2E9C-101B-9397-08002B2CF9AE}" pid="7" name="MSIP_Label_2e1fccfb-80ca-4fe1-a574-1516544edb53_ActionId">
    <vt:lpwstr>8088c09e-ed26-4d2f-befb-f607dcc1f59f</vt:lpwstr>
  </property>
  <property fmtid="{D5CDD505-2E9C-101B-9397-08002B2CF9AE}" pid="8" name="MSIP_Label_2e1fccfb-80ca-4fe1-a574-1516544edb53_ContentBits">
    <vt:lpwstr>0</vt:lpwstr>
  </property>
  <property fmtid="{D5CDD505-2E9C-101B-9397-08002B2CF9AE}" pid="9" name="Sensitivity">
    <vt:lpwstr>C2 General</vt:lpwstr>
  </property>
</Properties>
</file>