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D3CC3D0-9602-4D38-B572-78EB4B387129}" xr6:coauthVersionLast="45" xr6:coauthVersionMax="45" xr10:uidLastSave="{00000000-0000-0000-0000-000000000000}"/>
  <workbookProtection workbookAlgorithmName="SHA-512" workbookHashValue="ZJSKERjG9pso82dSEVNteK+wZVf8i5XX0s7g+EwY9NlYuqVg82VGUzNBZcAiJYSnhFyLnWdXlJuLqBhrjPZ6EA==" workbookSaltValue="2ukXOCD/H2dDck6NJ0uzQw==" workbookSpinCount="100000" lockStructure="1"/>
  <bookViews>
    <workbookView xWindow="-120" yWindow="-120" windowWidth="29040" windowHeight="15840" xr2:uid="{00000000-000D-0000-FFFF-FFFF00000000}"/>
  </bookViews>
  <sheets>
    <sheet name="Base_Sinist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5" i="1" l="1"/>
  <c r="H25" i="1"/>
  <c r="D25" i="1"/>
  <c r="D24" i="1"/>
  <c r="G23" i="1"/>
  <c r="E21" i="1"/>
  <c r="G20" i="1"/>
  <c r="G19" i="1"/>
  <c r="G17" i="1"/>
  <c r="G16" i="1"/>
  <c r="E16" i="1"/>
  <c r="G14" i="1"/>
  <c r="I12" i="1"/>
  <c r="F11" i="1" s="1"/>
  <c r="G12" i="1"/>
  <c r="G10" i="1"/>
  <c r="G9" i="1"/>
  <c r="G8" i="1"/>
  <c r="F18" i="1" l="1"/>
  <c r="G11" i="1"/>
  <c r="G13" i="1" l="1"/>
  <c r="G18" i="1" s="1"/>
  <c r="F21" i="1"/>
  <c r="O22" i="1" l="1"/>
  <c r="O21" i="1"/>
  <c r="F22" i="1"/>
  <c r="P22" i="1"/>
  <c r="G22" i="1"/>
  <c r="P24" i="1" l="1"/>
  <c r="F24" i="1"/>
  <c r="F25" i="1"/>
  <c r="O28" i="1" s="1"/>
  <c r="O26" i="1"/>
  <c r="G21" i="1"/>
  <c r="O24" i="1"/>
  <c r="O27" i="1"/>
  <c r="P25" i="1"/>
  <c r="G26" i="1"/>
  <c r="P29" i="1" s="1"/>
  <c r="F26" i="1"/>
  <c r="O29" i="1" s="1"/>
  <c r="O25" i="1"/>
  <c r="G24" i="1" l="1"/>
  <c r="P21" i="1" s="1"/>
  <c r="G25" i="1"/>
  <c r="P28" i="1" s="1"/>
  <c r="P27" i="1"/>
  <c r="P26" i="1"/>
</calcChain>
</file>

<file path=xl/sharedStrings.xml><?xml version="1.0" encoding="utf-8"?>
<sst xmlns="http://schemas.openxmlformats.org/spreadsheetml/2006/main" count="56" uniqueCount="41">
  <si>
    <t>Taux</t>
  </si>
  <si>
    <t>Décompte TTC</t>
  </si>
  <si>
    <t>Décompte HT</t>
  </si>
  <si>
    <t xml:space="preserve">Dommage </t>
  </si>
  <si>
    <t>Main D'œuvre</t>
  </si>
  <si>
    <t>Sous total REG Prp Usage</t>
  </si>
  <si>
    <t>Peinture</t>
  </si>
  <si>
    <t>Sous total REG Prp AGE</t>
  </si>
  <si>
    <t>Age</t>
  </si>
  <si>
    <t>Mantant BDG</t>
  </si>
  <si>
    <t>Sous total REG Prp Permis</t>
  </si>
  <si>
    <t>Permis</t>
  </si>
  <si>
    <t>Montant pneu</t>
  </si>
  <si>
    <t>S /Total REG PRP Capitaux</t>
  </si>
  <si>
    <t>Capitaux</t>
  </si>
  <si>
    <t xml:space="preserve">Vetusté </t>
  </si>
  <si>
    <t>Montant Rpr Usage</t>
  </si>
  <si>
    <t>Vetusté Pneumatique</t>
  </si>
  <si>
    <t>Montant Rpr Âge</t>
  </si>
  <si>
    <t>Epave</t>
  </si>
  <si>
    <t>Montant Rpr Permis</t>
  </si>
  <si>
    <t>Valeur Assuré</t>
  </si>
  <si>
    <t>Montant Rpr Capitaux</t>
  </si>
  <si>
    <t>Valeur venale</t>
  </si>
  <si>
    <t>Total à payer Rpr Usage</t>
  </si>
  <si>
    <t>Sous Total</t>
  </si>
  <si>
    <t>Total à payer Rpr Âge</t>
  </si>
  <si>
    <t>RC Payée</t>
  </si>
  <si>
    <t>Total à payer Rpr Permis</t>
  </si>
  <si>
    <t>RC Majorée</t>
  </si>
  <si>
    <t>Total à payer Rpr Capitaux</t>
  </si>
  <si>
    <t>Franchise</t>
  </si>
  <si>
    <t>immob</t>
  </si>
  <si>
    <t xml:space="preserve">Total à payer </t>
  </si>
  <si>
    <t>DASC</t>
  </si>
  <si>
    <t>DASC 200 000 DA  T</t>
  </si>
  <si>
    <t>DASC 400 000 DA</t>
  </si>
  <si>
    <t>DASC 600 000 DA</t>
  </si>
  <si>
    <t>DASC 800 000 DA</t>
  </si>
  <si>
    <t>DASC 1 000 000 DA</t>
  </si>
  <si>
    <t>illimité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</si>
</sst>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.000"/>
    <numFmt numFmtId="166" formatCode=";;;"/>
    <numFmt numFmtId="167" formatCode="_-* #,##0.00\ _C_H_F_-;\-* #,##0.00\ _C_H_F_-;_-* &quot;-&quot;??\ _C_H_F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FF66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165" fontId="0" fillId="0" borderId="0" xfId="0" applyNumberFormat="1" applyProtection="1"/>
    <xf numFmtId="0" fontId="0" fillId="0" borderId="0" xfId="0" applyProtection="1"/>
    <xf numFmtId="0" fontId="0" fillId="0" borderId="0" xfId="0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5" fillId="0" borderId="1" xfId="0" applyFont="1" applyFill="1" applyBorder="1" applyProtection="1"/>
    <xf numFmtId="0" fontId="6" fillId="0" borderId="5" xfId="2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Protection="1">
      <protection locked="0"/>
    </xf>
    <xf numFmtId="164" fontId="3" fillId="0" borderId="5" xfId="0" applyNumberFormat="1" applyFont="1" applyBorder="1" applyAlignment="1" applyProtection="1">
      <alignment horizontal="center" vertical="center"/>
    </xf>
    <xf numFmtId="164" fontId="7" fillId="4" borderId="6" xfId="0" applyNumberFormat="1" applyFont="1" applyFill="1" applyBorder="1" applyAlignment="1" applyProtection="1">
      <alignment horizontal="center" vertical="center"/>
    </xf>
    <xf numFmtId="164" fontId="7" fillId="5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Protection="1"/>
    <xf numFmtId="0" fontId="8" fillId="0" borderId="5" xfId="2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 applyProtection="1"/>
    <xf numFmtId="9" fontId="6" fillId="0" borderId="5" xfId="2" applyFont="1" applyFill="1" applyBorder="1" applyAlignment="1" applyProtection="1">
      <alignment horizontal="center" vertical="center"/>
    </xf>
    <xf numFmtId="164" fontId="7" fillId="4" borderId="8" xfId="0" applyNumberFormat="1" applyFont="1" applyFill="1" applyBorder="1" applyAlignment="1" applyProtection="1">
      <alignment horizontal="center" vertical="center"/>
    </xf>
    <xf numFmtId="164" fontId="0" fillId="0" borderId="0" xfId="0" applyNumberFormat="1" applyProtection="1"/>
    <xf numFmtId="164" fontId="2" fillId="6" borderId="5" xfId="0" applyNumberFormat="1" applyFont="1" applyFill="1" applyBorder="1" applyAlignment="1" applyProtection="1">
      <alignment horizontal="center" vertical="center"/>
    </xf>
    <xf numFmtId="164" fontId="2" fillId="6" borderId="7" xfId="0" applyNumberFormat="1" applyFont="1" applyFill="1" applyBorder="1" applyAlignment="1" applyProtection="1">
      <alignment horizontal="center" vertical="center"/>
    </xf>
    <xf numFmtId="164" fontId="7" fillId="4" borderId="5" xfId="0" applyNumberFormat="1" applyFont="1" applyFill="1" applyBorder="1" applyAlignment="1" applyProtection="1">
      <alignment horizontal="center" vertical="center"/>
    </xf>
    <xf numFmtId="164" fontId="7" fillId="5" borderId="9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64" fontId="3" fillId="5" borderId="7" xfId="0" applyNumberFormat="1" applyFont="1" applyFill="1" applyBorder="1" applyAlignment="1" applyProtection="1">
      <alignment horizontal="center" vertical="center"/>
    </xf>
    <xf numFmtId="164" fontId="7" fillId="4" borderId="10" xfId="0" applyNumberFormat="1" applyFont="1" applyFill="1" applyBorder="1" applyAlignment="1" applyProtection="1">
      <alignment horizontal="center" vertical="center"/>
    </xf>
    <xf numFmtId="164" fontId="7" fillId="6" borderId="11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9" fontId="8" fillId="0" borderId="5" xfId="2" applyFont="1" applyBorder="1" applyAlignment="1" applyProtection="1">
      <alignment horizontal="center" vertical="center"/>
      <protection locked="0"/>
    </xf>
    <xf numFmtId="164" fontId="10" fillId="0" borderId="5" xfId="0" applyNumberFormat="1" applyFont="1" applyFill="1" applyBorder="1" applyAlignment="1" applyProtection="1">
      <alignment horizontal="center" vertical="center"/>
    </xf>
    <xf numFmtId="164" fontId="10" fillId="0" borderId="7" xfId="0" applyNumberFormat="1" applyFont="1" applyFill="1" applyBorder="1" applyAlignment="1" applyProtection="1">
      <alignment horizontal="center" vertical="center"/>
    </xf>
    <xf numFmtId="164" fontId="3" fillId="7" borderId="5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Protection="1"/>
    <xf numFmtId="9" fontId="8" fillId="0" borderId="10" xfId="2" applyFont="1" applyBorder="1" applyAlignment="1" applyProtection="1">
      <alignment horizontal="center" vertical="center"/>
    </xf>
    <xf numFmtId="164" fontId="4" fillId="0" borderId="5" xfId="0" applyNumberFormat="1" applyFont="1" applyFill="1" applyBorder="1" applyAlignment="1" applyProtection="1">
      <alignment horizontal="center" vertical="center"/>
    </xf>
    <xf numFmtId="164" fontId="12" fillId="0" borderId="7" xfId="0" applyNumberFormat="1" applyFont="1" applyFill="1" applyBorder="1" applyAlignment="1" applyProtection="1">
      <alignment horizontal="center" vertical="center"/>
    </xf>
    <xf numFmtId="0" fontId="5" fillId="0" borderId="9" xfId="0" applyFont="1" applyFill="1" applyBorder="1" applyProtection="1"/>
    <xf numFmtId="164" fontId="3" fillId="0" borderId="5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</xf>
    <xf numFmtId="164" fontId="14" fillId="9" borderId="5" xfId="0" applyNumberFormat="1" applyFont="1" applyFill="1" applyBorder="1" applyAlignment="1" applyProtection="1">
      <alignment horizontal="center" vertical="center"/>
    </xf>
    <xf numFmtId="0" fontId="13" fillId="7" borderId="9" xfId="0" applyFont="1" applyFill="1" applyBorder="1" applyAlignment="1" applyProtection="1">
      <alignment vertical="center"/>
    </xf>
    <xf numFmtId="0" fontId="13" fillId="0" borderId="5" xfId="0" applyFont="1" applyFill="1" applyBorder="1" applyAlignment="1" applyProtection="1">
      <alignment horizontal="center"/>
    </xf>
    <xf numFmtId="164" fontId="15" fillId="10" borderId="5" xfId="0" applyNumberFormat="1" applyFont="1" applyFill="1" applyBorder="1" applyAlignment="1" applyProtection="1">
      <alignment horizontal="center" vertical="center"/>
      <protection locked="0"/>
    </xf>
    <xf numFmtId="164" fontId="15" fillId="10" borderId="7" xfId="0" applyNumberFormat="1" applyFont="1" applyFill="1" applyBorder="1" applyAlignment="1" applyProtection="1">
      <alignment horizontal="center" vertical="center"/>
    </xf>
    <xf numFmtId="166" fontId="13" fillId="10" borderId="0" xfId="0" applyNumberFormat="1" applyFont="1" applyFill="1" applyBorder="1" applyAlignment="1" applyProtection="1">
      <alignment vertical="center"/>
    </xf>
    <xf numFmtId="0" fontId="16" fillId="11" borderId="6" xfId="0" applyFont="1" applyFill="1" applyBorder="1" applyAlignment="1" applyProtection="1">
      <alignment vertical="center"/>
      <protection locked="0"/>
    </xf>
    <xf numFmtId="9" fontId="8" fillId="0" borderId="5" xfId="2" applyFont="1" applyBorder="1" applyAlignment="1" applyProtection="1">
      <alignment horizontal="center" vertical="center"/>
    </xf>
    <xf numFmtId="164" fontId="15" fillId="3" borderId="5" xfId="0" applyNumberFormat="1" applyFont="1" applyFill="1" applyBorder="1" applyAlignment="1" applyProtection="1">
      <alignment horizontal="center" vertical="center"/>
    </xf>
    <xf numFmtId="166" fontId="8" fillId="10" borderId="0" xfId="2" applyNumberFormat="1" applyFont="1" applyFill="1" applyBorder="1" applyAlignment="1" applyProtection="1">
      <alignment horizontal="center" vertical="center"/>
    </xf>
    <xf numFmtId="166" fontId="15" fillId="10" borderId="0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vertical="center"/>
    </xf>
    <xf numFmtId="0" fontId="5" fillId="0" borderId="6" xfId="0" applyFont="1" applyFill="1" applyBorder="1" applyAlignment="1" applyProtection="1">
      <alignment vertical="center"/>
    </xf>
    <xf numFmtId="9" fontId="6" fillId="5" borderId="5" xfId="2" applyFont="1" applyFill="1" applyBorder="1" applyAlignment="1" applyProtection="1">
      <alignment horizontal="center" vertical="center"/>
    </xf>
    <xf numFmtId="164" fontId="15" fillId="0" borderId="5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 applyProtection="1">
      <alignment horizontal="center" vertical="center"/>
    </xf>
    <xf numFmtId="0" fontId="5" fillId="7" borderId="6" xfId="0" applyFont="1" applyFill="1" applyBorder="1" applyAlignment="1" applyProtection="1">
      <alignment vertical="center"/>
    </xf>
    <xf numFmtId="164" fontId="5" fillId="7" borderId="10" xfId="0" applyNumberFormat="1" applyFont="1" applyFill="1" applyBorder="1" applyAlignment="1" applyProtection="1">
      <alignment vertical="center"/>
      <protection locked="0"/>
    </xf>
    <xf numFmtId="164" fontId="5" fillId="7" borderId="5" xfId="0" applyNumberFormat="1" applyFont="1" applyFill="1" applyBorder="1" applyAlignment="1" applyProtection="1">
      <alignment vertical="center"/>
      <protection locked="0"/>
    </xf>
    <xf numFmtId="166" fontId="5" fillId="10" borderId="0" xfId="0" applyNumberFormat="1" applyFont="1" applyFill="1" applyBorder="1" applyAlignment="1" applyProtection="1">
      <alignment vertical="center"/>
    </xf>
    <xf numFmtId="166" fontId="6" fillId="10" borderId="0" xfId="2" applyNumberFormat="1" applyFont="1" applyFill="1" applyBorder="1" applyAlignment="1" applyProtection="1">
      <alignment horizontal="center" vertical="center"/>
    </xf>
    <xf numFmtId="166" fontId="2" fillId="10" borderId="0" xfId="0" applyNumberFormat="1" applyFont="1" applyFill="1" applyBorder="1" applyAlignment="1" applyProtection="1">
      <alignment horizontal="center" vertical="center"/>
    </xf>
    <xf numFmtId="164" fontId="2" fillId="5" borderId="5" xfId="0" applyNumberFormat="1" applyFont="1" applyFill="1" applyBorder="1" applyAlignment="1" applyProtection="1">
      <alignment horizontal="center" vertical="center"/>
    </xf>
    <xf numFmtId="164" fontId="5" fillId="12" borderId="10" xfId="0" applyNumberFormat="1" applyFont="1" applyFill="1" applyBorder="1" applyAlignment="1" applyProtection="1">
      <alignment vertical="center"/>
    </xf>
    <xf numFmtId="164" fontId="5" fillId="12" borderId="5" xfId="0" applyNumberFormat="1" applyFont="1" applyFill="1" applyBorder="1" applyAlignment="1" applyProtection="1">
      <alignment vertical="center"/>
    </xf>
    <xf numFmtId="0" fontId="0" fillId="13" borderId="0" xfId="0" applyFill="1" applyProtection="1"/>
    <xf numFmtId="0" fontId="5" fillId="0" borderId="8" xfId="0" applyFont="1" applyFill="1" applyBorder="1" applyAlignment="1" applyProtection="1">
      <alignment horizontal="center" vertical="center"/>
    </xf>
    <xf numFmtId="9" fontId="0" fillId="0" borderId="10" xfId="2" applyFont="1" applyFill="1" applyBorder="1" applyAlignment="1" applyProtection="1">
      <alignment vertical="center"/>
    </xf>
    <xf numFmtId="164" fontId="17" fillId="9" borderId="5" xfId="0" applyNumberFormat="1" applyFont="1" applyFill="1" applyBorder="1" applyAlignment="1" applyProtection="1">
      <alignment horizontal="center" vertical="center"/>
    </xf>
    <xf numFmtId="164" fontId="17" fillId="9" borderId="7" xfId="0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0" fillId="14" borderId="12" xfId="0" applyFill="1" applyBorder="1" applyAlignment="1" applyProtection="1">
      <alignment horizontal="right"/>
    </xf>
    <xf numFmtId="0" fontId="0" fillId="14" borderId="0" xfId="0" applyFill="1" applyBorder="1" applyAlignment="1" applyProtection="1">
      <alignment horizontal="right"/>
    </xf>
    <xf numFmtId="166" fontId="0" fillId="10" borderId="0" xfId="2" applyNumberFormat="1" applyFont="1" applyFill="1" applyBorder="1" applyProtection="1"/>
    <xf numFmtId="166" fontId="17" fillId="10" borderId="0" xfId="0" applyNumberFormat="1" applyFont="1" applyFill="1" applyBorder="1" applyAlignment="1" applyProtection="1">
      <alignment horizontal="center" vertical="center"/>
    </xf>
    <xf numFmtId="0" fontId="0" fillId="14" borderId="13" xfId="0" applyFill="1" applyBorder="1" applyAlignment="1" applyProtection="1">
      <alignment horizontal="right"/>
    </xf>
    <xf numFmtId="166" fontId="0" fillId="10" borderId="0" xfId="0" applyNumberFormat="1" applyFill="1" applyBorder="1" applyProtection="1"/>
    <xf numFmtId="167" fontId="0" fillId="0" borderId="0" xfId="0" applyNumberFormat="1" applyProtection="1"/>
    <xf numFmtId="0" fontId="0" fillId="10" borderId="0" xfId="0" applyFill="1" applyBorder="1" applyProtection="1">
      <protection locked="0"/>
    </xf>
    <xf numFmtId="164" fontId="10" fillId="0" borderId="5" xfId="0" applyNumberFormat="1" applyFont="1" applyFill="1" applyBorder="1" applyAlignment="1" applyProtection="1">
      <alignment horizontal="center" vertical="center"/>
      <protection locked="0"/>
    </xf>
    <xf numFmtId="164" fontId="11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164" fontId="7" fillId="4" borderId="5" xfId="0" applyNumberFormat="1" applyFont="1" applyFill="1" applyBorder="1" applyAlignment="1" applyProtection="1">
      <alignment horizontal="center" vertical="center"/>
    </xf>
    <xf numFmtId="164" fontId="8" fillId="0" borderId="10" xfId="1" applyFont="1" applyFill="1" applyBorder="1" applyAlignment="1" applyProtection="1">
      <alignment horizontal="center" vertical="center"/>
    </xf>
    <xf numFmtId="164" fontId="8" fillId="0" borderId="2" xfId="1" applyFont="1" applyFill="1" applyBorder="1" applyAlignment="1" applyProtection="1">
      <alignment horizontal="center" vertical="center"/>
    </xf>
    <xf numFmtId="0" fontId="13" fillId="8" borderId="9" xfId="0" applyFont="1" applyFill="1" applyBorder="1" applyAlignment="1" applyProtection="1">
      <alignment horizontal="center" vertical="center"/>
    </xf>
    <xf numFmtId="0" fontId="13" fillId="8" borderId="6" xfId="0" applyFont="1" applyFill="1" applyBorder="1" applyAlignment="1" applyProtection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675441</xdr:colOff>
      <xdr:row>2</xdr:row>
      <xdr:rowOff>0</xdr:rowOff>
    </xdr:from>
    <xdr:ext cx="10906959" cy="78111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75441" y="0"/>
          <a:ext cx="10906959" cy="78111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4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Sinistre </a:t>
          </a:r>
          <a:r>
            <a:rPr lang="fr-FR" sz="44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4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3829050" cy="248851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753350" y="762000"/>
          <a:ext cx="3829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48851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753350" y="100965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247650</xdr:rowOff>
    </xdr:from>
    <xdr:ext cx="1912327" cy="248851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753350" y="125730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238125</xdr:rowOff>
    </xdr:from>
    <xdr:ext cx="1914525" cy="248851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753350" y="149542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9</xdr:row>
      <xdr:rowOff>238125</xdr:rowOff>
    </xdr:from>
    <xdr:ext cx="1914525" cy="248851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753350" y="174307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238125</xdr:rowOff>
    </xdr:from>
    <xdr:ext cx="1912327" cy="248851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753350" y="199072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</a:t>
          </a:r>
        </a:p>
      </xdr:txBody>
    </xdr:sp>
    <xdr:clientData/>
  </xdr:oneCellAnchor>
  <xdr:oneCellAnchor>
    <xdr:from>
      <xdr:col>5</xdr:col>
      <xdr:colOff>1</xdr:colOff>
      <xdr:row>6</xdr:row>
      <xdr:rowOff>0</xdr:rowOff>
    </xdr:from>
    <xdr:ext cx="1959428" cy="248851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29051" y="7620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5</xdr:col>
      <xdr:colOff>1960684</xdr:colOff>
      <xdr:row>6</xdr:row>
      <xdr:rowOff>0</xdr:rowOff>
    </xdr:from>
    <xdr:ext cx="1966545" cy="248851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789734" y="762000"/>
          <a:ext cx="196654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1</xdr:colOff>
      <xdr:row>6</xdr:row>
      <xdr:rowOff>5</xdr:rowOff>
    </xdr:from>
    <xdr:ext cx="782515" cy="248851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048001" y="762005"/>
          <a:ext cx="78251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3</xdr:col>
      <xdr:colOff>5864</xdr:colOff>
      <xdr:row>7</xdr:row>
      <xdr:rowOff>0</xdr:rowOff>
    </xdr:from>
    <xdr:ext cx="1947923" cy="248851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01239" y="1009650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FOURNITURES/Année</a:t>
          </a:r>
        </a:p>
      </xdr:txBody>
    </xdr:sp>
    <xdr:clientData/>
  </xdr:oneCellAnchor>
  <xdr:oneCellAnchor>
    <xdr:from>
      <xdr:col>3</xdr:col>
      <xdr:colOff>5864</xdr:colOff>
      <xdr:row>7</xdr:row>
      <xdr:rowOff>244760</xdr:rowOff>
    </xdr:from>
    <xdr:ext cx="1947923" cy="248851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101239" y="1254410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Main d'oeuvre</a:t>
          </a:r>
        </a:p>
      </xdr:txBody>
    </xdr:sp>
    <xdr:clientData/>
  </xdr:oneCellAnchor>
  <xdr:oneCellAnchor>
    <xdr:from>
      <xdr:col>3</xdr:col>
      <xdr:colOff>5864</xdr:colOff>
      <xdr:row>8</xdr:row>
      <xdr:rowOff>244759</xdr:rowOff>
    </xdr:from>
    <xdr:ext cx="1947923" cy="248851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101239" y="1502059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PEINTURE</a:t>
          </a:r>
        </a:p>
      </xdr:txBody>
    </xdr:sp>
    <xdr:clientData/>
  </xdr:oneCellAnchor>
  <xdr:oneCellAnchor>
    <xdr:from>
      <xdr:col>3</xdr:col>
      <xdr:colOff>5874</xdr:colOff>
      <xdr:row>10</xdr:row>
      <xdr:rowOff>635</xdr:rowOff>
    </xdr:from>
    <xdr:ext cx="1946751" cy="248851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101249" y="1753235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BDG</a:t>
          </a:r>
        </a:p>
      </xdr:txBody>
    </xdr:sp>
    <xdr:clientData/>
  </xdr:oneCellAnchor>
  <xdr:oneCellAnchor>
    <xdr:from>
      <xdr:col>3</xdr:col>
      <xdr:colOff>5874</xdr:colOff>
      <xdr:row>11</xdr:row>
      <xdr:rowOff>742</xdr:rowOff>
    </xdr:from>
    <xdr:ext cx="1946751" cy="24885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101249" y="2000992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PNEU</a:t>
          </a:r>
        </a:p>
      </xdr:txBody>
    </xdr:sp>
    <xdr:clientData/>
  </xdr:oneCellAnchor>
  <xdr:oneCellAnchor>
    <xdr:from>
      <xdr:col>3</xdr:col>
      <xdr:colOff>5195</xdr:colOff>
      <xdr:row>12</xdr:row>
      <xdr:rowOff>742</xdr:rowOff>
    </xdr:from>
    <xdr:ext cx="1947430" cy="248851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100570" y="2248642"/>
          <a:ext cx="194743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</a:t>
          </a:r>
        </a:p>
      </xdr:txBody>
    </xdr:sp>
    <xdr:clientData/>
  </xdr:oneCellAnchor>
  <xdr:oneCellAnchor>
    <xdr:from>
      <xdr:col>3</xdr:col>
      <xdr:colOff>5443</xdr:colOff>
      <xdr:row>12</xdr:row>
      <xdr:rowOff>244759</xdr:rowOff>
    </xdr:from>
    <xdr:ext cx="1948543" cy="248851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100818" y="2492659"/>
          <a:ext cx="194854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 sur pneumatique</a:t>
          </a:r>
        </a:p>
      </xdr:txBody>
    </xdr:sp>
    <xdr:clientData/>
  </xdr:oneCellAnchor>
  <xdr:oneCellAnchor>
    <xdr:from>
      <xdr:col>3</xdr:col>
      <xdr:colOff>6798</xdr:colOff>
      <xdr:row>13</xdr:row>
      <xdr:rowOff>245432</xdr:rowOff>
    </xdr:from>
    <xdr:ext cx="6653513" cy="248851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102173" y="2740982"/>
          <a:ext cx="665351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3205</xdr:colOff>
      <xdr:row>15</xdr:row>
      <xdr:rowOff>681</xdr:rowOff>
    </xdr:from>
    <xdr:ext cx="1959428" cy="248851"/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98580" y="299153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3205</xdr:colOff>
      <xdr:row>16</xdr:row>
      <xdr:rowOff>681</xdr:rowOff>
    </xdr:from>
    <xdr:ext cx="1959428" cy="24885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98580" y="323918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3</xdr:col>
      <xdr:colOff>1332</xdr:colOff>
      <xdr:row>17</xdr:row>
      <xdr:rowOff>681</xdr:rowOff>
    </xdr:from>
    <xdr:ext cx="2736006" cy="24885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96707" y="3486831"/>
          <a:ext cx="27360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21</xdr:row>
      <xdr:rowOff>2222</xdr:rowOff>
    </xdr:from>
    <xdr:ext cx="1956109" cy="248851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95375" y="4478972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1394</xdr:rowOff>
    </xdr:from>
    <xdr:ext cx="1956109" cy="248851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95375" y="4725794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immobilisation</a:t>
          </a:r>
        </a:p>
      </xdr:txBody>
    </xdr:sp>
    <xdr:clientData/>
  </xdr:oneCellAnchor>
  <xdr:oneCellAnchor>
    <xdr:from>
      <xdr:col>7</xdr:col>
      <xdr:colOff>0</xdr:colOff>
      <xdr:row>11</xdr:row>
      <xdr:rowOff>240821</xdr:rowOff>
    </xdr:from>
    <xdr:ext cx="3829050" cy="254479"/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7753350" y="2241071"/>
          <a:ext cx="3829050" cy="25447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  <xdr:oneCellAnchor>
    <xdr:from>
      <xdr:col>3</xdr:col>
      <xdr:colOff>9525</xdr:colOff>
      <xdr:row>25</xdr:row>
      <xdr:rowOff>2833</xdr:rowOff>
    </xdr:from>
    <xdr:ext cx="2724150" cy="248851"/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04900" y="5470183"/>
          <a:ext cx="2724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9"/>
  <sheetViews>
    <sheetView tabSelected="1" topLeftCell="C3" workbookViewId="0">
      <selection activeCell="F9" sqref="F9"/>
    </sheetView>
  </sheetViews>
  <sheetFormatPr baseColWidth="10" defaultColWidth="11.42578125" defaultRowHeight="15" customHeight="1" zeroHeight="1" x14ac:dyDescent="0.25"/>
  <cols>
    <col min="1" max="1" width="16.42578125" style="1" hidden="1" customWidth="1"/>
    <col min="2" max="2" width="11" style="2" hidden="1" customWidth="1"/>
    <col min="3" max="3" width="16.42578125" style="3" customWidth="1"/>
    <col min="4" max="4" width="29.28515625" style="2" customWidth="1"/>
    <col min="5" max="5" width="11.7109375" style="2" customWidth="1"/>
    <col min="6" max="7" width="29.42578125" style="2" customWidth="1"/>
    <col min="8" max="9" width="28.7109375" style="2" customWidth="1"/>
    <col min="10" max="10" width="16.5703125" style="2" customWidth="1"/>
    <col min="11" max="11" width="17.5703125" style="2" bestFit="1" customWidth="1"/>
    <col min="12" max="12" width="11.42578125" style="2" customWidth="1"/>
    <col min="13" max="13" width="26.85546875" style="2" customWidth="1"/>
    <col min="14" max="14" width="11.42578125" style="2" customWidth="1"/>
    <col min="15" max="15" width="22.140625" style="2" customWidth="1"/>
    <col min="16" max="16" width="21.42578125" style="2" customWidth="1"/>
    <col min="17" max="18" width="11.42578125" style="2" customWidth="1"/>
    <col min="19" max="19" width="14.28515625" style="2" customWidth="1"/>
    <col min="20" max="20" width="18.85546875" style="2" customWidth="1"/>
    <col min="21" max="16383" width="11.42578125" style="2"/>
    <col min="16384" max="16384" width="13.5703125" style="2" customWidth="1"/>
  </cols>
  <sheetData>
    <row r="1" spans="1:16" hidden="1" x14ac:dyDescent="0.25"/>
    <row r="2" spans="1:16" ht="9" hidden="1" customHeight="1" x14ac:dyDescent="0.25"/>
    <row r="3" spans="1:16" ht="15" customHeight="1" x14ac:dyDescent="0.25">
      <c r="C3" s="80"/>
      <c r="D3" s="80"/>
      <c r="E3" s="80"/>
      <c r="F3" s="80"/>
      <c r="G3" s="80"/>
      <c r="H3" s="80"/>
      <c r="I3" s="80"/>
      <c r="J3" s="80"/>
      <c r="K3" s="2" t="s">
        <v>34</v>
      </c>
      <c r="L3" s="2" t="s">
        <v>40</v>
      </c>
    </row>
    <row r="4" spans="1:16" ht="15" customHeight="1" x14ac:dyDescent="0.25">
      <c r="C4" s="80"/>
      <c r="D4" s="80"/>
      <c r="E4" s="80"/>
      <c r="F4" s="80"/>
      <c r="G4" s="80"/>
      <c r="H4" s="80"/>
      <c r="I4" s="80"/>
      <c r="J4" s="80"/>
      <c r="K4" t="s">
        <v>35</v>
      </c>
      <c r="L4" s="2">
        <v>200000</v>
      </c>
    </row>
    <row r="5" spans="1:16" ht="15" customHeight="1" x14ac:dyDescent="0.25">
      <c r="C5" s="80"/>
      <c r="D5" s="80"/>
      <c r="E5" s="80"/>
      <c r="F5" s="80"/>
      <c r="G5" s="80"/>
      <c r="H5" s="80"/>
      <c r="I5" s="80"/>
      <c r="J5" s="80"/>
      <c r="K5" t="s">
        <v>36</v>
      </c>
      <c r="L5" s="2">
        <v>400000</v>
      </c>
    </row>
    <row r="6" spans="1:16" ht="15" customHeight="1" x14ac:dyDescent="0.25">
      <c r="C6" s="80"/>
      <c r="D6" s="80"/>
      <c r="E6" s="80"/>
      <c r="F6" s="80"/>
      <c r="G6" s="80"/>
      <c r="H6" s="80"/>
      <c r="I6" s="80"/>
      <c r="J6" s="80"/>
      <c r="K6" t="s">
        <v>37</v>
      </c>
      <c r="L6" s="2">
        <v>600000</v>
      </c>
    </row>
    <row r="7" spans="1:16" x14ac:dyDescent="0.25">
      <c r="C7" s="80"/>
      <c r="D7" s="77" t="s">
        <v>35</v>
      </c>
      <c r="E7" s="4" t="s">
        <v>0</v>
      </c>
      <c r="F7" s="5" t="s">
        <v>1</v>
      </c>
      <c r="G7" s="5" t="s">
        <v>2</v>
      </c>
      <c r="H7" s="81"/>
      <c r="I7" s="82"/>
      <c r="J7" s="80"/>
      <c r="K7" t="s">
        <v>38</v>
      </c>
      <c r="L7" s="2">
        <v>800000</v>
      </c>
    </row>
    <row r="8" spans="1:16" ht="15.75" x14ac:dyDescent="0.25">
      <c r="C8" s="80"/>
      <c r="D8" s="6" t="s">
        <v>3</v>
      </c>
      <c r="E8" s="7">
        <v>2019</v>
      </c>
      <c r="F8" s="8">
        <v>111</v>
      </c>
      <c r="G8" s="9">
        <f>IF(E8&gt;2018,F8/1.19,F8/1.17)</f>
        <v>93.277310924369758</v>
      </c>
      <c r="H8" s="10"/>
      <c r="I8" s="11"/>
      <c r="J8" s="80"/>
      <c r="K8" t="s">
        <v>39</v>
      </c>
      <c r="L8" s="15">
        <v>1000000</v>
      </c>
    </row>
    <row r="9" spans="1:16" ht="15.75" x14ac:dyDescent="0.25">
      <c r="C9" s="80"/>
      <c r="D9" s="12" t="s">
        <v>4</v>
      </c>
      <c r="E9" s="13"/>
      <c r="F9" s="14"/>
      <c r="G9" s="9">
        <f>F9</f>
        <v>0</v>
      </c>
      <c r="H9" s="10"/>
      <c r="I9" s="11"/>
      <c r="J9" s="80"/>
      <c r="M9" s="15"/>
      <c r="N9" s="15"/>
      <c r="O9" s="15" t="s">
        <v>5</v>
      </c>
      <c r="P9" s="15"/>
    </row>
    <row r="10" spans="1:16" ht="15.75" x14ac:dyDescent="0.25">
      <c r="C10" s="80"/>
      <c r="D10" s="12" t="s">
        <v>6</v>
      </c>
      <c r="E10" s="16"/>
      <c r="F10" s="14"/>
      <c r="G10" s="9">
        <f>F10</f>
        <v>0</v>
      </c>
      <c r="H10" s="17"/>
      <c r="I10" s="11"/>
      <c r="J10" s="80"/>
      <c r="M10" s="15" t="s">
        <v>7</v>
      </c>
      <c r="N10" s="15" t="s">
        <v>8</v>
      </c>
      <c r="O10" s="15" t="s">
        <v>7</v>
      </c>
      <c r="P10" s="15">
        <v>0.15</v>
      </c>
    </row>
    <row r="11" spans="1:16" ht="15.75" x14ac:dyDescent="0.25">
      <c r="A11" s="18"/>
      <c r="C11" s="80"/>
      <c r="D11" s="12" t="s">
        <v>9</v>
      </c>
      <c r="E11" s="16"/>
      <c r="F11" s="19">
        <f>I12</f>
        <v>0</v>
      </c>
      <c r="G11" s="20">
        <f>F11/1.19</f>
        <v>0</v>
      </c>
      <c r="H11" s="21"/>
      <c r="I11" s="22"/>
      <c r="J11" s="80"/>
      <c r="K11" s="76"/>
      <c r="M11" s="15" t="s">
        <v>10</v>
      </c>
      <c r="N11" s="15" t="s">
        <v>11</v>
      </c>
      <c r="O11" s="15" t="s">
        <v>10</v>
      </c>
      <c r="P11" s="15">
        <v>0.25</v>
      </c>
    </row>
    <row r="12" spans="1:16" ht="15.75" x14ac:dyDescent="0.25">
      <c r="A12" s="18"/>
      <c r="C12" s="80"/>
      <c r="D12" s="12" t="s">
        <v>12</v>
      </c>
      <c r="E12" s="16"/>
      <c r="F12" s="23"/>
      <c r="G12" s="24">
        <f>F12/1.19</f>
        <v>0</v>
      </c>
      <c r="H12" s="25"/>
      <c r="I12" s="26">
        <f>SUM(I8:I11)</f>
        <v>0</v>
      </c>
      <c r="J12" s="80"/>
      <c r="M12" s="15" t="s">
        <v>13</v>
      </c>
      <c r="N12" s="15" t="s">
        <v>14</v>
      </c>
      <c r="O12" s="15" t="s">
        <v>13</v>
      </c>
      <c r="P12" s="15"/>
    </row>
    <row r="13" spans="1:16" ht="15.75" x14ac:dyDescent="0.25">
      <c r="C13" s="80"/>
      <c r="D13" s="27" t="s">
        <v>15</v>
      </c>
      <c r="E13" s="28">
        <v>0.2</v>
      </c>
      <c r="F13" s="78"/>
      <c r="G13" s="30">
        <f>F13/1.19</f>
        <v>0</v>
      </c>
      <c r="H13" s="83"/>
      <c r="I13" s="83"/>
      <c r="J13" s="80"/>
      <c r="M13" s="15"/>
      <c r="N13" s="15"/>
      <c r="O13" s="15" t="s">
        <v>16</v>
      </c>
      <c r="P13" s="15"/>
    </row>
    <row r="14" spans="1:16" ht="15.75" x14ac:dyDescent="0.25">
      <c r="C14" s="80"/>
      <c r="D14" s="27" t="s">
        <v>17</v>
      </c>
      <c r="E14" s="28">
        <v>0.25</v>
      </c>
      <c r="F14" s="79"/>
      <c r="G14" s="30">
        <f>F14/1.19</f>
        <v>0</v>
      </c>
      <c r="H14" s="31"/>
      <c r="I14" s="31"/>
      <c r="J14" s="80"/>
      <c r="M14" s="15"/>
      <c r="N14" s="15"/>
      <c r="O14" s="15" t="s">
        <v>18</v>
      </c>
      <c r="P14" s="15"/>
    </row>
    <row r="15" spans="1:16" ht="15.75" x14ac:dyDescent="0.25">
      <c r="C15" s="80"/>
      <c r="D15" s="32" t="s">
        <v>19</v>
      </c>
      <c r="E15" s="33"/>
      <c r="F15" s="34"/>
      <c r="G15" s="35"/>
      <c r="H15" s="31"/>
      <c r="I15" s="31"/>
      <c r="J15" s="80"/>
      <c r="M15" s="15"/>
      <c r="N15" s="15"/>
      <c r="O15" s="15" t="s">
        <v>20</v>
      </c>
      <c r="P15" s="15"/>
    </row>
    <row r="16" spans="1:16" ht="15.75" x14ac:dyDescent="0.25">
      <c r="C16" s="80"/>
      <c r="D16" s="36" t="s">
        <v>21</v>
      </c>
      <c r="E16" s="84" t="str">
        <f>IF(ISERROR(F16*100/F17)-100,"",F16*100/F17-100)</f>
        <v/>
      </c>
      <c r="F16" s="37"/>
      <c r="G16" s="38">
        <f>F16</f>
        <v>0</v>
      </c>
      <c r="H16" s="31"/>
      <c r="I16" s="31"/>
      <c r="J16" s="80"/>
      <c r="M16" s="15"/>
      <c r="N16" s="15"/>
      <c r="O16" s="15" t="s">
        <v>22</v>
      </c>
      <c r="P16" s="15"/>
    </row>
    <row r="17" spans="2:20" ht="15.75" x14ac:dyDescent="0.25">
      <c r="C17" s="80"/>
      <c r="D17" s="36" t="s">
        <v>23</v>
      </c>
      <c r="E17" s="85"/>
      <c r="F17" s="37"/>
      <c r="G17" s="38">
        <f>F17</f>
        <v>0</v>
      </c>
      <c r="H17" s="31"/>
      <c r="I17" s="31"/>
      <c r="J17" s="80"/>
      <c r="M17" s="15"/>
      <c r="N17" s="15"/>
      <c r="O17" s="15" t="s">
        <v>24</v>
      </c>
      <c r="P17" s="15"/>
    </row>
    <row r="18" spans="2:20" ht="18.75" x14ac:dyDescent="0.25">
      <c r="C18" s="80"/>
      <c r="D18" s="86" t="s">
        <v>25</v>
      </c>
      <c r="E18" s="87"/>
      <c r="F18" s="39">
        <f>MIN(VLOOKUP(D7,K3:L8,2),(F8+F9+F10)-(ROUND(F13,2)+ROUND(F14,2)))</f>
        <v>111</v>
      </c>
      <c r="G18" s="39">
        <f>(G8+G9+G10)-(ROUND(G13,2)+ROUND(G14,2))</f>
        <v>93.277310924369758</v>
      </c>
      <c r="H18" s="31"/>
      <c r="I18" s="31"/>
      <c r="J18" s="80"/>
      <c r="M18" s="15"/>
      <c r="N18" s="15"/>
      <c r="O18" s="15" t="s">
        <v>26</v>
      </c>
      <c r="P18" s="15"/>
    </row>
    <row r="19" spans="2:20" ht="15.75" x14ac:dyDescent="0.25">
      <c r="C19" s="80"/>
      <c r="D19" s="40" t="s">
        <v>27</v>
      </c>
      <c r="E19" s="41"/>
      <c r="F19" s="42"/>
      <c r="G19" s="43">
        <f>F19</f>
        <v>0</v>
      </c>
      <c r="H19" s="31"/>
      <c r="I19" s="31"/>
      <c r="J19" s="80"/>
      <c r="M19" s="15"/>
      <c r="N19" s="15"/>
      <c r="O19" s="15" t="s">
        <v>28</v>
      </c>
      <c r="P19" s="15"/>
    </row>
    <row r="20" spans="2:20" ht="15.75" x14ac:dyDescent="0.25">
      <c r="B20" s="18"/>
      <c r="C20" s="80"/>
      <c r="D20" s="40" t="s">
        <v>29</v>
      </c>
      <c r="E20" s="41"/>
      <c r="F20" s="42"/>
      <c r="G20" s="43">
        <f>F20</f>
        <v>0</v>
      </c>
      <c r="H20" s="31"/>
      <c r="I20" s="31"/>
      <c r="J20" s="80"/>
      <c r="M20" s="44" t="s">
        <v>5</v>
      </c>
      <c r="N20" s="15"/>
      <c r="O20" s="2" t="s">
        <v>30</v>
      </c>
    </row>
    <row r="21" spans="2:20" ht="15.75" x14ac:dyDescent="0.25">
      <c r="B21" s="18"/>
      <c r="C21" s="80"/>
      <c r="D21" s="45" t="s">
        <v>5</v>
      </c>
      <c r="E21" s="46" t="str">
        <f>IFERROR(VLOOKUP(D21,$O$10:$P$11,2,0),"")</f>
        <v/>
      </c>
      <c r="F21" s="47" t="e">
        <f>IF($D$21="S /Total REG PRP Capitaux",ROUND((F18*F16),2)/F17,IF($D$21="Sous total REG Prp Usage",ROUND((F18*F19),2)/F20,IF(OR($D$21="Sous total REG Prp Permis",$D$21="Sous total REG Prp AGE"),ROUND((F18*F19),2)/ROUND((F19*E21+F19),2),0)))</f>
        <v>#DIV/0!</v>
      </c>
      <c r="G21" s="47">
        <f>IF(OR(G19&gt;0,(G16&gt;0)),IFERROR(IF($D$21="S /Total REG PRP Capitaux",ROUND((G18*G16),2)/G17,IF($D$21="Sous total REG Prp Usage",ROUND((G18*G19),2)/G20,IF(OR($D$21="Sous total REG Prp Permis",$D$21="Sous total REG Prp AGE"),ROUND((G18*G19),2)/ROUND((G19*F21+G19),2),0))),"0"),0)</f>
        <v>0</v>
      </c>
      <c r="H21" s="31"/>
      <c r="I21" s="31"/>
      <c r="J21" s="80"/>
      <c r="M21" s="44" t="s">
        <v>7</v>
      </c>
      <c r="N21" s="48">
        <v>0.15</v>
      </c>
      <c r="O21" s="49" t="str">
        <f>IFERROR((F18*F19)/((ROUND(F20,2))),"")</f>
        <v/>
      </c>
      <c r="P21" s="49" t="str">
        <f>IFERROR((G24-G22)*G18/(G19+(ROUND(G19*F21,2))),"")</f>
        <v/>
      </c>
    </row>
    <row r="22" spans="2:20" ht="15.75" x14ac:dyDescent="0.25">
      <c r="C22" s="80"/>
      <c r="D22" s="50" t="s">
        <v>31</v>
      </c>
      <c r="E22" s="28">
        <v>0.1</v>
      </c>
      <c r="F22" s="29">
        <f>(F18 * E22)</f>
        <v>11.100000000000001</v>
      </c>
      <c r="G22" s="30">
        <f>(G18 * E22)</f>
        <v>9.3277310924369754</v>
      </c>
      <c r="H22" s="31"/>
      <c r="I22" s="31"/>
      <c r="J22" s="80"/>
      <c r="M22" s="44" t="s">
        <v>10</v>
      </c>
      <c r="N22" s="48">
        <v>0.25</v>
      </c>
      <c r="O22" s="49" t="str">
        <f>IFERROR((F18)*F19/(ROUND(F20,2)),"")</f>
        <v/>
      </c>
      <c r="P22" s="49" t="str">
        <f>IFERROR((G23-G18)*G19/(G19+ROUND(G19*#REF!,2)),"")</f>
        <v/>
      </c>
    </row>
    <row r="23" spans="2:20" ht="15.75" x14ac:dyDescent="0.25">
      <c r="C23" s="80"/>
      <c r="D23" s="51" t="s">
        <v>32</v>
      </c>
      <c r="E23" s="52"/>
      <c r="F23" s="53"/>
      <c r="G23" s="54">
        <f>F23</f>
        <v>0</v>
      </c>
      <c r="H23" s="31"/>
      <c r="I23" s="31"/>
      <c r="J23" s="80"/>
      <c r="M23" s="44" t="s">
        <v>13</v>
      </c>
      <c r="N23" s="48"/>
      <c r="O23" s="49"/>
      <c r="P23" s="49"/>
    </row>
    <row r="24" spans="2:20" ht="15.75" x14ac:dyDescent="0.25">
      <c r="C24" s="80"/>
      <c r="D24" s="55" t="str">
        <f>IFERROR(INDEX($O$9:$O$20,MATCH($D$21,$O$9:$O$20,0)+4),"")</f>
        <v>Montant Rpr Usage</v>
      </c>
      <c r="E24" s="52"/>
      <c r="F24" s="19" t="e">
        <f>IF(F21&gt;0,IFERROR(IF($D$24="Montant Rpr Usage",F18-F21,IF($D$24="Montant Rpr Capitaux",F18-F21,IF(OR($D$24="Montant Rpr Permis",$D$24="Montant Rpr Âge"),(F18-F21),0))),""),"")</f>
        <v>#DIV/0!</v>
      </c>
      <c r="G24" s="19" t="str">
        <f>IF(G21&gt;0,IFERROR(IF($D$24="Montant Rpr Usage",G18-G21,IF($D$24="Montant Rpr Capitaux",G18-G21,IF(OR($D$24="Montant Rpr Permis",$D$24="Montant Rpr Âge"),(G18-G21),0))),""),"")</f>
        <v/>
      </c>
      <c r="H24" s="56"/>
      <c r="I24" s="57"/>
      <c r="J24" s="80"/>
      <c r="M24" s="58" t="s">
        <v>18</v>
      </c>
      <c r="N24" s="59"/>
      <c r="O24" s="60">
        <f>(F16-F22)+F18</f>
        <v>99.9</v>
      </c>
      <c r="P24" s="60">
        <f>(G16-G22)+G18</f>
        <v>83.94957983193278</v>
      </c>
      <c r="S24" s="18"/>
      <c r="T24" s="18"/>
    </row>
    <row r="25" spans="2:20" ht="15.75" x14ac:dyDescent="0.25">
      <c r="C25" s="80"/>
      <c r="D25" s="55" t="str">
        <f>IFERROR(INDEX($O$9:$O$20,MATCH($D$21,$O$9:$O$20,0)+8),"")</f>
        <v>Total à payer Rpr Usage</v>
      </c>
      <c r="E25" s="52"/>
      <c r="F25" s="61" t="e">
        <f>IF(F21&gt;0,IFERROR(IF($D$25="Total à payer Rpr Usage",F21-F22+F23,IF($D$25="Total à payer Rpr Capitaux",F21-F22+F23,IF(OR($D$25="Total à payer Rpr Âge",$D$25="Total à payer Rpr Permis"),(F21-F22+F23),0))),""),"")</f>
        <v>#DIV/0!</v>
      </c>
      <c r="G25" s="61" t="str">
        <f>IF(G21&gt;0,IFERROR(IF($D$25="Total à payer Rpr Usage",G21-G22+G23,IF($D$25="Total à payer Rpr Capitaux",G21-G22+G23,IF(OR($D$25="Total à payer Rpr Âge",$D$25="Total à payer Rpr Permis"),(G21-G22+G23),0))),""),"")</f>
        <v/>
      </c>
      <c r="H25" s="62">
        <f>SUM(H14:H24)</f>
        <v>0</v>
      </c>
      <c r="I25" s="63">
        <f>SUM(I14:I24)</f>
        <v>0</v>
      </c>
      <c r="J25" s="80"/>
      <c r="M25" s="58" t="s">
        <v>20</v>
      </c>
      <c r="N25" s="59"/>
      <c r="O25" s="60">
        <f>(F18-F22)+F19</f>
        <v>99.9</v>
      </c>
      <c r="P25" s="60">
        <f>(G18-G22)+G19</f>
        <v>83.94957983193278</v>
      </c>
      <c r="S25" s="64"/>
    </row>
    <row r="26" spans="2:20" ht="19.5" thickBot="1" x14ac:dyDescent="0.3">
      <c r="C26" s="80"/>
      <c r="D26" s="65" t="s">
        <v>33</v>
      </c>
      <c r="E26" s="66"/>
      <c r="F26" s="67">
        <f>IFERROR(F18-F22+F23,"")</f>
        <v>99.9</v>
      </c>
      <c r="G26" s="68">
        <f>IFERROR(G18-G22+G23,"")</f>
        <v>83.94957983193278</v>
      </c>
      <c r="H26" s="69"/>
      <c r="I26" s="69"/>
      <c r="J26" s="80"/>
      <c r="M26" s="58" t="s">
        <v>22</v>
      </c>
      <c r="N26" s="59"/>
      <c r="O26" s="60" t="str">
        <f>IFERROR(F18-F21,"")</f>
        <v/>
      </c>
      <c r="P26" s="60">
        <f>IFERROR(G18-G21,"")</f>
        <v>93.277310924369758</v>
      </c>
      <c r="S26" s="64"/>
    </row>
    <row r="27" spans="2:20" ht="18.75" x14ac:dyDescent="0.25">
      <c r="C27" s="80"/>
      <c r="D27" s="70"/>
      <c r="E27" s="70"/>
      <c r="F27" s="71"/>
      <c r="G27" s="71"/>
      <c r="H27" s="69"/>
      <c r="I27" s="69"/>
      <c r="J27" s="80"/>
      <c r="M27" s="58" t="s">
        <v>26</v>
      </c>
      <c r="N27" s="72"/>
      <c r="O27" s="73" t="str">
        <f>IF(ISERROR(F18-F21+F22-F23),"",F18-F21+F22-F23)</f>
        <v/>
      </c>
      <c r="P27" s="73">
        <f>IF(ISERROR(G18-G21+G22-G23),"",G18-G21+G22-G23)</f>
        <v>102.60504201680673</v>
      </c>
      <c r="S27" s="64"/>
    </row>
    <row r="28" spans="2:20" ht="19.5" thickBot="1" x14ac:dyDescent="0.3">
      <c r="C28" s="80"/>
      <c r="D28" s="74"/>
      <c r="E28" s="74"/>
      <c r="F28" s="74"/>
      <c r="G28" s="74"/>
      <c r="H28" s="69"/>
      <c r="I28" s="69"/>
      <c r="J28" s="80"/>
      <c r="M28" s="58" t="s">
        <v>28</v>
      </c>
      <c r="N28" s="72"/>
      <c r="O28" s="73" t="str">
        <f>IF(ISERROR(F16-F22+F23-F25),"",F16-F22+F23-F25)</f>
        <v/>
      </c>
      <c r="P28" s="73" t="str">
        <f>IF(ISERROR(G16-G22+G23-G25),"",G16-G22+G23-G25)</f>
        <v/>
      </c>
      <c r="S28" s="64"/>
    </row>
    <row r="29" spans="2:20" ht="18.75" x14ac:dyDescent="0.25">
      <c r="M29" s="58" t="s">
        <v>30</v>
      </c>
      <c r="N29" s="75"/>
      <c r="O29" s="73">
        <f>F16-F22+F23-F26</f>
        <v>-111</v>
      </c>
      <c r="P29" s="73">
        <f>G16-G22+G23-G26</f>
        <v>-93.277310924369758</v>
      </c>
    </row>
  </sheetData>
  <sheetProtection algorithmName="SHA-512" hashValue="Zw4NGPctwR/BWXtNs2HzntSimEFvuww984j8JyfWEzrzCFaddMMUXdEwYpPXu7LHrFDhfCn/NdQTQZXshCP4LQ==" saltValue="dFyxwztPrt4juprbev2moQ==" spinCount="100000" sheet="1" objects="1" scenarios="1" selectLockedCells="1"/>
  <mergeCells count="7">
    <mergeCell ref="C3:C28"/>
    <mergeCell ref="D3:I6"/>
    <mergeCell ref="J3:J28"/>
    <mergeCell ref="H7:I7"/>
    <mergeCell ref="H13:I13"/>
    <mergeCell ref="E16:E17"/>
    <mergeCell ref="D18:E18"/>
  </mergeCells>
  <conditionalFormatting sqref="E13">
    <cfRule type="dataBar" priority="6">
      <dataBar>
        <cfvo type="min"/>
        <cfvo type="max"/>
        <color rgb="FF638EC6"/>
      </dataBar>
    </cfRule>
  </conditionalFormatting>
  <conditionalFormatting sqref="E14:E15">
    <cfRule type="dataBar" priority="5">
      <dataBar>
        <cfvo type="min"/>
        <cfvo type="max"/>
        <color rgb="FF638EC6"/>
      </dataBar>
    </cfRule>
  </conditionalFormatting>
  <conditionalFormatting sqref="E13:E15">
    <cfRule type="dataBar" priority="4">
      <dataBar>
        <cfvo type="min"/>
        <cfvo type="max"/>
        <color rgb="FFFFB628"/>
      </dataBar>
    </cfRule>
  </conditionalFormatting>
  <conditionalFormatting sqref="E22">
    <cfRule type="dataBar" priority="3">
      <dataBar>
        <cfvo type="min"/>
        <cfvo type="max"/>
        <color rgb="FFFF555A"/>
      </dataBar>
    </cfRule>
  </conditionalFormatting>
  <conditionalFormatting sqref="N23">
    <cfRule type="dataBar" priority="2">
      <dataBar>
        <cfvo type="min"/>
        <cfvo type="max"/>
        <color rgb="FF63C384"/>
      </dataBar>
    </cfRule>
  </conditionalFormatting>
  <conditionalFormatting sqref="E16:E17">
    <cfRule type="dataBar" priority="1">
      <dataBar>
        <cfvo type="min"/>
        <cfvo type="max"/>
        <color rgb="FFFF555A"/>
      </dataBar>
    </cfRule>
  </conditionalFormatting>
  <conditionalFormatting sqref="E21">
    <cfRule type="dataBar" priority="7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21" xr:uid="{00000000-0002-0000-0000-000000000000}">
      <formula1>$M$20:$M$23</formula1>
    </dataValidation>
    <dataValidation type="list" allowBlank="1" showInputMessage="1" showErrorMessage="1" sqref="D7" xr:uid="{00000000-0002-0000-0000-000001000000}">
      <formula1>$K$3:$K$8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Base_Sinistre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Yves</cp:lastModifiedBy>
  <dcterms:created xsi:type="dcterms:W3CDTF">2020-01-31T16:07:29Z</dcterms:created>
  <dcterms:modified xsi:type="dcterms:W3CDTF">2020-02-01T17:44:48Z</dcterms:modified>
</cp:coreProperties>
</file>