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6F966DA-0502-4208-8BE3-FA4B7901FEC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s" sheetId="3" r:id="rId1"/>
    <sheet name="Maquette" sheetId="1" r:id="rId2"/>
  </sheets>
  <definedNames>
    <definedName name="_xlnm._FilterDatabase" localSheetId="0" hidden="1">Tables!$AB$23:$AB$592</definedName>
    <definedName name="annee">#REF!</definedName>
    <definedName name="ANNEEN1">Maquette!$S$6:$U$6</definedName>
    <definedName name="Arborescence">Tables!$L$6:$U$700</definedName>
    <definedName name="EXCERCICE">#REF!</definedName>
    <definedName name="INDICATEURS">Maquette!$C$52:$C$220</definedName>
    <definedName name="mois">#REF!</definedName>
    <definedName name="periode">Tables!$A$6:$J$20</definedName>
    <definedName name="Plage_de_formules">#REF!</definedName>
    <definedName name="SAISIEPREVM1">Maquette!$AN$52:$AN$220</definedName>
    <definedName name="SAISIEPREVM2">Maquette!$AX$52:$AX$220</definedName>
    <definedName name="SAISIEPREVM3">Maquette!$BG$52:$BG$220</definedName>
    <definedName name="TBCA">#REF!</definedName>
    <definedName name="TBCHISTORIQUE">#REF!</definedName>
    <definedName name="VALIDATION_P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7" i="1" l="1"/>
  <c r="E87" i="1" l="1"/>
  <c r="B50" i="1" l="1"/>
  <c r="N7" i="1"/>
  <c r="J7" i="1"/>
  <c r="F7" i="1" l="1"/>
  <c r="E198" i="1"/>
  <c r="P194" i="1"/>
  <c r="N194" i="1"/>
  <c r="L194" i="1"/>
  <c r="J194" i="1"/>
  <c r="H194" i="1"/>
  <c r="F194" i="1"/>
  <c r="P193" i="1"/>
  <c r="N193" i="1"/>
  <c r="L193" i="1"/>
  <c r="J193" i="1"/>
  <c r="H193" i="1"/>
  <c r="F193" i="1"/>
  <c r="P191" i="1"/>
  <c r="N191" i="1"/>
  <c r="L191" i="1"/>
  <c r="J191" i="1"/>
  <c r="H191" i="1"/>
  <c r="F191" i="1"/>
  <c r="P188" i="1"/>
  <c r="N188" i="1"/>
  <c r="L188" i="1"/>
  <c r="J188" i="1"/>
  <c r="H188" i="1"/>
  <c r="F188" i="1"/>
  <c r="P187" i="1"/>
  <c r="N187" i="1"/>
  <c r="L187" i="1"/>
  <c r="J187" i="1"/>
  <c r="H187" i="1"/>
  <c r="F187" i="1"/>
  <c r="E178" i="1"/>
  <c r="P174" i="1"/>
  <c r="N174" i="1"/>
  <c r="L174" i="1"/>
  <c r="J174" i="1"/>
  <c r="H174" i="1"/>
  <c r="F174" i="1"/>
  <c r="P173" i="1"/>
  <c r="N173" i="1"/>
  <c r="L173" i="1"/>
  <c r="J173" i="1"/>
  <c r="H173" i="1"/>
  <c r="F173" i="1"/>
  <c r="P171" i="1"/>
  <c r="N171" i="1"/>
  <c r="L171" i="1"/>
  <c r="J171" i="1"/>
  <c r="H171" i="1"/>
  <c r="F171" i="1"/>
  <c r="P168" i="1"/>
  <c r="N168" i="1"/>
  <c r="L168" i="1"/>
  <c r="J168" i="1"/>
  <c r="H168" i="1"/>
  <c r="F168" i="1"/>
  <c r="P167" i="1"/>
  <c r="N167" i="1"/>
  <c r="L167" i="1"/>
  <c r="J167" i="1"/>
  <c r="H167" i="1"/>
  <c r="F167" i="1"/>
  <c r="E158" i="1"/>
  <c r="P154" i="1"/>
  <c r="N154" i="1"/>
  <c r="L154" i="1"/>
  <c r="J154" i="1"/>
  <c r="H154" i="1"/>
  <c r="F154" i="1"/>
  <c r="P153" i="1"/>
  <c r="N153" i="1"/>
  <c r="L153" i="1"/>
  <c r="J153" i="1"/>
  <c r="H153" i="1"/>
  <c r="F153" i="1"/>
  <c r="P151" i="1"/>
  <c r="N151" i="1"/>
  <c r="L151" i="1"/>
  <c r="J151" i="1"/>
  <c r="H151" i="1"/>
  <c r="F151" i="1"/>
  <c r="P148" i="1"/>
  <c r="N148" i="1"/>
  <c r="L148" i="1"/>
  <c r="J148" i="1"/>
  <c r="E197" i="1"/>
  <c r="M194" i="1"/>
  <c r="I194" i="1"/>
  <c r="E194" i="1"/>
  <c r="M193" i="1"/>
  <c r="I193" i="1"/>
  <c r="E193" i="1"/>
  <c r="M191" i="1"/>
  <c r="I191" i="1"/>
  <c r="E191" i="1"/>
  <c r="M188" i="1"/>
  <c r="I188" i="1"/>
  <c r="E188" i="1"/>
  <c r="M187" i="1"/>
  <c r="I187" i="1"/>
  <c r="E187" i="1"/>
  <c r="O174" i="1"/>
  <c r="K174" i="1"/>
  <c r="G174" i="1"/>
  <c r="O173" i="1"/>
  <c r="K173" i="1"/>
  <c r="G173" i="1"/>
  <c r="O171" i="1"/>
  <c r="K171" i="1"/>
  <c r="G171" i="1"/>
  <c r="O168" i="1"/>
  <c r="K168" i="1"/>
  <c r="G168" i="1"/>
  <c r="O167" i="1"/>
  <c r="K167" i="1"/>
  <c r="G167" i="1"/>
  <c r="E157" i="1"/>
  <c r="M154" i="1"/>
  <c r="I154" i="1"/>
  <c r="E154" i="1"/>
  <c r="M153" i="1"/>
  <c r="I153" i="1"/>
  <c r="E153" i="1"/>
  <c r="M151" i="1"/>
  <c r="I151" i="1"/>
  <c r="E151" i="1"/>
  <c r="M148" i="1"/>
  <c r="I148" i="1"/>
  <c r="G148" i="1"/>
  <c r="E148" i="1"/>
  <c r="O147" i="1"/>
  <c r="M147" i="1"/>
  <c r="K147" i="1"/>
  <c r="I147" i="1"/>
  <c r="G147" i="1"/>
  <c r="E147" i="1"/>
  <c r="E138" i="1"/>
  <c r="G137" i="1"/>
  <c r="P134" i="1"/>
  <c r="N134" i="1"/>
  <c r="L134" i="1"/>
  <c r="J134" i="1"/>
  <c r="H134" i="1"/>
  <c r="F134" i="1"/>
  <c r="P133" i="1"/>
  <c r="N133" i="1"/>
  <c r="L133" i="1"/>
  <c r="J133" i="1"/>
  <c r="H133" i="1"/>
  <c r="F133" i="1"/>
  <c r="P131" i="1"/>
  <c r="N131" i="1"/>
  <c r="L131" i="1"/>
  <c r="J131" i="1"/>
  <c r="H131" i="1"/>
  <c r="F131" i="1"/>
  <c r="P128" i="1"/>
  <c r="N128" i="1"/>
  <c r="L128" i="1"/>
  <c r="J128" i="1"/>
  <c r="H128" i="1"/>
  <c r="F128" i="1"/>
  <c r="P127" i="1"/>
  <c r="N127" i="1"/>
  <c r="L127" i="1"/>
  <c r="J127" i="1"/>
  <c r="H127" i="1"/>
  <c r="F127" i="1"/>
  <c r="O118" i="1"/>
  <c r="E118" i="1"/>
  <c r="G117" i="1"/>
  <c r="P114" i="1"/>
  <c r="N114" i="1"/>
  <c r="L114" i="1"/>
  <c r="J114" i="1"/>
  <c r="H114" i="1"/>
  <c r="F114" i="1"/>
  <c r="P113" i="1"/>
  <c r="N113" i="1"/>
  <c r="L113" i="1"/>
  <c r="J113" i="1"/>
  <c r="H113" i="1"/>
  <c r="F113" i="1"/>
  <c r="P111" i="1"/>
  <c r="N111" i="1"/>
  <c r="L111" i="1"/>
  <c r="J111" i="1"/>
  <c r="H111" i="1"/>
  <c r="F111" i="1"/>
  <c r="P108" i="1"/>
  <c r="N108" i="1"/>
  <c r="L108" i="1"/>
  <c r="J108" i="1"/>
  <c r="H108" i="1"/>
  <c r="F108" i="1"/>
  <c r="P107" i="1"/>
  <c r="N107" i="1"/>
  <c r="L107" i="1"/>
  <c r="J107" i="1"/>
  <c r="H107" i="1"/>
  <c r="F107" i="1"/>
  <c r="O98" i="1"/>
  <c r="E98" i="1"/>
  <c r="G97" i="1"/>
  <c r="P94" i="1"/>
  <c r="N94" i="1"/>
  <c r="L94" i="1"/>
  <c r="J94" i="1"/>
  <c r="H94" i="1"/>
  <c r="F94" i="1"/>
  <c r="P93" i="1"/>
  <c r="N93" i="1"/>
  <c r="L93" i="1"/>
  <c r="J93" i="1"/>
  <c r="H93" i="1"/>
  <c r="F93" i="1"/>
  <c r="P91" i="1"/>
  <c r="N91" i="1"/>
  <c r="L91" i="1"/>
  <c r="J91" i="1"/>
  <c r="H91" i="1"/>
  <c r="F91" i="1"/>
  <c r="P88" i="1"/>
  <c r="N88" i="1"/>
  <c r="L88" i="1"/>
  <c r="J88" i="1"/>
  <c r="H88" i="1"/>
  <c r="F88" i="1"/>
  <c r="P87" i="1"/>
  <c r="N87" i="1"/>
  <c r="L87" i="1"/>
  <c r="J87" i="1"/>
  <c r="H87" i="1"/>
  <c r="F87" i="1"/>
  <c r="P34" i="1"/>
  <c r="N34" i="1"/>
  <c r="L34" i="1"/>
  <c r="J34" i="1"/>
  <c r="H34" i="1"/>
  <c r="F34" i="1"/>
  <c r="P33" i="1"/>
  <c r="N33" i="1"/>
  <c r="L33" i="1"/>
  <c r="J33" i="1"/>
  <c r="H33" i="1"/>
  <c r="F33" i="1"/>
  <c r="P32" i="1"/>
  <c r="N32" i="1"/>
  <c r="L32" i="1"/>
  <c r="J32" i="1"/>
  <c r="H32" i="1"/>
  <c r="F32" i="1"/>
  <c r="P31" i="1"/>
  <c r="N31" i="1"/>
  <c r="L31" i="1"/>
  <c r="K194" i="1"/>
  <c r="O193" i="1"/>
  <c r="G193" i="1"/>
  <c r="K191" i="1"/>
  <c r="O188" i="1"/>
  <c r="G188" i="1"/>
  <c r="K187" i="1"/>
  <c r="E177" i="1"/>
  <c r="I174" i="1"/>
  <c r="M173" i="1"/>
  <c r="E173" i="1"/>
  <c r="I171" i="1"/>
  <c r="M168" i="1"/>
  <c r="E168" i="1"/>
  <c r="I167" i="1"/>
  <c r="O154" i="1"/>
  <c r="G154" i="1"/>
  <c r="K153" i="1"/>
  <c r="O151" i="1"/>
  <c r="G151" i="1"/>
  <c r="K148" i="1"/>
  <c r="F148" i="1"/>
  <c r="N147" i="1"/>
  <c r="J147" i="1"/>
  <c r="F147" i="1"/>
  <c r="O137" i="1"/>
  <c r="O134" i="1"/>
  <c r="K134" i="1"/>
  <c r="G134" i="1"/>
  <c r="O133" i="1"/>
  <c r="K133" i="1"/>
  <c r="G133" i="1"/>
  <c r="O131" i="1"/>
  <c r="K131" i="1"/>
  <c r="G131" i="1"/>
  <c r="O128" i="1"/>
  <c r="K128" i="1"/>
  <c r="G128" i="1"/>
  <c r="O127" i="1"/>
  <c r="K127" i="1"/>
  <c r="G127" i="1"/>
  <c r="G118" i="1"/>
  <c r="E117" i="1"/>
  <c r="M114" i="1"/>
  <c r="I114" i="1"/>
  <c r="E114" i="1"/>
  <c r="M113" i="1"/>
  <c r="I113" i="1"/>
  <c r="E113" i="1"/>
  <c r="M111" i="1"/>
  <c r="I111" i="1"/>
  <c r="E111" i="1"/>
  <c r="M108" i="1"/>
  <c r="I108" i="1"/>
  <c r="E108" i="1"/>
  <c r="M107" i="1"/>
  <c r="I107" i="1"/>
  <c r="E107" i="1"/>
  <c r="O97" i="1"/>
  <c r="O94" i="1"/>
  <c r="K94" i="1"/>
  <c r="G94" i="1"/>
  <c r="O93" i="1"/>
  <c r="K93" i="1"/>
  <c r="G93" i="1"/>
  <c r="O91" i="1"/>
  <c r="K91" i="1"/>
  <c r="G91" i="1"/>
  <c r="O88" i="1"/>
  <c r="K88" i="1"/>
  <c r="G88" i="1"/>
  <c r="O87" i="1"/>
  <c r="K87" i="1"/>
  <c r="G87" i="1"/>
  <c r="O34" i="1"/>
  <c r="K34" i="1"/>
  <c r="G34" i="1"/>
  <c r="O33" i="1"/>
  <c r="K33" i="1"/>
  <c r="G33" i="1"/>
  <c r="O32" i="1"/>
  <c r="K32" i="1"/>
  <c r="G32" i="1"/>
  <c r="O31" i="1"/>
  <c r="O194" i="1"/>
  <c r="G194" i="1"/>
  <c r="K193" i="1"/>
  <c r="O191" i="1"/>
  <c r="G191" i="1"/>
  <c r="K188" i="1"/>
  <c r="O187" i="1"/>
  <c r="G187" i="1"/>
  <c r="M174" i="1"/>
  <c r="E174" i="1"/>
  <c r="I173" i="1"/>
  <c r="M171" i="1"/>
  <c r="E171" i="1"/>
  <c r="I168" i="1"/>
  <c r="M167" i="1"/>
  <c r="E167" i="1"/>
  <c r="K154" i="1"/>
  <c r="O153" i="1"/>
  <c r="G153" i="1"/>
  <c r="K151" i="1"/>
  <c r="O148" i="1"/>
  <c r="H148" i="1"/>
  <c r="P147" i="1"/>
  <c r="L147" i="1"/>
  <c r="H147" i="1"/>
  <c r="G138" i="1"/>
  <c r="E137" i="1"/>
  <c r="M134" i="1"/>
  <c r="I134" i="1"/>
  <c r="E134" i="1"/>
  <c r="M133" i="1"/>
  <c r="I133" i="1"/>
  <c r="E133" i="1"/>
  <c r="M131" i="1"/>
  <c r="I131" i="1"/>
  <c r="E131" i="1"/>
  <c r="M128" i="1"/>
  <c r="I128" i="1"/>
  <c r="E128" i="1"/>
  <c r="M127" i="1"/>
  <c r="I127" i="1"/>
  <c r="E127" i="1"/>
  <c r="O117" i="1"/>
  <c r="O114" i="1"/>
  <c r="K114" i="1"/>
  <c r="G114" i="1"/>
  <c r="O113" i="1"/>
  <c r="K113" i="1"/>
  <c r="G113" i="1"/>
  <c r="O111" i="1"/>
  <c r="K111" i="1"/>
  <c r="G111" i="1"/>
  <c r="O108" i="1"/>
  <c r="K108" i="1"/>
  <c r="G108" i="1"/>
  <c r="O107" i="1"/>
  <c r="K107" i="1"/>
  <c r="G107" i="1"/>
  <c r="G98" i="1"/>
  <c r="E97" i="1"/>
  <c r="M94" i="1"/>
  <c r="I94" i="1"/>
  <c r="E94" i="1"/>
  <c r="M93" i="1"/>
  <c r="I93" i="1"/>
  <c r="E93" i="1"/>
  <c r="M91" i="1"/>
  <c r="I91" i="1"/>
  <c r="E91" i="1"/>
  <c r="M88" i="1"/>
  <c r="I88" i="1"/>
  <c r="E88" i="1"/>
  <c r="M87" i="1"/>
  <c r="I87" i="1"/>
  <c r="M34" i="1"/>
  <c r="I34" i="1"/>
  <c r="E34" i="1"/>
  <c r="M33" i="1"/>
  <c r="I33" i="1"/>
  <c r="E33" i="1"/>
  <c r="M32" i="1"/>
  <c r="I32" i="1"/>
  <c r="E32" i="1"/>
  <c r="M31" i="1"/>
  <c r="E8" i="1"/>
  <c r="G8" i="1"/>
  <c r="I8" i="1"/>
  <c r="K8" i="1"/>
  <c r="M8" i="1"/>
  <c r="O8" i="1"/>
  <c r="E11" i="1"/>
  <c r="G11" i="1"/>
  <c r="I11" i="1"/>
  <c r="K11" i="1"/>
  <c r="M11" i="1"/>
  <c r="O11" i="1"/>
  <c r="F13" i="1"/>
  <c r="H13" i="1"/>
  <c r="J13" i="1"/>
  <c r="L13" i="1"/>
  <c r="N13" i="1"/>
  <c r="P13" i="1"/>
  <c r="E14" i="1"/>
  <c r="G14" i="1"/>
  <c r="I14" i="1"/>
  <c r="K14" i="1"/>
  <c r="M14" i="1"/>
  <c r="O14" i="1"/>
  <c r="E17" i="1"/>
  <c r="G17" i="1"/>
  <c r="I17" i="1"/>
  <c r="K17" i="1"/>
  <c r="M17" i="1"/>
  <c r="O17" i="1"/>
  <c r="E18" i="1"/>
  <c r="G18" i="1"/>
  <c r="I18" i="1"/>
  <c r="K18" i="1"/>
  <c r="M18" i="1"/>
  <c r="O18" i="1"/>
  <c r="E22" i="1"/>
  <c r="G22" i="1"/>
  <c r="I22" i="1"/>
  <c r="K22" i="1"/>
  <c r="M22" i="1"/>
  <c r="O22" i="1"/>
  <c r="E24" i="1"/>
  <c r="G24" i="1"/>
  <c r="I24" i="1"/>
  <c r="K24" i="1"/>
  <c r="M24" i="1"/>
  <c r="O24" i="1"/>
  <c r="E29" i="1"/>
  <c r="G29" i="1"/>
  <c r="I29" i="1"/>
  <c r="K29" i="1"/>
  <c r="M29" i="1"/>
  <c r="O29" i="1"/>
  <c r="E30" i="1"/>
  <c r="G30" i="1"/>
  <c r="I30" i="1"/>
  <c r="K30" i="1"/>
  <c r="M30" i="1"/>
  <c r="O30" i="1"/>
  <c r="E31" i="1"/>
  <c r="G31" i="1"/>
  <c r="I31" i="1"/>
  <c r="K31" i="1"/>
  <c r="H7" i="1"/>
  <c r="L7" i="1"/>
  <c r="P7" i="1"/>
  <c r="O7" i="1"/>
  <c r="F8" i="1"/>
  <c r="H8" i="1"/>
  <c r="J8" i="1"/>
  <c r="L8" i="1"/>
  <c r="N8" i="1"/>
  <c r="P8" i="1"/>
  <c r="F11" i="1"/>
  <c r="H11" i="1"/>
  <c r="J11" i="1"/>
  <c r="L11" i="1"/>
  <c r="N11" i="1"/>
  <c r="P11" i="1"/>
  <c r="G13" i="1"/>
  <c r="I13" i="1"/>
  <c r="K13" i="1"/>
  <c r="M13" i="1"/>
  <c r="O13" i="1"/>
  <c r="E13" i="1"/>
  <c r="F14" i="1"/>
  <c r="H14" i="1"/>
  <c r="J14" i="1"/>
  <c r="L14" i="1"/>
  <c r="N14" i="1"/>
  <c r="P14" i="1"/>
  <c r="F17" i="1"/>
  <c r="H17" i="1"/>
  <c r="J17" i="1"/>
  <c r="L17" i="1"/>
  <c r="N17" i="1"/>
  <c r="P17" i="1"/>
  <c r="F18" i="1"/>
  <c r="H18" i="1"/>
  <c r="J18" i="1"/>
  <c r="L18" i="1"/>
  <c r="N18" i="1"/>
  <c r="P18" i="1"/>
  <c r="F22" i="1"/>
  <c r="H22" i="1"/>
  <c r="J22" i="1"/>
  <c r="L22" i="1"/>
  <c r="N22" i="1"/>
  <c r="P22" i="1"/>
  <c r="F24" i="1"/>
  <c r="H24" i="1"/>
  <c r="J24" i="1"/>
  <c r="L24" i="1"/>
  <c r="N24" i="1"/>
  <c r="P24" i="1"/>
  <c r="F29" i="1"/>
  <c r="H29" i="1"/>
  <c r="J29" i="1"/>
  <c r="L29" i="1"/>
  <c r="N29" i="1"/>
  <c r="P29" i="1"/>
  <c r="F30" i="1"/>
  <c r="H30" i="1"/>
  <c r="J30" i="1"/>
  <c r="L30" i="1"/>
  <c r="N30" i="1"/>
  <c r="P30" i="1"/>
  <c r="F31" i="1"/>
  <c r="H31" i="1"/>
  <c r="J31" i="1"/>
  <c r="O198" i="1"/>
  <c r="K97" i="1"/>
  <c r="K98" i="1"/>
  <c r="K117" i="1"/>
  <c r="K118" i="1"/>
  <c r="K137" i="1"/>
  <c r="K138" i="1"/>
  <c r="M157" i="1"/>
  <c r="I158" i="1"/>
  <c r="M177" i="1"/>
  <c r="I178" i="1"/>
  <c r="M197" i="1"/>
  <c r="I198" i="1"/>
  <c r="I97" i="1"/>
  <c r="M97" i="1"/>
  <c r="I98" i="1"/>
  <c r="M98" i="1"/>
  <c r="I117" i="1"/>
  <c r="M117" i="1"/>
  <c r="I118" i="1"/>
  <c r="M118" i="1"/>
  <c r="I137" i="1"/>
  <c r="M137" i="1"/>
  <c r="I138" i="1"/>
  <c r="M138" i="1"/>
  <c r="I157" i="1"/>
  <c r="M158" i="1"/>
  <c r="I177" i="1"/>
  <c r="M178" i="1"/>
  <c r="I197" i="1"/>
  <c r="M198" i="1"/>
  <c r="F97" i="1"/>
  <c r="H97" i="1"/>
  <c r="J97" i="1"/>
  <c r="L97" i="1"/>
  <c r="N97" i="1"/>
  <c r="P97" i="1"/>
  <c r="F98" i="1"/>
  <c r="H98" i="1"/>
  <c r="J98" i="1"/>
  <c r="L98" i="1"/>
  <c r="N98" i="1"/>
  <c r="P98" i="1"/>
  <c r="F117" i="1"/>
  <c r="H117" i="1"/>
  <c r="J117" i="1"/>
  <c r="L117" i="1"/>
  <c r="N117" i="1"/>
  <c r="P117" i="1"/>
  <c r="F118" i="1"/>
  <c r="H118" i="1"/>
  <c r="J118" i="1"/>
  <c r="L118" i="1"/>
  <c r="N118" i="1"/>
  <c r="P118" i="1"/>
  <c r="F137" i="1"/>
  <c r="H137" i="1"/>
  <c r="J137" i="1"/>
  <c r="L137" i="1"/>
  <c r="N137" i="1"/>
  <c r="P137" i="1"/>
  <c r="F138" i="1"/>
  <c r="H138" i="1"/>
  <c r="J138" i="1"/>
  <c r="L138" i="1"/>
  <c r="O138" i="1"/>
  <c r="G157" i="1"/>
  <c r="K157" i="1"/>
  <c r="O157" i="1"/>
  <c r="G158" i="1"/>
  <c r="K158" i="1"/>
  <c r="O158" i="1"/>
  <c r="G177" i="1"/>
  <c r="K177" i="1"/>
  <c r="O177" i="1"/>
  <c r="G178" i="1"/>
  <c r="K178" i="1"/>
  <c r="O178" i="1"/>
  <c r="G197" i="1"/>
  <c r="K197" i="1"/>
  <c r="O197" i="1"/>
  <c r="G198" i="1"/>
  <c r="K198" i="1"/>
  <c r="P198" i="1"/>
  <c r="N198" i="1"/>
  <c r="L198" i="1"/>
  <c r="J198" i="1"/>
  <c r="H198" i="1"/>
  <c r="F198" i="1"/>
  <c r="P197" i="1"/>
  <c r="N197" i="1"/>
  <c r="L197" i="1"/>
  <c r="J197" i="1"/>
  <c r="H197" i="1"/>
  <c r="F197" i="1"/>
  <c r="P178" i="1"/>
  <c r="N178" i="1"/>
  <c r="L178" i="1"/>
  <c r="J178" i="1"/>
  <c r="H178" i="1"/>
  <c r="F178" i="1"/>
  <c r="P177" i="1"/>
  <c r="N177" i="1"/>
  <c r="L177" i="1"/>
  <c r="J177" i="1"/>
  <c r="H177" i="1"/>
  <c r="F177" i="1"/>
  <c r="P158" i="1"/>
  <c r="N158" i="1"/>
  <c r="L158" i="1"/>
  <c r="J158" i="1"/>
  <c r="H158" i="1"/>
  <c r="F158" i="1"/>
  <c r="P157" i="1"/>
  <c r="N157" i="1"/>
  <c r="L157" i="1"/>
  <c r="J157" i="1"/>
  <c r="H157" i="1"/>
  <c r="F157" i="1"/>
  <c r="P138" i="1"/>
  <c r="N138" i="1"/>
  <c r="E7" i="1"/>
  <c r="Q7" i="1" s="1"/>
  <c r="G7" i="1"/>
  <c r="I7" i="1"/>
  <c r="K7" i="1"/>
  <c r="M7" i="1"/>
  <c r="E19" i="1" l="1"/>
  <c r="BH198" i="1" l="1"/>
  <c r="BI198" i="1" s="1"/>
  <c r="BH197" i="1"/>
  <c r="BK197" i="1" s="1"/>
  <c r="BH194" i="1"/>
  <c r="BH193" i="1"/>
  <c r="BH195" i="1" s="1"/>
  <c r="BH191" i="1"/>
  <c r="BK191" i="1" s="1"/>
  <c r="BH188" i="1"/>
  <c r="BK188" i="1" s="1"/>
  <c r="BH187" i="1"/>
  <c r="BK187" i="1" s="1"/>
  <c r="BH178" i="1"/>
  <c r="BI178" i="1" s="1"/>
  <c r="BH177" i="1"/>
  <c r="BK177" i="1" s="1"/>
  <c r="BH174" i="1"/>
  <c r="BH173" i="1"/>
  <c r="BH175" i="1" s="1"/>
  <c r="BH171" i="1"/>
  <c r="BK171" i="1" s="1"/>
  <c r="BH168" i="1"/>
  <c r="BK168" i="1" s="1"/>
  <c r="BH167" i="1"/>
  <c r="BK167" i="1" s="1"/>
  <c r="BH158" i="1"/>
  <c r="BI158" i="1" s="1"/>
  <c r="BH157" i="1"/>
  <c r="BK157" i="1" s="1"/>
  <c r="BH154" i="1"/>
  <c r="BH153" i="1"/>
  <c r="BH155" i="1" s="1"/>
  <c r="BH151" i="1"/>
  <c r="BK151" i="1" s="1"/>
  <c r="BH148" i="1"/>
  <c r="BK148" i="1" s="1"/>
  <c r="BH147" i="1"/>
  <c r="BK147" i="1" s="1"/>
  <c r="BH138" i="1"/>
  <c r="BK138" i="1" s="1"/>
  <c r="BH137" i="1"/>
  <c r="BI137" i="1" s="1"/>
  <c r="BH134" i="1"/>
  <c r="BK134" i="1" s="1"/>
  <c r="BH133" i="1"/>
  <c r="BH140" i="1" s="1"/>
  <c r="BH131" i="1"/>
  <c r="BL131" i="1" s="1"/>
  <c r="BH128" i="1"/>
  <c r="BI128" i="1" s="1"/>
  <c r="BH127" i="1"/>
  <c r="BH129" i="1" s="1"/>
  <c r="BH118" i="1"/>
  <c r="BI118" i="1" s="1"/>
  <c r="BH117" i="1"/>
  <c r="BK117" i="1" s="1"/>
  <c r="BH114" i="1"/>
  <c r="BH113" i="1"/>
  <c r="BH115" i="1" s="1"/>
  <c r="BH111" i="1"/>
  <c r="BK111" i="1" s="1"/>
  <c r="BH108" i="1"/>
  <c r="BK108" i="1" s="1"/>
  <c r="BH107" i="1"/>
  <c r="BK107" i="1" s="1"/>
  <c r="BH98" i="1"/>
  <c r="BI98" i="1" s="1"/>
  <c r="BH97" i="1"/>
  <c r="BK97" i="1" s="1"/>
  <c r="BH94" i="1"/>
  <c r="BH93" i="1"/>
  <c r="BH95" i="1" s="1"/>
  <c r="BH91" i="1"/>
  <c r="BK91" i="1" s="1"/>
  <c r="BH88" i="1"/>
  <c r="BK88" i="1" s="1"/>
  <c r="BH87" i="1"/>
  <c r="BK87" i="1" s="1"/>
  <c r="BC199" i="1"/>
  <c r="BC198" i="1"/>
  <c r="BA198" i="1"/>
  <c r="BC197" i="1"/>
  <c r="BA197" i="1"/>
  <c r="BC194" i="1"/>
  <c r="BA194" i="1"/>
  <c r="BD193" i="1"/>
  <c r="BC193" i="1"/>
  <c r="BB193" i="1"/>
  <c r="BA193" i="1"/>
  <c r="BA200" i="1" s="1"/>
  <c r="BD191" i="1"/>
  <c r="BC191" i="1"/>
  <c r="BB191" i="1"/>
  <c r="BA191" i="1"/>
  <c r="BC188" i="1"/>
  <c r="BA188" i="1"/>
  <c r="BD187" i="1"/>
  <c r="BC187" i="1"/>
  <c r="BB187" i="1"/>
  <c r="BA187" i="1"/>
  <c r="BA189" i="1" s="1"/>
  <c r="BC179" i="1"/>
  <c r="BC178" i="1"/>
  <c r="BA178" i="1"/>
  <c r="BC177" i="1"/>
  <c r="BA177" i="1"/>
  <c r="BC174" i="1"/>
  <c r="BA174" i="1"/>
  <c r="BD173" i="1"/>
  <c r="BC173" i="1"/>
  <c r="BB173" i="1"/>
  <c r="BA173" i="1"/>
  <c r="BA180" i="1" s="1"/>
  <c r="BD171" i="1"/>
  <c r="BC171" i="1"/>
  <c r="BB171" i="1"/>
  <c r="BA171" i="1"/>
  <c r="BC168" i="1"/>
  <c r="BA168" i="1"/>
  <c r="BD167" i="1"/>
  <c r="BC167" i="1"/>
  <c r="BB167" i="1"/>
  <c r="BA167" i="1"/>
  <c r="BA169" i="1" s="1"/>
  <c r="BC159" i="1"/>
  <c r="BC158" i="1"/>
  <c r="BA158" i="1"/>
  <c r="BC157" i="1"/>
  <c r="BA157" i="1"/>
  <c r="BC154" i="1"/>
  <c r="BA154" i="1"/>
  <c r="BD153" i="1"/>
  <c r="BC153" i="1"/>
  <c r="BB153" i="1"/>
  <c r="BA153" i="1"/>
  <c r="BA160" i="1" s="1"/>
  <c r="BD151" i="1"/>
  <c r="BC151" i="1"/>
  <c r="BB151" i="1"/>
  <c r="BA151" i="1"/>
  <c r="BC148" i="1"/>
  <c r="BA148" i="1"/>
  <c r="BD147" i="1"/>
  <c r="BC147" i="1"/>
  <c r="BB147" i="1"/>
  <c r="BA147" i="1"/>
  <c r="BA149" i="1" s="1"/>
  <c r="BC139" i="1"/>
  <c r="BC138" i="1"/>
  <c r="BA138" i="1"/>
  <c r="BC137" i="1"/>
  <c r="BA137" i="1"/>
  <c r="BC134" i="1"/>
  <c r="BA134" i="1"/>
  <c r="BD133" i="1"/>
  <c r="BC133" i="1"/>
  <c r="BB133" i="1"/>
  <c r="BA133" i="1"/>
  <c r="BA140" i="1" s="1"/>
  <c r="BD131" i="1"/>
  <c r="BC131" i="1"/>
  <c r="BB131" i="1"/>
  <c r="BA131" i="1"/>
  <c r="BC128" i="1"/>
  <c r="BA128" i="1"/>
  <c r="BD127" i="1"/>
  <c r="BC127" i="1"/>
  <c r="BB127" i="1"/>
  <c r="BA127" i="1"/>
  <c r="BA129" i="1" s="1"/>
  <c r="BC119" i="1"/>
  <c r="BC118" i="1"/>
  <c r="BA118" i="1"/>
  <c r="BC117" i="1"/>
  <c r="BA117" i="1"/>
  <c r="BC114" i="1"/>
  <c r="BA114" i="1"/>
  <c r="BD113" i="1"/>
  <c r="BC113" i="1"/>
  <c r="BB113" i="1"/>
  <c r="BA113" i="1"/>
  <c r="BA115" i="1" s="1"/>
  <c r="BD111" i="1"/>
  <c r="BC111" i="1"/>
  <c r="BB111" i="1"/>
  <c r="BA111" i="1"/>
  <c r="BC108" i="1"/>
  <c r="BA108" i="1"/>
  <c r="BD107" i="1"/>
  <c r="BC107" i="1"/>
  <c r="BB107" i="1"/>
  <c r="BA107" i="1"/>
  <c r="BA109" i="1" s="1"/>
  <c r="BC99" i="1"/>
  <c r="BC98" i="1"/>
  <c r="BA98" i="1"/>
  <c r="BC97" i="1"/>
  <c r="BA97" i="1"/>
  <c r="BC94" i="1"/>
  <c r="BA94" i="1"/>
  <c r="BD93" i="1"/>
  <c r="BC93" i="1"/>
  <c r="BB93" i="1"/>
  <c r="BA93" i="1"/>
  <c r="BA100" i="1" s="1"/>
  <c r="BD91" i="1"/>
  <c r="BC91" i="1"/>
  <c r="BB91" i="1"/>
  <c r="BA91" i="1"/>
  <c r="BC88" i="1"/>
  <c r="BA88" i="1"/>
  <c r="BD87" i="1"/>
  <c r="BC87" i="1"/>
  <c r="BB87" i="1"/>
  <c r="BA87" i="1"/>
  <c r="BA89" i="1" s="1"/>
  <c r="BG18" i="1"/>
  <c r="BG17" i="1"/>
  <c r="BG14" i="1"/>
  <c r="BG13" i="1"/>
  <c r="BG39" i="1" s="1"/>
  <c r="BG11" i="1"/>
  <c r="BG8" i="1"/>
  <c r="BG7" i="1"/>
  <c r="BG9" i="1" s="1"/>
  <c r="BG34" i="1"/>
  <c r="BG33" i="1"/>
  <c r="BG32" i="1"/>
  <c r="BG31" i="1"/>
  <c r="BG30" i="1"/>
  <c r="BG29" i="1"/>
  <c r="BG24" i="1"/>
  <c r="BG22" i="1"/>
  <c r="BG26" i="1" s="1"/>
  <c r="AX18" i="1"/>
  <c r="AX17" i="1"/>
  <c r="AX14" i="1"/>
  <c r="AX13" i="1"/>
  <c r="AX39" i="1" s="1"/>
  <c r="AX11" i="1"/>
  <c r="AX8" i="1"/>
  <c r="AX7" i="1"/>
  <c r="AX9" i="1" s="1"/>
  <c r="AX34" i="1"/>
  <c r="AX33" i="1"/>
  <c r="AX32" i="1"/>
  <c r="AX31" i="1"/>
  <c r="AX30" i="1"/>
  <c r="AX29" i="1"/>
  <c r="AX24" i="1"/>
  <c r="AX22" i="1"/>
  <c r="AX26" i="1" s="1"/>
  <c r="AN18" i="1"/>
  <c r="AN17" i="1"/>
  <c r="AN14" i="1"/>
  <c r="AN13" i="1"/>
  <c r="AN11" i="1"/>
  <c r="AN8" i="1"/>
  <c r="AN34" i="1"/>
  <c r="AN33" i="1"/>
  <c r="AN32" i="1"/>
  <c r="AN31" i="1"/>
  <c r="AN30" i="1"/>
  <c r="AN29" i="1"/>
  <c r="AN24" i="1"/>
  <c r="AN22" i="1"/>
  <c r="BA99" i="1" l="1"/>
  <c r="BA179" i="1"/>
  <c r="BA159" i="1"/>
  <c r="BA199" i="1"/>
  <c r="BA139" i="1"/>
  <c r="BG43" i="1"/>
  <c r="BG19" i="1"/>
  <c r="BG35" i="1" s="1"/>
  <c r="BG38" i="1" s="1"/>
  <c r="AX19" i="1"/>
  <c r="AX35" i="1" s="1"/>
  <c r="AX38" i="1" s="1"/>
  <c r="BI127" i="1"/>
  <c r="BI129" i="1" s="1"/>
  <c r="BH99" i="1"/>
  <c r="BK99" i="1" s="1"/>
  <c r="BI97" i="1"/>
  <c r="BI113" i="1"/>
  <c r="BI120" i="1" s="1"/>
  <c r="BI134" i="1"/>
  <c r="BI93" i="1"/>
  <c r="BI100" i="1" s="1"/>
  <c r="BH119" i="1"/>
  <c r="BK119" i="1" s="1"/>
  <c r="BI117" i="1"/>
  <c r="BI131" i="1"/>
  <c r="BI148" i="1"/>
  <c r="BI168" i="1"/>
  <c r="BI188" i="1"/>
  <c r="BA120" i="1"/>
  <c r="BI88" i="1"/>
  <c r="BK93" i="1"/>
  <c r="BI108" i="1"/>
  <c r="BK113" i="1"/>
  <c r="BK127" i="1"/>
  <c r="BK131" i="1"/>
  <c r="BI138" i="1"/>
  <c r="BI153" i="1"/>
  <c r="BI160" i="1" s="1"/>
  <c r="BH159" i="1"/>
  <c r="BK159" i="1" s="1"/>
  <c r="BI157" i="1"/>
  <c r="BH160" i="1"/>
  <c r="BI173" i="1"/>
  <c r="BI180" i="1" s="1"/>
  <c r="BH179" i="1"/>
  <c r="BK179" i="1" s="1"/>
  <c r="BI177" i="1"/>
  <c r="BH180" i="1"/>
  <c r="BI193" i="1"/>
  <c r="BI200" i="1" s="1"/>
  <c r="BH199" i="1"/>
  <c r="BK199" i="1" s="1"/>
  <c r="BI197" i="1"/>
  <c r="BH200" i="1"/>
  <c r="BA119" i="1"/>
  <c r="BH100" i="1"/>
  <c r="BH120" i="1"/>
  <c r="BK153" i="1"/>
  <c r="BK173" i="1"/>
  <c r="BK193" i="1"/>
  <c r="BJ187" i="1"/>
  <c r="BL187" i="1"/>
  <c r="BH189" i="1"/>
  <c r="BJ191" i="1"/>
  <c r="BL191" i="1"/>
  <c r="BK194" i="1"/>
  <c r="BK198" i="1"/>
  <c r="BI187" i="1"/>
  <c r="BI189" i="1" s="1"/>
  <c r="BI191" i="1"/>
  <c r="BJ193" i="1"/>
  <c r="BL193" i="1"/>
  <c r="BI194" i="1"/>
  <c r="BJ167" i="1"/>
  <c r="BL167" i="1"/>
  <c r="BH169" i="1"/>
  <c r="BJ171" i="1"/>
  <c r="BL171" i="1"/>
  <c r="BK174" i="1"/>
  <c r="BK178" i="1"/>
  <c r="BI167" i="1"/>
  <c r="BI169" i="1" s="1"/>
  <c r="BI171" i="1"/>
  <c r="BJ173" i="1"/>
  <c r="BL173" i="1"/>
  <c r="BI174" i="1"/>
  <c r="BJ147" i="1"/>
  <c r="BL147" i="1"/>
  <c r="BH149" i="1"/>
  <c r="BJ151" i="1"/>
  <c r="BL151" i="1"/>
  <c r="BK154" i="1"/>
  <c r="BK158" i="1"/>
  <c r="BI147" i="1"/>
  <c r="BI149" i="1" s="1"/>
  <c r="BI151" i="1"/>
  <c r="BJ153" i="1"/>
  <c r="BL153" i="1"/>
  <c r="BI154" i="1"/>
  <c r="BK128" i="1"/>
  <c r="BJ133" i="1"/>
  <c r="BL133" i="1"/>
  <c r="BH135" i="1"/>
  <c r="BK137" i="1"/>
  <c r="BH139" i="1"/>
  <c r="BK139" i="1" s="1"/>
  <c r="BJ127" i="1"/>
  <c r="BL127" i="1"/>
  <c r="BJ131" i="1"/>
  <c r="BI133" i="1"/>
  <c r="BK133" i="1"/>
  <c r="BJ107" i="1"/>
  <c r="BL107" i="1"/>
  <c r="BH109" i="1"/>
  <c r="BJ111" i="1"/>
  <c r="BL111" i="1"/>
  <c r="BK114" i="1"/>
  <c r="BK118" i="1"/>
  <c r="BI107" i="1"/>
  <c r="BI109" i="1" s="1"/>
  <c r="BI111" i="1"/>
  <c r="BJ113" i="1"/>
  <c r="BL113" i="1"/>
  <c r="BI114" i="1"/>
  <c r="BJ87" i="1"/>
  <c r="BL87" i="1"/>
  <c r="BH89" i="1"/>
  <c r="BJ91" i="1"/>
  <c r="BL91" i="1"/>
  <c r="BK94" i="1"/>
  <c r="BK98" i="1"/>
  <c r="BI87" i="1"/>
  <c r="BI89" i="1" s="1"/>
  <c r="BI91" i="1"/>
  <c r="BJ93" i="1"/>
  <c r="BL93" i="1"/>
  <c r="BI94" i="1"/>
  <c r="BA195" i="1"/>
  <c r="BA175" i="1"/>
  <c r="BA155" i="1"/>
  <c r="BA135" i="1"/>
  <c r="BA95" i="1"/>
  <c r="BG15" i="1"/>
  <c r="BG20" i="1"/>
  <c r="BG23" i="1"/>
  <c r="BG25" i="1"/>
  <c r="BG27" i="1"/>
  <c r="BG36" i="1"/>
  <c r="AX15" i="1"/>
  <c r="AX20" i="1"/>
  <c r="AX23" i="1"/>
  <c r="AX25" i="1"/>
  <c r="AX27" i="1"/>
  <c r="AX36" i="1"/>
  <c r="BI99" i="1" l="1"/>
  <c r="BI179" i="1"/>
  <c r="BI95" i="1"/>
  <c r="BI175" i="1"/>
  <c r="BI119" i="1"/>
  <c r="BI115" i="1"/>
  <c r="BI139" i="1"/>
  <c r="BI159" i="1"/>
  <c r="BI155" i="1"/>
  <c r="BI199" i="1"/>
  <c r="BI195" i="1"/>
  <c r="BI135" i="1"/>
  <c r="BI140" i="1"/>
  <c r="AE4" i="1" l="1"/>
  <c r="BK5" i="1" l="1"/>
  <c r="BC5" i="1"/>
  <c r="BI5" i="1"/>
  <c r="BA5" i="1"/>
  <c r="AR5" i="1"/>
  <c r="AT5" i="1"/>
  <c r="AJ5" i="1"/>
  <c r="AH5" i="1"/>
  <c r="AH37" i="1" l="1"/>
  <c r="AJ37" i="1"/>
  <c r="BL43" i="1"/>
  <c r="CC7" i="1" l="1"/>
  <c r="AF39" i="1"/>
  <c r="AP39" i="1"/>
  <c r="AZ39" i="1"/>
  <c r="AN26" i="1"/>
  <c r="AN19" i="1"/>
  <c r="AZ19" i="1"/>
  <c r="AN35" i="1" l="1"/>
  <c r="AN38" i="1" l="1"/>
  <c r="AN39" i="1" s="1"/>
  <c r="CC34" i="1"/>
  <c r="CC33" i="1"/>
  <c r="CC32" i="1"/>
  <c r="CC31" i="1"/>
  <c r="CC30" i="1"/>
  <c r="CC29" i="1"/>
  <c r="CC24" i="1"/>
  <c r="CC22" i="1"/>
  <c r="CC17" i="1"/>
  <c r="CC14" i="1"/>
  <c r="CC13" i="1"/>
  <c r="CC11" i="1"/>
  <c r="CC8" i="1"/>
  <c r="CC18" i="1"/>
  <c r="Q37" i="1"/>
  <c r="CC19" i="1" l="1"/>
  <c r="CC26" i="1"/>
  <c r="CC35" i="1" l="1"/>
  <c r="I20" i="3"/>
  <c r="H20" i="3"/>
  <c r="C20" i="3"/>
  <c r="I19" i="3"/>
  <c r="H19" i="3"/>
  <c r="C19" i="3"/>
  <c r="I18" i="3"/>
  <c r="H18" i="3"/>
  <c r="C18" i="3"/>
  <c r="I17" i="3"/>
  <c r="H17" i="3"/>
  <c r="C17" i="3"/>
  <c r="I16" i="3"/>
  <c r="H16" i="3"/>
  <c r="C16" i="3"/>
  <c r="I15" i="3"/>
  <c r="H15" i="3"/>
  <c r="C15" i="3"/>
  <c r="I14" i="3"/>
  <c r="H14" i="3"/>
  <c r="C14" i="3"/>
  <c r="I13" i="3"/>
  <c r="H13" i="3"/>
  <c r="C13" i="3"/>
  <c r="I12" i="3"/>
  <c r="H12" i="3"/>
  <c r="C12" i="3"/>
  <c r="I11" i="3"/>
  <c r="H11" i="3"/>
  <c r="C11" i="3"/>
  <c r="I10" i="3"/>
  <c r="H10" i="3"/>
  <c r="C10" i="3"/>
  <c r="I9" i="3"/>
  <c r="H9" i="3"/>
  <c r="C9" i="3"/>
  <c r="I8" i="3"/>
  <c r="H8" i="3"/>
  <c r="C8" i="3"/>
  <c r="I7" i="3"/>
  <c r="H7" i="3"/>
  <c r="C7" i="3"/>
  <c r="I6" i="3"/>
  <c r="H6" i="3"/>
  <c r="C6" i="3"/>
  <c r="AF9" i="1"/>
  <c r="AN9" i="1"/>
  <c r="AP9" i="1"/>
  <c r="AZ9" i="1"/>
  <c r="AF15" i="1"/>
  <c r="AN15" i="1"/>
  <c r="AP15" i="1"/>
  <c r="AZ15" i="1"/>
  <c r="AS5" i="1" l="1"/>
  <c r="BJ5" i="1"/>
  <c r="AE5" i="1"/>
  <c r="Q5" i="1"/>
  <c r="BB5" i="1"/>
  <c r="AO5" i="1"/>
  <c r="AI5" i="1"/>
  <c r="E4" i="1" l="1"/>
  <c r="CM43" i="1"/>
  <c r="CM33" i="1"/>
  <c r="CH43" i="1"/>
  <c r="CG43" i="1"/>
  <c r="CD43" i="1"/>
  <c r="AX43" i="1"/>
  <c r="AN43" i="1"/>
  <c r="AF43" i="1"/>
  <c r="Q198" i="1" l="1"/>
  <c r="P189" i="1"/>
  <c r="N189" i="1"/>
  <c r="L189" i="1"/>
  <c r="J189" i="1"/>
  <c r="H189" i="1"/>
  <c r="F189" i="1"/>
  <c r="Q178" i="1"/>
  <c r="P169" i="1"/>
  <c r="N169" i="1"/>
  <c r="L169" i="1"/>
  <c r="J169" i="1"/>
  <c r="H169" i="1"/>
  <c r="F169" i="1"/>
  <c r="Q158" i="1"/>
  <c r="Q197" i="1"/>
  <c r="Q191" i="1"/>
  <c r="Q188" i="1"/>
  <c r="M189" i="1"/>
  <c r="I189" i="1"/>
  <c r="O169" i="1"/>
  <c r="K169" i="1"/>
  <c r="G169" i="1"/>
  <c r="Q157" i="1"/>
  <c r="Q151" i="1"/>
  <c r="Q148" i="1"/>
  <c r="O149" i="1"/>
  <c r="M149" i="1"/>
  <c r="K149" i="1"/>
  <c r="I149" i="1"/>
  <c r="G149" i="1"/>
  <c r="Q137" i="1"/>
  <c r="Q131" i="1"/>
  <c r="P129" i="1"/>
  <c r="N129" i="1"/>
  <c r="L129" i="1"/>
  <c r="J129" i="1"/>
  <c r="H129" i="1"/>
  <c r="F129" i="1"/>
  <c r="Q118" i="1"/>
  <c r="P109" i="1"/>
  <c r="N109" i="1"/>
  <c r="L109" i="1"/>
  <c r="J109" i="1"/>
  <c r="H109" i="1"/>
  <c r="F109" i="1"/>
  <c r="Q98" i="1"/>
  <c r="P89" i="1"/>
  <c r="N89" i="1"/>
  <c r="L89" i="1"/>
  <c r="J89" i="1"/>
  <c r="H89" i="1"/>
  <c r="F89" i="1"/>
  <c r="O189" i="1"/>
  <c r="K189" i="1"/>
  <c r="G189" i="1"/>
  <c r="Q177" i="1"/>
  <c r="Q168" i="1"/>
  <c r="I169" i="1"/>
  <c r="N149" i="1"/>
  <c r="J149" i="1"/>
  <c r="F149" i="1"/>
  <c r="Q138" i="1"/>
  <c r="M129" i="1"/>
  <c r="I129" i="1"/>
  <c r="O109" i="1"/>
  <c r="K109" i="1"/>
  <c r="G109" i="1"/>
  <c r="Q97" i="1"/>
  <c r="Q91" i="1"/>
  <c r="Q88" i="1"/>
  <c r="M89" i="1"/>
  <c r="I89" i="1"/>
  <c r="Q171" i="1"/>
  <c r="M169" i="1"/>
  <c r="P149" i="1"/>
  <c r="L149" i="1"/>
  <c r="H149" i="1"/>
  <c r="Q128" i="1"/>
  <c r="O129" i="1"/>
  <c r="K129" i="1"/>
  <c r="G129" i="1"/>
  <c r="Q117" i="1"/>
  <c r="Q111" i="1"/>
  <c r="Q108" i="1"/>
  <c r="M109" i="1"/>
  <c r="I109" i="1"/>
  <c r="O89" i="1"/>
  <c r="K89" i="1"/>
  <c r="G89" i="1"/>
  <c r="J99" i="1"/>
  <c r="N199" i="1"/>
  <c r="J179" i="1"/>
  <c r="J159" i="1"/>
  <c r="J139" i="1"/>
  <c r="K199" i="1"/>
  <c r="N119" i="1"/>
  <c r="F119" i="1"/>
  <c r="P99" i="1"/>
  <c r="H99" i="1"/>
  <c r="P179" i="1"/>
  <c r="H179" i="1"/>
  <c r="P159" i="1"/>
  <c r="H159" i="1"/>
  <c r="P139" i="1"/>
  <c r="H139" i="1"/>
  <c r="M199" i="1"/>
  <c r="I199" i="1"/>
  <c r="L119" i="1"/>
  <c r="P42" i="1"/>
  <c r="N42" i="1"/>
  <c r="L42" i="1"/>
  <c r="J42" i="1"/>
  <c r="H42" i="1"/>
  <c r="F42" i="1"/>
  <c r="P41" i="1"/>
  <c r="N41" i="1"/>
  <c r="L41" i="1"/>
  <c r="J41" i="1"/>
  <c r="H41" i="1"/>
  <c r="F41" i="1"/>
  <c r="L26" i="1"/>
  <c r="J26" i="1"/>
  <c r="P19" i="1"/>
  <c r="N19" i="1"/>
  <c r="H19" i="1"/>
  <c r="F19" i="1"/>
  <c r="P20" i="1"/>
  <c r="N23" i="1"/>
  <c r="L15" i="1"/>
  <c r="J23" i="1"/>
  <c r="F25" i="1"/>
  <c r="O42" i="1"/>
  <c r="M42" i="1"/>
  <c r="K42" i="1"/>
  <c r="I42" i="1"/>
  <c r="G42" i="1"/>
  <c r="E42" i="1"/>
  <c r="O41" i="1"/>
  <c r="M41" i="1"/>
  <c r="K41" i="1"/>
  <c r="I41" i="1"/>
  <c r="G41" i="1"/>
  <c r="E41" i="1"/>
  <c r="I26" i="1"/>
  <c r="E9" i="1"/>
  <c r="F20" i="1"/>
  <c r="F23" i="1"/>
  <c r="J25" i="1"/>
  <c r="K119" i="1" l="1"/>
  <c r="G139" i="1"/>
  <c r="O139" i="1"/>
  <c r="K159" i="1"/>
  <c r="G179" i="1"/>
  <c r="O179" i="1"/>
  <c r="G99" i="1"/>
  <c r="O99" i="1"/>
  <c r="I119" i="1"/>
  <c r="I99" i="1"/>
  <c r="M179" i="1"/>
  <c r="I139" i="1"/>
  <c r="M139" i="1"/>
  <c r="M159" i="1"/>
  <c r="H199" i="1"/>
  <c r="L199" i="1"/>
  <c r="P199" i="1"/>
  <c r="H119" i="1"/>
  <c r="P119" i="1"/>
  <c r="L139" i="1"/>
  <c r="L159" i="1"/>
  <c r="L179" i="1"/>
  <c r="L99" i="1"/>
  <c r="G119" i="1"/>
  <c r="O119" i="1"/>
  <c r="J119" i="1"/>
  <c r="K139" i="1"/>
  <c r="G159" i="1"/>
  <c r="O159" i="1"/>
  <c r="K179" i="1"/>
  <c r="G199" i="1"/>
  <c r="O199" i="1"/>
  <c r="F139" i="1"/>
  <c r="N139" i="1"/>
  <c r="F159" i="1"/>
  <c r="N159" i="1"/>
  <c r="F179" i="1"/>
  <c r="N179" i="1"/>
  <c r="F199" i="1"/>
  <c r="F99" i="1"/>
  <c r="N99" i="1"/>
  <c r="K99" i="1"/>
  <c r="M119" i="1"/>
  <c r="M99" i="1"/>
  <c r="I179" i="1"/>
  <c r="I159" i="1"/>
  <c r="J199" i="1"/>
  <c r="G100" i="1"/>
  <c r="G95" i="1"/>
  <c r="K100" i="1"/>
  <c r="K95" i="1"/>
  <c r="O100" i="1"/>
  <c r="O95" i="1"/>
  <c r="E109" i="1"/>
  <c r="Q107" i="1"/>
  <c r="E115" i="1"/>
  <c r="Q113" i="1"/>
  <c r="I120" i="1"/>
  <c r="I115" i="1"/>
  <c r="M120" i="1"/>
  <c r="M115" i="1"/>
  <c r="Q114" i="1"/>
  <c r="Q119" i="1" s="1"/>
  <c r="E119" i="1"/>
  <c r="E120" i="1" s="1"/>
  <c r="H140" i="1"/>
  <c r="H135" i="1"/>
  <c r="L140" i="1"/>
  <c r="L135" i="1"/>
  <c r="P140" i="1"/>
  <c r="P135" i="1"/>
  <c r="G160" i="1"/>
  <c r="G155" i="1"/>
  <c r="O160" i="1"/>
  <c r="O155" i="1"/>
  <c r="E169" i="1"/>
  <c r="Q167" i="1"/>
  <c r="E89" i="1"/>
  <c r="Q87" i="1"/>
  <c r="E95" i="1"/>
  <c r="Q93" i="1"/>
  <c r="I100" i="1"/>
  <c r="I95" i="1"/>
  <c r="M100" i="1"/>
  <c r="M95" i="1"/>
  <c r="E99" i="1"/>
  <c r="E100" i="1" s="1"/>
  <c r="Q94" i="1"/>
  <c r="Q99" i="1" s="1"/>
  <c r="G120" i="1"/>
  <c r="G115" i="1"/>
  <c r="K120" i="1"/>
  <c r="K115" i="1"/>
  <c r="O120" i="1"/>
  <c r="O115" i="1"/>
  <c r="F140" i="1"/>
  <c r="F135" i="1"/>
  <c r="J140" i="1"/>
  <c r="J135" i="1"/>
  <c r="N140" i="1"/>
  <c r="N135" i="1"/>
  <c r="K160" i="1"/>
  <c r="K155" i="1"/>
  <c r="Q173" i="1"/>
  <c r="E175" i="1"/>
  <c r="I180" i="1"/>
  <c r="I175" i="1"/>
  <c r="M180" i="1"/>
  <c r="M175" i="1"/>
  <c r="E179" i="1"/>
  <c r="E180" i="1" s="1"/>
  <c r="Q174" i="1"/>
  <c r="Q179" i="1" s="1"/>
  <c r="G200" i="1"/>
  <c r="G195" i="1"/>
  <c r="K200" i="1"/>
  <c r="K195" i="1"/>
  <c r="O200" i="1"/>
  <c r="O195" i="1"/>
  <c r="F100" i="1"/>
  <c r="F95" i="1"/>
  <c r="H95" i="1"/>
  <c r="H100" i="1"/>
  <c r="J100" i="1"/>
  <c r="J95" i="1"/>
  <c r="L95" i="1"/>
  <c r="L100" i="1"/>
  <c r="N95" i="1"/>
  <c r="N100" i="1"/>
  <c r="P100" i="1"/>
  <c r="P95" i="1"/>
  <c r="F120" i="1"/>
  <c r="F115" i="1"/>
  <c r="H120" i="1"/>
  <c r="H115" i="1"/>
  <c r="J120" i="1"/>
  <c r="J115" i="1"/>
  <c r="L120" i="1"/>
  <c r="L115" i="1"/>
  <c r="N120" i="1"/>
  <c r="N115" i="1"/>
  <c r="P120" i="1"/>
  <c r="P115" i="1"/>
  <c r="Q133" i="1"/>
  <c r="E135" i="1"/>
  <c r="G140" i="1"/>
  <c r="G135" i="1"/>
  <c r="I140" i="1"/>
  <c r="I135" i="1"/>
  <c r="K140" i="1"/>
  <c r="K135" i="1"/>
  <c r="M140" i="1"/>
  <c r="M135" i="1"/>
  <c r="O140" i="1"/>
  <c r="O135" i="1"/>
  <c r="Q134" i="1"/>
  <c r="Q139" i="1" s="1"/>
  <c r="E139" i="1"/>
  <c r="E140" i="1" s="1"/>
  <c r="E129" i="1"/>
  <c r="Q127" i="1"/>
  <c r="Q147" i="1"/>
  <c r="E149" i="1"/>
  <c r="E155" i="1"/>
  <c r="Q153" i="1"/>
  <c r="I160" i="1"/>
  <c r="I155" i="1"/>
  <c r="M160" i="1"/>
  <c r="M155" i="1"/>
  <c r="E159" i="1"/>
  <c r="E160" i="1" s="1"/>
  <c r="Q154" i="1"/>
  <c r="Q159" i="1" s="1"/>
  <c r="G180" i="1"/>
  <c r="G175" i="1"/>
  <c r="K180" i="1"/>
  <c r="K175" i="1"/>
  <c r="O180" i="1"/>
  <c r="O175" i="1"/>
  <c r="E189" i="1"/>
  <c r="Q187" i="1"/>
  <c r="E195" i="1"/>
  <c r="Q193" i="1"/>
  <c r="I200" i="1"/>
  <c r="I195" i="1"/>
  <c r="M200" i="1"/>
  <c r="M195" i="1"/>
  <c r="E199" i="1"/>
  <c r="E200" i="1" s="1"/>
  <c r="Q194" i="1"/>
  <c r="Q199" i="1" s="1"/>
  <c r="F160" i="1"/>
  <c r="F155" i="1"/>
  <c r="H160" i="1"/>
  <c r="H155" i="1"/>
  <c r="J160" i="1"/>
  <c r="J155" i="1"/>
  <c r="L160" i="1"/>
  <c r="L155" i="1"/>
  <c r="N160" i="1"/>
  <c r="N155" i="1"/>
  <c r="P160" i="1"/>
  <c r="P155" i="1"/>
  <c r="F180" i="1"/>
  <c r="F175" i="1"/>
  <c r="H180" i="1"/>
  <c r="H175" i="1"/>
  <c r="J180" i="1"/>
  <c r="J175" i="1"/>
  <c r="L180" i="1"/>
  <c r="L175" i="1"/>
  <c r="N180" i="1"/>
  <c r="N175" i="1"/>
  <c r="P180" i="1"/>
  <c r="P175" i="1"/>
  <c r="F200" i="1"/>
  <c r="F195" i="1"/>
  <c r="H200" i="1"/>
  <c r="H195" i="1"/>
  <c r="J200" i="1"/>
  <c r="J195" i="1"/>
  <c r="L200" i="1"/>
  <c r="L195" i="1"/>
  <c r="N200" i="1"/>
  <c r="N195" i="1"/>
  <c r="P200" i="1"/>
  <c r="P195" i="1"/>
  <c r="O9" i="1"/>
  <c r="N20" i="1"/>
  <c r="F43" i="1"/>
  <c r="N43" i="1"/>
  <c r="N25" i="1"/>
  <c r="J43" i="1"/>
  <c r="L25" i="1"/>
  <c r="F15" i="1"/>
  <c r="P9" i="1"/>
  <c r="N15" i="1"/>
  <c r="J27" i="1"/>
  <c r="J15" i="1"/>
  <c r="N9" i="1"/>
  <c r="G26" i="1"/>
  <c r="G27" i="1" s="1"/>
  <c r="O26" i="1"/>
  <c r="O27" i="1" s="1"/>
  <c r="H20" i="1"/>
  <c r="K19" i="1"/>
  <c r="K20" i="1" s="1"/>
  <c r="M19" i="1"/>
  <c r="M20" i="1" s="1"/>
  <c r="P23" i="1"/>
  <c r="H15" i="1"/>
  <c r="K15" i="1"/>
  <c r="G19" i="1"/>
  <c r="O19" i="1"/>
  <c r="K26" i="1"/>
  <c r="K27" i="1" s="1"/>
  <c r="P15" i="1"/>
  <c r="H23" i="1"/>
  <c r="M15" i="1"/>
  <c r="I19" i="1"/>
  <c r="I35" i="1" s="1"/>
  <c r="M26" i="1"/>
  <c r="M27" i="1" s="1"/>
  <c r="J19" i="1"/>
  <c r="F26" i="1"/>
  <c r="N26" i="1"/>
  <c r="L19" i="1"/>
  <c r="H26" i="1"/>
  <c r="P26" i="1"/>
  <c r="P35" i="1" s="1"/>
  <c r="P45" i="1" s="1"/>
  <c r="G15" i="1"/>
  <c r="O23" i="1"/>
  <c r="K25" i="1"/>
  <c r="G23" i="1"/>
  <c r="O15" i="1"/>
  <c r="O25" i="1"/>
  <c r="G25" i="1"/>
  <c r="K23" i="1"/>
  <c r="Q18" i="1"/>
  <c r="Q22" i="1"/>
  <c r="Q24" i="1"/>
  <c r="Q29" i="1"/>
  <c r="Q30" i="1"/>
  <c r="Q31" i="1"/>
  <c r="Q32" i="1"/>
  <c r="Q33" i="1"/>
  <c r="Q34" i="1"/>
  <c r="Q14" i="1"/>
  <c r="Q13" i="1"/>
  <c r="Q17" i="1"/>
  <c r="Q8" i="1"/>
  <c r="Q11" i="1"/>
  <c r="L27" i="1"/>
  <c r="P25" i="1"/>
  <c r="H25" i="1"/>
  <c r="L23" i="1"/>
  <c r="L43" i="1"/>
  <c r="H43" i="1"/>
  <c r="E26" i="1"/>
  <c r="E27" i="1" s="1"/>
  <c r="H9" i="1"/>
  <c r="L9" i="1"/>
  <c r="G9" i="1"/>
  <c r="K9" i="1"/>
  <c r="E20" i="1"/>
  <c r="F9" i="1"/>
  <c r="J9" i="1"/>
  <c r="I9" i="1"/>
  <c r="M9" i="1"/>
  <c r="I36" i="1"/>
  <c r="I27" i="1"/>
  <c r="M25" i="1"/>
  <c r="I25" i="1"/>
  <c r="M23" i="1"/>
  <c r="I23" i="1"/>
  <c r="E23" i="1"/>
  <c r="I15" i="1"/>
  <c r="E15" i="1"/>
  <c r="P43" i="1"/>
  <c r="I43" i="1"/>
  <c r="E43" i="1"/>
  <c r="O43" i="1"/>
  <c r="K43" i="1"/>
  <c r="G43" i="1"/>
  <c r="M43" i="1"/>
  <c r="G35" i="1" l="1"/>
  <c r="G45" i="1" s="1"/>
  <c r="I20" i="1"/>
  <c r="P36" i="1"/>
  <c r="I38" i="1"/>
  <c r="I39" i="1" s="1"/>
  <c r="I45" i="1"/>
  <c r="P27" i="1"/>
  <c r="Q200" i="1"/>
  <c r="Q195" i="1"/>
  <c r="Q189" i="1"/>
  <c r="Q160" i="1"/>
  <c r="Q155" i="1"/>
  <c r="Q149" i="1"/>
  <c r="Q129" i="1"/>
  <c r="Q140" i="1"/>
  <c r="Q135" i="1"/>
  <c r="Q180" i="1"/>
  <c r="Q175" i="1"/>
  <c r="Q100" i="1"/>
  <c r="Q95" i="1"/>
  <c r="Q89" i="1"/>
  <c r="Q169" i="1"/>
  <c r="Q120" i="1"/>
  <c r="Q115" i="1"/>
  <c r="Q109" i="1"/>
  <c r="G20" i="1"/>
  <c r="P38" i="1"/>
  <c r="P39" i="1" s="1"/>
  <c r="G36" i="1"/>
  <c r="O35" i="1"/>
  <c r="O45" i="1" s="1"/>
  <c r="F35" i="1"/>
  <c r="F45" i="1" s="1"/>
  <c r="F27" i="1"/>
  <c r="M35" i="1"/>
  <c r="M45" i="1" s="1"/>
  <c r="L35" i="1"/>
  <c r="L45" i="1" s="1"/>
  <c r="L20" i="1"/>
  <c r="N27" i="1"/>
  <c r="N35" i="1"/>
  <c r="N45" i="1" s="1"/>
  <c r="K35" i="1"/>
  <c r="K45" i="1" s="1"/>
  <c r="H35" i="1"/>
  <c r="H45" i="1" s="1"/>
  <c r="H27" i="1"/>
  <c r="J35" i="1"/>
  <c r="J45" i="1" s="1"/>
  <c r="J20" i="1"/>
  <c r="O20" i="1"/>
  <c r="Q19" i="1"/>
  <c r="Q25" i="1"/>
  <c r="Q26" i="1"/>
  <c r="Q27" i="1" s="1"/>
  <c r="Q23" i="1"/>
  <c r="Q9" i="1"/>
  <c r="E35" i="1"/>
  <c r="E45" i="1" s="1"/>
  <c r="Q15" i="1"/>
  <c r="G38" i="1" l="1"/>
  <c r="G39" i="1" s="1"/>
  <c r="O36" i="1"/>
  <c r="O38" i="1"/>
  <c r="O39" i="1" s="1"/>
  <c r="K38" i="1"/>
  <c r="K39" i="1" s="1"/>
  <c r="K36" i="1"/>
  <c r="L36" i="1"/>
  <c r="L38" i="1"/>
  <c r="L39" i="1" s="1"/>
  <c r="J38" i="1"/>
  <c r="J39" i="1" s="1"/>
  <c r="J36" i="1"/>
  <c r="N38" i="1"/>
  <c r="N39" i="1" s="1"/>
  <c r="N36" i="1"/>
  <c r="M38" i="1"/>
  <c r="M39" i="1" s="1"/>
  <c r="M36" i="1"/>
  <c r="H36" i="1"/>
  <c r="H38" i="1"/>
  <c r="H39" i="1" s="1"/>
  <c r="F36" i="1"/>
  <c r="F38" i="1"/>
  <c r="F39" i="1" s="1"/>
  <c r="Q35" i="1"/>
  <c r="Q36" i="1" s="1"/>
  <c r="Q20" i="1"/>
  <c r="E38" i="1"/>
  <c r="E39" i="1" s="1"/>
  <c r="E36" i="1"/>
  <c r="Q38" i="1" l="1"/>
  <c r="Q39" i="1" s="1"/>
  <c r="CM8" i="1"/>
  <c r="CH8" i="1"/>
  <c r="CM34" i="1"/>
  <c r="CM31" i="1"/>
  <c r="CM30" i="1"/>
  <c r="CM29" i="1"/>
  <c r="CM26" i="1"/>
  <c r="CM35" i="1"/>
  <c r="CM32" i="1"/>
  <c r="CM24" i="1"/>
  <c r="CM22" i="1"/>
  <c r="CM19" i="1"/>
  <c r="CM18" i="1"/>
  <c r="CM17" i="1"/>
  <c r="CM14" i="1"/>
  <c r="CM13" i="1"/>
  <c r="CM11" i="1"/>
  <c r="CM7" i="1"/>
  <c r="CC20" i="1"/>
  <c r="CC15" i="1"/>
  <c r="CH7" i="1"/>
  <c r="CH11" i="1"/>
  <c r="CK39" i="1"/>
  <c r="CF39" i="1"/>
  <c r="AO37" i="1"/>
  <c r="BN37" i="1" s="1"/>
  <c r="AG37" i="1"/>
  <c r="CH9" i="1" l="1"/>
  <c r="AY37" i="1"/>
  <c r="BO37" i="1"/>
  <c r="BA37" i="1"/>
  <c r="AT37" i="1"/>
  <c r="AR37" i="1"/>
  <c r="CM27" i="1"/>
  <c r="CM36" i="1"/>
  <c r="CM15" i="1"/>
  <c r="CM25" i="1"/>
  <c r="CM23" i="1"/>
  <c r="BC37" i="1" l="1"/>
  <c r="BH37" i="1"/>
  <c r="CH35" i="1"/>
  <c r="CH34" i="1"/>
  <c r="CH33" i="1"/>
  <c r="CH32" i="1"/>
  <c r="CH31" i="1"/>
  <c r="CH30" i="1"/>
  <c r="CH29" i="1"/>
  <c r="CH26" i="1"/>
  <c r="CH24" i="1"/>
  <c r="CH22" i="1"/>
  <c r="CH19" i="1"/>
  <c r="CH18" i="1"/>
  <c r="CH17" i="1"/>
  <c r="CH14" i="1"/>
  <c r="CH13" i="1"/>
  <c r="BI37" i="1" l="1"/>
  <c r="BK37" i="1"/>
  <c r="CG37" i="1"/>
  <c r="CL37" i="1"/>
  <c r="CH27" i="1"/>
  <c r="CH23" i="1"/>
  <c r="CH15" i="1"/>
  <c r="CH36" i="1"/>
  <c r="CH25" i="1"/>
  <c r="CH20" i="1"/>
  <c r="AZ36" i="1"/>
  <c r="AZ27" i="1"/>
  <c r="AZ26" i="1"/>
  <c r="AZ35" i="1" s="1"/>
  <c r="AZ25" i="1"/>
  <c r="AZ23" i="1"/>
  <c r="AZ20" i="1"/>
  <c r="AP36" i="1"/>
  <c r="AP27" i="1"/>
  <c r="AP26" i="1"/>
  <c r="AP25" i="1"/>
  <c r="AP23" i="1"/>
  <c r="AP20" i="1"/>
  <c r="AP19" i="1"/>
  <c r="AF26" i="1"/>
  <c r="AF19" i="1"/>
  <c r="AP35" i="1" l="1"/>
  <c r="AF35" i="1"/>
  <c r="CC36" i="1"/>
  <c r="CF36" i="1"/>
  <c r="CK36" i="1"/>
  <c r="AN36" i="1"/>
  <c r="AF36" i="1"/>
  <c r="CK27" i="1"/>
  <c r="CF27" i="1"/>
  <c r="CC27" i="1"/>
  <c r="AN27" i="1"/>
  <c r="AF27" i="1"/>
  <c r="CK25" i="1"/>
  <c r="CF25" i="1"/>
  <c r="CC25" i="1"/>
  <c r="AN25" i="1"/>
  <c r="AF25" i="1"/>
  <c r="CK23" i="1"/>
  <c r="CF23" i="1"/>
  <c r="CC23" i="1"/>
  <c r="AN23" i="1"/>
  <c r="AF23" i="1"/>
  <c r="CM20" i="1"/>
  <c r="CK20" i="1"/>
  <c r="CF20" i="1"/>
  <c r="AN20" i="1"/>
  <c r="AF20" i="1"/>
  <c r="CK15" i="1"/>
  <c r="CF15" i="1"/>
  <c r="CM9" i="1"/>
  <c r="CK9" i="1"/>
  <c r="CF9" i="1"/>
  <c r="CC9" i="1"/>
  <c r="S7" i="1" l="1"/>
  <c r="S8" i="1"/>
  <c r="AC198" i="1"/>
  <c r="AA198" i="1"/>
  <c r="Y198" i="1"/>
  <c r="W198" i="1"/>
  <c r="U198" i="1"/>
  <c r="S198" i="1"/>
  <c r="AC197" i="1"/>
  <c r="AA197" i="1"/>
  <c r="Y197" i="1"/>
  <c r="W197" i="1"/>
  <c r="U197" i="1"/>
  <c r="S197" i="1"/>
  <c r="AC194" i="1"/>
  <c r="AA194" i="1"/>
  <c r="Y194" i="1"/>
  <c r="W194" i="1"/>
  <c r="U194" i="1"/>
  <c r="S194" i="1"/>
  <c r="AC193" i="1"/>
  <c r="AA193" i="1"/>
  <c r="Y193" i="1"/>
  <c r="AD198" i="1"/>
  <c r="AB198" i="1"/>
  <c r="Z198" i="1"/>
  <c r="X198" i="1"/>
  <c r="V198" i="1"/>
  <c r="T198" i="1"/>
  <c r="AD197" i="1"/>
  <c r="AB197" i="1"/>
  <c r="Z197" i="1"/>
  <c r="X197" i="1"/>
  <c r="V197" i="1"/>
  <c r="T197" i="1"/>
  <c r="AD194" i="1"/>
  <c r="AB194" i="1"/>
  <c r="Z194" i="1"/>
  <c r="X194" i="1"/>
  <c r="V194" i="1"/>
  <c r="T194" i="1"/>
  <c r="AD193" i="1"/>
  <c r="AB193" i="1"/>
  <c r="Z193" i="1"/>
  <c r="X193" i="1"/>
  <c r="V193" i="1"/>
  <c r="T193" i="1"/>
  <c r="AD191" i="1"/>
  <c r="AB191" i="1"/>
  <c r="Z191" i="1"/>
  <c r="X191" i="1"/>
  <c r="V191" i="1"/>
  <c r="T191" i="1"/>
  <c r="AD188" i="1"/>
  <c r="AB188" i="1"/>
  <c r="Z188" i="1"/>
  <c r="X188" i="1"/>
  <c r="V188" i="1"/>
  <c r="T188" i="1"/>
  <c r="AD187" i="1"/>
  <c r="AD189" i="1" s="1"/>
  <c r="AB187" i="1"/>
  <c r="Z187" i="1"/>
  <c r="X187" i="1"/>
  <c r="V187" i="1"/>
  <c r="T187" i="1"/>
  <c r="T189" i="1" s="1"/>
  <c r="AD178" i="1"/>
  <c r="AB178" i="1"/>
  <c r="Z178" i="1"/>
  <c r="X178" i="1"/>
  <c r="V178" i="1"/>
  <c r="T178" i="1"/>
  <c r="AD177" i="1"/>
  <c r="AB177" i="1"/>
  <c r="Z177" i="1"/>
  <c r="X177" i="1"/>
  <c r="V177" i="1"/>
  <c r="T177" i="1"/>
  <c r="AD174" i="1"/>
  <c r="AD179" i="1" s="1"/>
  <c r="AB174" i="1"/>
  <c r="Z174" i="1"/>
  <c r="X174" i="1"/>
  <c r="V174" i="1"/>
  <c r="T174" i="1"/>
  <c r="T179" i="1" s="1"/>
  <c r="AD173" i="1"/>
  <c r="AB173" i="1"/>
  <c r="Z173" i="1"/>
  <c r="X173" i="1"/>
  <c r="V173" i="1"/>
  <c r="T173" i="1"/>
  <c r="AD171" i="1"/>
  <c r="AB171" i="1"/>
  <c r="Z171" i="1"/>
  <c r="X171" i="1"/>
  <c r="V171" i="1"/>
  <c r="T171" i="1"/>
  <c r="AD168" i="1"/>
  <c r="AB168" i="1"/>
  <c r="Z168" i="1"/>
  <c r="X168" i="1"/>
  <c r="V168" i="1"/>
  <c r="T168" i="1"/>
  <c r="AD167" i="1"/>
  <c r="AD169" i="1" s="1"/>
  <c r="AB167" i="1"/>
  <c r="Z167" i="1"/>
  <c r="X167" i="1"/>
  <c r="V167" i="1"/>
  <c r="T167" i="1"/>
  <c r="T169" i="1" s="1"/>
  <c r="AD158" i="1"/>
  <c r="W193" i="1"/>
  <c r="S193" i="1"/>
  <c r="AA191" i="1"/>
  <c r="W191" i="1"/>
  <c r="S191" i="1"/>
  <c r="AA188" i="1"/>
  <c r="W188" i="1"/>
  <c r="S188" i="1"/>
  <c r="AA187" i="1"/>
  <c r="W187" i="1"/>
  <c r="S187" i="1"/>
  <c r="AA178" i="1"/>
  <c r="W178" i="1"/>
  <c r="S178" i="1"/>
  <c r="AA177" i="1"/>
  <c r="W177" i="1"/>
  <c r="S177" i="1"/>
  <c r="AA174" i="1"/>
  <c r="W174" i="1"/>
  <c r="S174" i="1"/>
  <c r="AA173" i="1"/>
  <c r="W173" i="1"/>
  <c r="S173" i="1"/>
  <c r="AA171" i="1"/>
  <c r="W171" i="1"/>
  <c r="S171" i="1"/>
  <c r="AA168" i="1"/>
  <c r="W168" i="1"/>
  <c r="S168" i="1"/>
  <c r="AA167" i="1"/>
  <c r="AA169" i="1" s="1"/>
  <c r="W167" i="1"/>
  <c r="S167" i="1"/>
  <c r="AB158" i="1"/>
  <c r="Z158" i="1"/>
  <c r="X158" i="1"/>
  <c r="V158" i="1"/>
  <c r="T158" i="1"/>
  <c r="AD157" i="1"/>
  <c r="AB157" i="1"/>
  <c r="Z157" i="1"/>
  <c r="X157" i="1"/>
  <c r="V157" i="1"/>
  <c r="T157" i="1"/>
  <c r="AD154" i="1"/>
  <c r="AB154" i="1"/>
  <c r="Z154" i="1"/>
  <c r="X154" i="1"/>
  <c r="V154" i="1"/>
  <c r="T154" i="1"/>
  <c r="AD153" i="1"/>
  <c r="AB153" i="1"/>
  <c r="Z153" i="1"/>
  <c r="X153" i="1"/>
  <c r="V153" i="1"/>
  <c r="T153" i="1"/>
  <c r="AD151" i="1"/>
  <c r="AB151" i="1"/>
  <c r="Z151" i="1"/>
  <c r="X151" i="1"/>
  <c r="V151" i="1"/>
  <c r="T151" i="1"/>
  <c r="AD148" i="1"/>
  <c r="AB148" i="1"/>
  <c r="Z148" i="1"/>
  <c r="X148" i="1"/>
  <c r="V148" i="1"/>
  <c r="T148" i="1"/>
  <c r="AD147" i="1"/>
  <c r="AB147" i="1"/>
  <c r="Z147" i="1"/>
  <c r="X147" i="1"/>
  <c r="X149" i="1" s="1"/>
  <c r="V147" i="1"/>
  <c r="V149" i="1" s="1"/>
  <c r="T147" i="1"/>
  <c r="AD138" i="1"/>
  <c r="AB138" i="1"/>
  <c r="Z138" i="1"/>
  <c r="X138" i="1"/>
  <c r="V138" i="1"/>
  <c r="T138" i="1"/>
  <c r="AD137" i="1"/>
  <c r="AB137" i="1"/>
  <c r="Z137" i="1"/>
  <c r="X137" i="1"/>
  <c r="V137" i="1"/>
  <c r="T137" i="1"/>
  <c r="U193" i="1"/>
  <c r="AC191" i="1"/>
  <c r="Y191" i="1"/>
  <c r="U191" i="1"/>
  <c r="AC188" i="1"/>
  <c r="Y188" i="1"/>
  <c r="U188" i="1"/>
  <c r="AC187" i="1"/>
  <c r="Y187" i="1"/>
  <c r="U187" i="1"/>
  <c r="U189" i="1" s="1"/>
  <c r="AC178" i="1"/>
  <c r="Y178" i="1"/>
  <c r="U178" i="1"/>
  <c r="AC177" i="1"/>
  <c r="Y177" i="1"/>
  <c r="U177" i="1"/>
  <c r="AC174" i="1"/>
  <c r="Y174" i="1"/>
  <c r="U174" i="1"/>
  <c r="AC173" i="1"/>
  <c r="Y173" i="1"/>
  <c r="U173" i="1"/>
  <c r="AC171" i="1"/>
  <c r="Y171" i="1"/>
  <c r="U171" i="1"/>
  <c r="AC168" i="1"/>
  <c r="Y168" i="1"/>
  <c r="U168" i="1"/>
  <c r="AC167" i="1"/>
  <c r="AC169" i="1" s="1"/>
  <c r="Y167" i="1"/>
  <c r="Y169" i="1" s="1"/>
  <c r="U167" i="1"/>
  <c r="AC158" i="1"/>
  <c r="AA158" i="1"/>
  <c r="Y158" i="1"/>
  <c r="W158" i="1"/>
  <c r="U158" i="1"/>
  <c r="S158" i="1"/>
  <c r="AC157" i="1"/>
  <c r="AA157" i="1"/>
  <c r="Y157" i="1"/>
  <c r="W157" i="1"/>
  <c r="U157" i="1"/>
  <c r="S157" i="1"/>
  <c r="AC154" i="1"/>
  <c r="AA154" i="1"/>
  <c r="Y154" i="1"/>
  <c r="W154" i="1"/>
  <c r="U154" i="1"/>
  <c r="S154" i="1"/>
  <c r="AC153" i="1"/>
  <c r="AA153" i="1"/>
  <c r="Y153" i="1"/>
  <c r="W153" i="1"/>
  <c r="U153" i="1"/>
  <c r="S153" i="1"/>
  <c r="AC151" i="1"/>
  <c r="AA151" i="1"/>
  <c r="Y151" i="1"/>
  <c r="W151" i="1"/>
  <c r="U151" i="1"/>
  <c r="S151" i="1"/>
  <c r="AC148" i="1"/>
  <c r="AA148" i="1"/>
  <c r="Y148" i="1"/>
  <c r="W148" i="1"/>
  <c r="U148" i="1"/>
  <c r="S148" i="1"/>
  <c r="AC147" i="1"/>
  <c r="AA147" i="1"/>
  <c r="Y147" i="1"/>
  <c r="Y149" i="1" s="1"/>
  <c r="W147" i="1"/>
  <c r="W149" i="1" s="1"/>
  <c r="U147" i="1"/>
  <c r="S147" i="1"/>
  <c r="AC138" i="1"/>
  <c r="AA138" i="1"/>
  <c r="Y138" i="1"/>
  <c r="W138" i="1"/>
  <c r="U138" i="1"/>
  <c r="S138" i="1"/>
  <c r="AC137" i="1"/>
  <c r="AA137" i="1"/>
  <c r="Y137" i="1"/>
  <c r="W137" i="1"/>
  <c r="U137" i="1"/>
  <c r="S137" i="1"/>
  <c r="AC134" i="1"/>
  <c r="AD134" i="1"/>
  <c r="AA134" i="1"/>
  <c r="Y134" i="1"/>
  <c r="W134" i="1"/>
  <c r="U134" i="1"/>
  <c r="S134" i="1"/>
  <c r="AC133" i="1"/>
  <c r="AA133" i="1"/>
  <c r="Y133" i="1"/>
  <c r="W133" i="1"/>
  <c r="U133" i="1"/>
  <c r="S133" i="1"/>
  <c r="AC131" i="1"/>
  <c r="AA131" i="1"/>
  <c r="Y131" i="1"/>
  <c r="W131" i="1"/>
  <c r="U131" i="1"/>
  <c r="S131" i="1"/>
  <c r="AC128" i="1"/>
  <c r="AA128" i="1"/>
  <c r="Y128" i="1"/>
  <c r="W128" i="1"/>
  <c r="U128" i="1"/>
  <c r="S128" i="1"/>
  <c r="AE128" i="1" s="1"/>
  <c r="AC127" i="1"/>
  <c r="AA127" i="1"/>
  <c r="AA129" i="1" s="1"/>
  <c r="Y127" i="1"/>
  <c r="Y129" i="1" s="1"/>
  <c r="W127" i="1"/>
  <c r="W129" i="1" s="1"/>
  <c r="U127" i="1"/>
  <c r="S127" i="1"/>
  <c r="AC118" i="1"/>
  <c r="AA118" i="1"/>
  <c r="Y118" i="1"/>
  <c r="W118" i="1"/>
  <c r="U118" i="1"/>
  <c r="S118" i="1"/>
  <c r="AC117" i="1"/>
  <c r="AA117" i="1"/>
  <c r="Y117" i="1"/>
  <c r="W117" i="1"/>
  <c r="U117" i="1"/>
  <c r="S117" i="1"/>
  <c r="AE117" i="1" s="1"/>
  <c r="AC114" i="1"/>
  <c r="AA114" i="1"/>
  <c r="Y114" i="1"/>
  <c r="W114" i="1"/>
  <c r="U114" i="1"/>
  <c r="S114" i="1"/>
  <c r="AC113" i="1"/>
  <c r="AA113" i="1"/>
  <c r="Y113" i="1"/>
  <c r="W113" i="1"/>
  <c r="U113" i="1"/>
  <c r="S113" i="1"/>
  <c r="AC111" i="1"/>
  <c r="AA111" i="1"/>
  <c r="Y111" i="1"/>
  <c r="W111" i="1"/>
  <c r="U111" i="1"/>
  <c r="S111" i="1"/>
  <c r="AE111" i="1" s="1"/>
  <c r="AC108" i="1"/>
  <c r="AA108" i="1"/>
  <c r="Y108" i="1"/>
  <c r="W108" i="1"/>
  <c r="U108" i="1"/>
  <c r="S108" i="1"/>
  <c r="AE108" i="1" s="1"/>
  <c r="AC107" i="1"/>
  <c r="AA107" i="1"/>
  <c r="AA109" i="1" s="1"/>
  <c r="Y107" i="1"/>
  <c r="Y109" i="1" s="1"/>
  <c r="W107" i="1"/>
  <c r="W109" i="1" s="1"/>
  <c r="U107" i="1"/>
  <c r="S107" i="1"/>
  <c r="AC98" i="1"/>
  <c r="AA98" i="1"/>
  <c r="Y98" i="1"/>
  <c r="W98" i="1"/>
  <c r="U98" i="1"/>
  <c r="S98" i="1"/>
  <c r="AE98" i="1" s="1"/>
  <c r="AC97" i="1"/>
  <c r="AA97" i="1"/>
  <c r="Y97" i="1"/>
  <c r="W97" i="1"/>
  <c r="U97" i="1"/>
  <c r="S97" i="1"/>
  <c r="AE97" i="1" s="1"/>
  <c r="AC94" i="1"/>
  <c r="AA94" i="1"/>
  <c r="Y94" i="1"/>
  <c r="Y99" i="1" s="1"/>
  <c r="W94" i="1"/>
  <c r="W99" i="1" s="1"/>
  <c r="U94" i="1"/>
  <c r="S94" i="1"/>
  <c r="AC93" i="1"/>
  <c r="AA93" i="1"/>
  <c r="Y93" i="1"/>
  <c r="W93" i="1"/>
  <c r="U93" i="1"/>
  <c r="S93" i="1"/>
  <c r="AC91" i="1"/>
  <c r="AA91" i="1"/>
  <c r="Y91" i="1"/>
  <c r="W91" i="1"/>
  <c r="U91" i="1"/>
  <c r="S91" i="1"/>
  <c r="AE91" i="1" s="1"/>
  <c r="AC88" i="1"/>
  <c r="AA88" i="1"/>
  <c r="Y88" i="1"/>
  <c r="W88" i="1"/>
  <c r="U88" i="1"/>
  <c r="S88" i="1"/>
  <c r="AE88" i="1" s="1"/>
  <c r="AC87" i="1"/>
  <c r="AA87" i="1"/>
  <c r="AA89" i="1" s="1"/>
  <c r="Y87" i="1"/>
  <c r="Y89" i="1" s="1"/>
  <c r="W87" i="1"/>
  <c r="W89" i="1" s="1"/>
  <c r="U87" i="1"/>
  <c r="S87" i="1"/>
  <c r="AC34" i="1"/>
  <c r="AA34" i="1"/>
  <c r="Y34" i="1"/>
  <c r="W34" i="1"/>
  <c r="U34" i="1"/>
  <c r="S34" i="1"/>
  <c r="AC33" i="1"/>
  <c r="AA33" i="1"/>
  <c r="Y33" i="1"/>
  <c r="W33" i="1"/>
  <c r="U33" i="1"/>
  <c r="S33" i="1"/>
  <c r="AC32" i="1"/>
  <c r="AA32" i="1"/>
  <c r="Y32" i="1"/>
  <c r="W32" i="1"/>
  <c r="U32" i="1"/>
  <c r="S32" i="1"/>
  <c r="AC31" i="1"/>
  <c r="AA31" i="1"/>
  <c r="Y31" i="1"/>
  <c r="W31" i="1"/>
  <c r="U31" i="1"/>
  <c r="S31" i="1"/>
  <c r="AC30" i="1"/>
  <c r="AA30" i="1"/>
  <c r="Y30" i="1"/>
  <c r="W30" i="1"/>
  <c r="U30" i="1"/>
  <c r="S30" i="1"/>
  <c r="AC29" i="1"/>
  <c r="AA29" i="1"/>
  <c r="Y29" i="1"/>
  <c r="W29" i="1"/>
  <c r="U29" i="1"/>
  <c r="S29" i="1"/>
  <c r="AC24" i="1"/>
  <c r="AA24" i="1"/>
  <c r="Y24" i="1"/>
  <c r="W24" i="1"/>
  <c r="U24" i="1"/>
  <c r="S24" i="1"/>
  <c r="AC22" i="1"/>
  <c r="AA22" i="1"/>
  <c r="Y22" i="1"/>
  <c r="W22" i="1"/>
  <c r="U22" i="1"/>
  <c r="S22" i="1"/>
  <c r="AC18" i="1"/>
  <c r="AA18" i="1"/>
  <c r="Y18" i="1"/>
  <c r="W18" i="1"/>
  <c r="U18" i="1"/>
  <c r="S18" i="1"/>
  <c r="AC17" i="1"/>
  <c r="AA17" i="1"/>
  <c r="AB134" i="1"/>
  <c r="AB139" i="1" s="1"/>
  <c r="Z134" i="1"/>
  <c r="Z139" i="1" s="1"/>
  <c r="X134" i="1"/>
  <c r="V134" i="1"/>
  <c r="T134" i="1"/>
  <c r="AD133" i="1"/>
  <c r="AB133" i="1"/>
  <c r="Z133" i="1"/>
  <c r="X133" i="1"/>
  <c r="V133" i="1"/>
  <c r="T133" i="1"/>
  <c r="AD131" i="1"/>
  <c r="AB131" i="1"/>
  <c r="Z131" i="1"/>
  <c r="X131" i="1"/>
  <c r="V131" i="1"/>
  <c r="T131" i="1"/>
  <c r="AD128" i="1"/>
  <c r="AB128" i="1"/>
  <c r="Z128" i="1"/>
  <c r="X128" i="1"/>
  <c r="V128" i="1"/>
  <c r="T128" i="1"/>
  <c r="AD127" i="1"/>
  <c r="AD129" i="1" s="1"/>
  <c r="AB127" i="1"/>
  <c r="AB129" i="1" s="1"/>
  <c r="Z127" i="1"/>
  <c r="X127" i="1"/>
  <c r="V127" i="1"/>
  <c r="V129" i="1" s="1"/>
  <c r="T127" i="1"/>
  <c r="AD118" i="1"/>
  <c r="AB118" i="1"/>
  <c r="Z118" i="1"/>
  <c r="X118" i="1"/>
  <c r="V118" i="1"/>
  <c r="T118" i="1"/>
  <c r="AD117" i="1"/>
  <c r="AB117" i="1"/>
  <c r="Z117" i="1"/>
  <c r="X117" i="1"/>
  <c r="V117" i="1"/>
  <c r="T117" i="1"/>
  <c r="AD114" i="1"/>
  <c r="AB114" i="1"/>
  <c r="Z114" i="1"/>
  <c r="X114" i="1"/>
  <c r="V114" i="1"/>
  <c r="T114" i="1"/>
  <c r="AD113" i="1"/>
  <c r="AB113" i="1"/>
  <c r="Z113" i="1"/>
  <c r="X113" i="1"/>
  <c r="V113" i="1"/>
  <c r="T113" i="1"/>
  <c r="AD111" i="1"/>
  <c r="AB111" i="1"/>
  <c r="Z111" i="1"/>
  <c r="X111" i="1"/>
  <c r="V111" i="1"/>
  <c r="T111" i="1"/>
  <c r="AD108" i="1"/>
  <c r="AB108" i="1"/>
  <c r="Z108" i="1"/>
  <c r="X108" i="1"/>
  <c r="V108" i="1"/>
  <c r="T108" i="1"/>
  <c r="AD107" i="1"/>
  <c r="AD109" i="1" s="1"/>
  <c r="AB107" i="1"/>
  <c r="AB109" i="1" s="1"/>
  <c r="Z107" i="1"/>
  <c r="Z109" i="1" s="1"/>
  <c r="X107" i="1"/>
  <c r="X109" i="1" s="1"/>
  <c r="V107" i="1"/>
  <c r="V109" i="1" s="1"/>
  <c r="T107" i="1"/>
  <c r="AD98" i="1"/>
  <c r="AB98" i="1"/>
  <c r="Z98" i="1"/>
  <c r="X98" i="1"/>
  <c r="V98" i="1"/>
  <c r="T98" i="1"/>
  <c r="AD97" i="1"/>
  <c r="AB97" i="1"/>
  <c r="Z97" i="1"/>
  <c r="X97" i="1"/>
  <c r="V97" i="1"/>
  <c r="T97" i="1"/>
  <c r="AD94" i="1"/>
  <c r="AD99" i="1" s="1"/>
  <c r="AB94" i="1"/>
  <c r="AB99" i="1" s="1"/>
  <c r="Z94" i="1"/>
  <c r="Z99" i="1" s="1"/>
  <c r="X94" i="1"/>
  <c r="X99" i="1" s="1"/>
  <c r="V94" i="1"/>
  <c r="V99" i="1" s="1"/>
  <c r="T94" i="1"/>
  <c r="T99" i="1" s="1"/>
  <c r="AD93" i="1"/>
  <c r="AB93" i="1"/>
  <c r="Z93" i="1"/>
  <c r="X93" i="1"/>
  <c r="V93" i="1"/>
  <c r="T93" i="1"/>
  <c r="AD91" i="1"/>
  <c r="AB91" i="1"/>
  <c r="Z91" i="1"/>
  <c r="X91" i="1"/>
  <c r="V91" i="1"/>
  <c r="T91" i="1"/>
  <c r="AD88" i="1"/>
  <c r="AB88" i="1"/>
  <c r="Z88" i="1"/>
  <c r="X88" i="1"/>
  <c r="V88" i="1"/>
  <c r="T88" i="1"/>
  <c r="AD87" i="1"/>
  <c r="AD89" i="1" s="1"/>
  <c r="AB87" i="1"/>
  <c r="AB89" i="1" s="1"/>
  <c r="Z87" i="1"/>
  <c r="Z89" i="1" s="1"/>
  <c r="X87" i="1"/>
  <c r="X89" i="1" s="1"/>
  <c r="V87" i="1"/>
  <c r="V89" i="1" s="1"/>
  <c r="T87" i="1"/>
  <c r="T89" i="1" s="1"/>
  <c r="AD34" i="1"/>
  <c r="AB34" i="1"/>
  <c r="Z34" i="1"/>
  <c r="X34" i="1"/>
  <c r="V34" i="1"/>
  <c r="T34" i="1"/>
  <c r="AD33" i="1"/>
  <c r="AB33" i="1"/>
  <c r="Z33" i="1"/>
  <c r="X33" i="1"/>
  <c r="V33" i="1"/>
  <c r="T33" i="1"/>
  <c r="AD32" i="1"/>
  <c r="AB32" i="1"/>
  <c r="Z32" i="1"/>
  <c r="X32" i="1"/>
  <c r="V32" i="1"/>
  <c r="T32" i="1"/>
  <c r="AD31" i="1"/>
  <c r="AB31" i="1"/>
  <c r="Z31" i="1"/>
  <c r="X31" i="1"/>
  <c r="V31" i="1"/>
  <c r="T31" i="1"/>
  <c r="AD30" i="1"/>
  <c r="AB30" i="1"/>
  <c r="Z30" i="1"/>
  <c r="X30" i="1"/>
  <c r="V30" i="1"/>
  <c r="T30" i="1"/>
  <c r="AD29" i="1"/>
  <c r="AB29" i="1"/>
  <c r="Z29" i="1"/>
  <c r="X29" i="1"/>
  <c r="V29" i="1"/>
  <c r="T29" i="1"/>
  <c r="AD24" i="1"/>
  <c r="AB24" i="1"/>
  <c r="Z24" i="1"/>
  <c r="X24" i="1"/>
  <c r="V24" i="1"/>
  <c r="T24" i="1"/>
  <c r="AD22" i="1"/>
  <c r="AB22" i="1"/>
  <c r="Z22" i="1"/>
  <c r="X22" i="1"/>
  <c r="V22" i="1"/>
  <c r="T22" i="1"/>
  <c r="AD18" i="1"/>
  <c r="AB18" i="1"/>
  <c r="Z18" i="1"/>
  <c r="X18" i="1"/>
  <c r="V18" i="1"/>
  <c r="T18" i="1"/>
  <c r="AD17" i="1"/>
  <c r="AB17" i="1"/>
  <c r="Z17" i="1"/>
  <c r="Y17" i="1"/>
  <c r="W17" i="1"/>
  <c r="U17" i="1"/>
  <c r="S17" i="1"/>
  <c r="AC14" i="1"/>
  <c r="AA14" i="1"/>
  <c r="Y14" i="1"/>
  <c r="W14" i="1"/>
  <c r="U14" i="1"/>
  <c r="S14" i="1"/>
  <c r="AC13" i="1"/>
  <c r="AA13" i="1"/>
  <c r="Y13" i="1"/>
  <c r="W13" i="1"/>
  <c r="U13" i="1"/>
  <c r="S13" i="1"/>
  <c r="AC11" i="1"/>
  <c r="AA11" i="1"/>
  <c r="Y11" i="1"/>
  <c r="W11" i="1"/>
  <c r="U11" i="1"/>
  <c r="S11" i="1"/>
  <c r="AC8" i="1"/>
  <c r="AA8" i="1"/>
  <c r="Y8" i="1"/>
  <c r="W8" i="1"/>
  <c r="U8" i="1"/>
  <c r="AD7" i="1"/>
  <c r="AB7" i="1"/>
  <c r="Z7" i="1"/>
  <c r="X7" i="1"/>
  <c r="V7" i="1"/>
  <c r="T7" i="1"/>
  <c r="X17" i="1"/>
  <c r="V17" i="1"/>
  <c r="T17" i="1"/>
  <c r="AD14" i="1"/>
  <c r="AB14" i="1"/>
  <c r="Z14" i="1"/>
  <c r="X14" i="1"/>
  <c r="V14" i="1"/>
  <c r="T14" i="1"/>
  <c r="AD13" i="1"/>
  <c r="AB13" i="1"/>
  <c r="Z13" i="1"/>
  <c r="X13" i="1"/>
  <c r="V13" i="1"/>
  <c r="T13" i="1"/>
  <c r="AD11" i="1"/>
  <c r="AB11" i="1"/>
  <c r="Z11" i="1"/>
  <c r="X11" i="1"/>
  <c r="V11" i="1"/>
  <c r="T11" i="1"/>
  <c r="AD8" i="1"/>
  <c r="AB8" i="1"/>
  <c r="Z8" i="1"/>
  <c r="X8" i="1"/>
  <c r="V8" i="1"/>
  <c r="T8" i="1"/>
  <c r="AC7" i="1"/>
  <c r="AA7" i="1"/>
  <c r="Y7" i="1"/>
  <c r="Y9" i="1" s="1"/>
  <c r="W7" i="1"/>
  <c r="U7" i="1"/>
  <c r="AB79" i="1"/>
  <c r="X79" i="1"/>
  <c r="T79" i="1"/>
  <c r="AB78" i="1"/>
  <c r="X78" i="1"/>
  <c r="T78" i="1"/>
  <c r="AB77" i="1"/>
  <c r="X77" i="1"/>
  <c r="T77" i="1"/>
  <c r="AB76" i="1"/>
  <c r="X76" i="1"/>
  <c r="T76" i="1"/>
  <c r="AB75" i="1"/>
  <c r="X75" i="1"/>
  <c r="T75" i="1"/>
  <c r="AB74" i="1"/>
  <c r="X74" i="1"/>
  <c r="T74" i="1"/>
  <c r="AB69" i="1"/>
  <c r="X69" i="1"/>
  <c r="T69" i="1"/>
  <c r="AB67" i="1"/>
  <c r="X67" i="1"/>
  <c r="T67" i="1"/>
  <c r="AB63" i="1"/>
  <c r="X63" i="1"/>
  <c r="T63" i="1"/>
  <c r="AB62" i="1"/>
  <c r="X62" i="1"/>
  <c r="T62" i="1"/>
  <c r="AB59" i="1"/>
  <c r="X59" i="1"/>
  <c r="T59" i="1"/>
  <c r="AB58" i="1"/>
  <c r="X58" i="1"/>
  <c r="T58" i="1"/>
  <c r="AB56" i="1"/>
  <c r="X56" i="1"/>
  <c r="T56" i="1"/>
  <c r="AB53" i="1"/>
  <c r="X53" i="1"/>
  <c r="T53" i="1"/>
  <c r="AA79" i="1"/>
  <c r="S79" i="1"/>
  <c r="AE79" i="1" s="1"/>
  <c r="W78" i="1"/>
  <c r="AA77" i="1"/>
  <c r="S77" i="1"/>
  <c r="AE77" i="1" s="1"/>
  <c r="W76" i="1"/>
  <c r="AA75" i="1"/>
  <c r="S75" i="1"/>
  <c r="AE75" i="1" s="1"/>
  <c r="W74" i="1"/>
  <c r="AA69" i="1"/>
  <c r="S69" i="1"/>
  <c r="AE69" i="1" s="1"/>
  <c r="W67" i="1"/>
  <c r="AA63" i="1"/>
  <c r="S63" i="1"/>
  <c r="AE63" i="1" s="1"/>
  <c r="W62" i="1"/>
  <c r="AA59" i="1"/>
  <c r="S59" i="1"/>
  <c r="W58" i="1"/>
  <c r="AA56" i="1"/>
  <c r="S56" i="1"/>
  <c r="AE56" i="1" s="1"/>
  <c r="W53" i="1"/>
  <c r="AB52" i="1"/>
  <c r="AB54" i="1" s="1"/>
  <c r="X52" i="1"/>
  <c r="X54" i="1" s="1"/>
  <c r="T52" i="1"/>
  <c r="T54" i="1" s="1"/>
  <c r="Y79" i="1"/>
  <c r="AC78" i="1"/>
  <c r="U78" i="1"/>
  <c r="Y77" i="1"/>
  <c r="AC76" i="1"/>
  <c r="U76" i="1"/>
  <c r="Y75" i="1"/>
  <c r="AC74" i="1"/>
  <c r="U74" i="1"/>
  <c r="Y69" i="1"/>
  <c r="AC67" i="1"/>
  <c r="U67" i="1"/>
  <c r="Y63" i="1"/>
  <c r="AC62" i="1"/>
  <c r="U62" i="1"/>
  <c r="Y59" i="1"/>
  <c r="AC58" i="1"/>
  <c r="U58" i="1"/>
  <c r="Y56" i="1"/>
  <c r="AC53" i="1"/>
  <c r="U53" i="1"/>
  <c r="AA52" i="1"/>
  <c r="AA54" i="1" s="1"/>
  <c r="W52" i="1"/>
  <c r="W54" i="1" s="1"/>
  <c r="S52" i="1"/>
  <c r="AD79" i="1"/>
  <c r="Z79" i="1"/>
  <c r="V79" i="1"/>
  <c r="AD78" i="1"/>
  <c r="Z78" i="1"/>
  <c r="V78" i="1"/>
  <c r="AD77" i="1"/>
  <c r="Z77" i="1"/>
  <c r="V77" i="1"/>
  <c r="AD76" i="1"/>
  <c r="Z76" i="1"/>
  <c r="V76" i="1"/>
  <c r="AD75" i="1"/>
  <c r="Z75" i="1"/>
  <c r="V75" i="1"/>
  <c r="AD74" i="1"/>
  <c r="Z74" i="1"/>
  <c r="V74" i="1"/>
  <c r="AD69" i="1"/>
  <c r="Z69" i="1"/>
  <c r="V69" i="1"/>
  <c r="AD67" i="1"/>
  <c r="Z67" i="1"/>
  <c r="V67" i="1"/>
  <c r="AD63" i="1"/>
  <c r="Z63" i="1"/>
  <c r="V63" i="1"/>
  <c r="AD62" i="1"/>
  <c r="Z62" i="1"/>
  <c r="V62" i="1"/>
  <c r="AD59" i="1"/>
  <c r="Z59" i="1"/>
  <c r="V59" i="1"/>
  <c r="AD58" i="1"/>
  <c r="Z58" i="1"/>
  <c r="V58" i="1"/>
  <c r="AD56" i="1"/>
  <c r="Z56" i="1"/>
  <c r="V56" i="1"/>
  <c r="AD53" i="1"/>
  <c r="Z53" i="1"/>
  <c r="V53" i="1"/>
  <c r="AD52" i="1"/>
  <c r="AD54" i="1" s="1"/>
  <c r="W79" i="1"/>
  <c r="AA78" i="1"/>
  <c r="S78" i="1"/>
  <c r="AE78" i="1" s="1"/>
  <c r="W77" i="1"/>
  <c r="AA76" i="1"/>
  <c r="S76" i="1"/>
  <c r="AE76" i="1" s="1"/>
  <c r="W75" i="1"/>
  <c r="AA74" i="1"/>
  <c r="S74" i="1"/>
  <c r="AE74" i="1" s="1"/>
  <c r="W69" i="1"/>
  <c r="AA67" i="1"/>
  <c r="S67" i="1"/>
  <c r="W63" i="1"/>
  <c r="AA62" i="1"/>
  <c r="S62" i="1"/>
  <c r="AE62" i="1" s="1"/>
  <c r="W59" i="1"/>
  <c r="AA58" i="1"/>
  <c r="S58" i="1"/>
  <c r="W56" i="1"/>
  <c r="AA53" i="1"/>
  <c r="S53" i="1"/>
  <c r="AE53" i="1" s="1"/>
  <c r="Z52" i="1"/>
  <c r="Z54" i="1" s="1"/>
  <c r="V52" i="1"/>
  <c r="V54" i="1" s="1"/>
  <c r="AC79" i="1"/>
  <c r="U79" i="1"/>
  <c r="Y78" i="1"/>
  <c r="AC77" i="1"/>
  <c r="U77" i="1"/>
  <c r="Y76" i="1"/>
  <c r="AC75" i="1"/>
  <c r="U75" i="1"/>
  <c r="Y74" i="1"/>
  <c r="AC69" i="1"/>
  <c r="U69" i="1"/>
  <c r="Y67" i="1"/>
  <c r="AC63" i="1"/>
  <c r="U63" i="1"/>
  <c r="Y62" i="1"/>
  <c r="AC59" i="1"/>
  <c r="U59" i="1"/>
  <c r="Y58" i="1"/>
  <c r="AC56" i="1"/>
  <c r="U56" i="1"/>
  <c r="Y53" i="1"/>
  <c r="AC52" i="1"/>
  <c r="AC54" i="1" s="1"/>
  <c r="Y52" i="1"/>
  <c r="Y54" i="1" s="1"/>
  <c r="U52" i="1"/>
  <c r="U54" i="1" s="1"/>
  <c r="AB199" i="1"/>
  <c r="Z199" i="1"/>
  <c r="X199" i="1"/>
  <c r="V199" i="1"/>
  <c r="T199" i="1"/>
  <c r="AB189" i="1"/>
  <c r="Z189" i="1"/>
  <c r="X189" i="1"/>
  <c r="V189" i="1"/>
  <c r="AB179" i="1"/>
  <c r="Z179" i="1"/>
  <c r="X179" i="1"/>
  <c r="V179" i="1"/>
  <c r="AB169" i="1"/>
  <c r="Z169" i="1"/>
  <c r="X169" i="1"/>
  <c r="V169" i="1"/>
  <c r="AB159" i="1"/>
  <c r="Z159" i="1"/>
  <c r="X159" i="1"/>
  <c r="T159" i="1"/>
  <c r="AD149" i="1"/>
  <c r="AB149" i="1"/>
  <c r="Z149" i="1"/>
  <c r="T149" i="1"/>
  <c r="AD139" i="1"/>
  <c r="T139" i="1"/>
  <c r="Z129" i="1"/>
  <c r="X129" i="1"/>
  <c r="T129" i="1"/>
  <c r="AC189" i="1"/>
  <c r="Y189" i="1"/>
  <c r="U169" i="1"/>
  <c r="AC149" i="1"/>
  <c r="U149" i="1"/>
  <c r="AC129" i="1"/>
  <c r="U129" i="1"/>
  <c r="AE118" i="1"/>
  <c r="AC109" i="1"/>
  <c r="U109" i="1"/>
  <c r="AC99" i="1"/>
  <c r="U99" i="1"/>
  <c r="AE198" i="1"/>
  <c r="AE197" i="1"/>
  <c r="AE191" i="1"/>
  <c r="AE188" i="1"/>
  <c r="AA189" i="1"/>
  <c r="W189" i="1"/>
  <c r="AE178" i="1"/>
  <c r="AE177" i="1"/>
  <c r="AE171" i="1"/>
  <c r="AE168" i="1"/>
  <c r="W169" i="1"/>
  <c r="AE158" i="1"/>
  <c r="AE157" i="1"/>
  <c r="AE151" i="1"/>
  <c r="AE148" i="1"/>
  <c r="AA149" i="1"/>
  <c r="AE138" i="1"/>
  <c r="AE137" i="1"/>
  <c r="AE131" i="1"/>
  <c r="AC119" i="1"/>
  <c r="T109" i="1"/>
  <c r="AC89" i="1"/>
  <c r="U89" i="1"/>
  <c r="AD42" i="1"/>
  <c r="AB42" i="1"/>
  <c r="Z42" i="1"/>
  <c r="X42" i="1"/>
  <c r="V42" i="1"/>
  <c r="T42" i="1"/>
  <c r="AD41" i="1"/>
  <c r="AB41" i="1"/>
  <c r="Z41" i="1"/>
  <c r="X41" i="1"/>
  <c r="V41" i="1"/>
  <c r="T41" i="1"/>
  <c r="AC42" i="1"/>
  <c r="AA42" i="1"/>
  <c r="Y42" i="1"/>
  <c r="W42" i="1"/>
  <c r="U42" i="1"/>
  <c r="S42" i="1"/>
  <c r="AC41" i="1"/>
  <c r="AA41" i="1"/>
  <c r="Y41" i="1"/>
  <c r="W41" i="1"/>
  <c r="U41" i="1"/>
  <c r="S41" i="1"/>
  <c r="X139" i="1" l="1"/>
  <c r="AA99" i="1"/>
  <c r="V159" i="1"/>
  <c r="AD199" i="1"/>
  <c r="AD159" i="1"/>
  <c r="V139" i="1"/>
  <c r="V64" i="1"/>
  <c r="X64" i="1"/>
  <c r="X71" i="1"/>
  <c r="AA64" i="1"/>
  <c r="W71" i="1"/>
  <c r="T64" i="1"/>
  <c r="V71" i="1"/>
  <c r="AD71" i="1"/>
  <c r="U71" i="1"/>
  <c r="AC71" i="1"/>
  <c r="W119" i="1"/>
  <c r="AA119" i="1"/>
  <c r="AA139" i="1"/>
  <c r="W159" i="1"/>
  <c r="AA179" i="1"/>
  <c r="AA199" i="1"/>
  <c r="U139" i="1"/>
  <c r="AC139" i="1"/>
  <c r="Y159" i="1"/>
  <c r="U179" i="1"/>
  <c r="AC179" i="1"/>
  <c r="Y199" i="1"/>
  <c r="U68" i="1"/>
  <c r="U81" i="1"/>
  <c r="U70" i="1"/>
  <c r="U65" i="1"/>
  <c r="U60" i="1"/>
  <c r="U72" i="1"/>
  <c r="AJ63" i="1"/>
  <c r="AG63" i="1"/>
  <c r="AO63" i="1"/>
  <c r="AH63" i="1"/>
  <c r="AJ69" i="1"/>
  <c r="AH69" i="1"/>
  <c r="AO69" i="1"/>
  <c r="AG69" i="1"/>
  <c r="AO76" i="1"/>
  <c r="AG76" i="1"/>
  <c r="AJ76" i="1"/>
  <c r="AH76" i="1"/>
  <c r="X81" i="1"/>
  <c r="X72" i="1"/>
  <c r="X68" i="1"/>
  <c r="X65" i="1"/>
  <c r="X70" i="1"/>
  <c r="X60" i="1"/>
  <c r="AE59" i="1"/>
  <c r="S64" i="1"/>
  <c r="AO75" i="1"/>
  <c r="AJ75" i="1"/>
  <c r="AH75" i="1"/>
  <c r="AG75" i="1"/>
  <c r="AJ53" i="1"/>
  <c r="AG53" i="1"/>
  <c r="AO53" i="1"/>
  <c r="AH53" i="1"/>
  <c r="AA81" i="1"/>
  <c r="AA60" i="1"/>
  <c r="AA70" i="1"/>
  <c r="AA65" i="1"/>
  <c r="AA68" i="1"/>
  <c r="AA72" i="1"/>
  <c r="V65" i="1"/>
  <c r="V70" i="1"/>
  <c r="V60" i="1"/>
  <c r="V81" i="1"/>
  <c r="V72" i="1"/>
  <c r="V68" i="1"/>
  <c r="AD65" i="1"/>
  <c r="AD70" i="1"/>
  <c r="AD60" i="1"/>
  <c r="AD81" i="1"/>
  <c r="AD72" i="1"/>
  <c r="AD68" i="1"/>
  <c r="Y64" i="1"/>
  <c r="AE52" i="1"/>
  <c r="S54" i="1"/>
  <c r="AJ88" i="1"/>
  <c r="AG88" i="1"/>
  <c r="AO88" i="1"/>
  <c r="AH88" i="1"/>
  <c r="AJ91" i="1"/>
  <c r="AK91" i="1"/>
  <c r="AO91" i="1"/>
  <c r="AH91" i="1"/>
  <c r="AG91" i="1"/>
  <c r="AI91" i="1"/>
  <c r="W100" i="1"/>
  <c r="W95" i="1"/>
  <c r="AA100" i="1"/>
  <c r="AA95" i="1"/>
  <c r="T100" i="1"/>
  <c r="T95" i="1"/>
  <c r="AO117" i="1"/>
  <c r="AH117" i="1"/>
  <c r="AJ117" i="1"/>
  <c r="AG117" i="1"/>
  <c r="V120" i="1"/>
  <c r="V115" i="1"/>
  <c r="Z120" i="1"/>
  <c r="Z115" i="1"/>
  <c r="AD120" i="1"/>
  <c r="AD115" i="1"/>
  <c r="S129" i="1"/>
  <c r="AE127" i="1"/>
  <c r="AJ131" i="1"/>
  <c r="AK131" i="1"/>
  <c r="AO131" i="1"/>
  <c r="AH131" i="1"/>
  <c r="AG131" i="1"/>
  <c r="AI131" i="1"/>
  <c r="W140" i="1"/>
  <c r="W135" i="1"/>
  <c r="S139" i="1"/>
  <c r="AE134" i="1"/>
  <c r="AO138" i="1"/>
  <c r="AJ138" i="1"/>
  <c r="AH138" i="1"/>
  <c r="AG138" i="1"/>
  <c r="AO148" i="1"/>
  <c r="AG148" i="1"/>
  <c r="AJ148" i="1"/>
  <c r="AH148" i="1"/>
  <c r="S160" i="1"/>
  <c r="AE153" i="1"/>
  <c r="S155" i="1"/>
  <c r="AA160" i="1"/>
  <c r="AA155" i="1"/>
  <c r="AJ157" i="1"/>
  <c r="AH157" i="1"/>
  <c r="AO157" i="1"/>
  <c r="AG157" i="1"/>
  <c r="S169" i="1"/>
  <c r="AE167" i="1"/>
  <c r="AJ171" i="1"/>
  <c r="AK171" i="1"/>
  <c r="AO171" i="1"/>
  <c r="AH171" i="1"/>
  <c r="AG171" i="1"/>
  <c r="AI171" i="1"/>
  <c r="W180" i="1"/>
  <c r="W175" i="1"/>
  <c r="S179" i="1"/>
  <c r="AE174" i="1"/>
  <c r="AO178" i="1"/>
  <c r="AJ178" i="1"/>
  <c r="AH178" i="1"/>
  <c r="AG178" i="1"/>
  <c r="AO191" i="1"/>
  <c r="AH191" i="1"/>
  <c r="AG191" i="1"/>
  <c r="AJ191" i="1"/>
  <c r="AK191" i="1"/>
  <c r="AI191" i="1"/>
  <c r="W200" i="1"/>
  <c r="W195" i="1"/>
  <c r="S199" i="1"/>
  <c r="AE194" i="1"/>
  <c r="AH198" i="1"/>
  <c r="AG198" i="1"/>
  <c r="AO198" i="1"/>
  <c r="AJ198" i="1"/>
  <c r="V100" i="1"/>
  <c r="V95" i="1"/>
  <c r="Z100" i="1"/>
  <c r="Z95" i="1"/>
  <c r="AD100" i="1"/>
  <c r="AD95" i="1"/>
  <c r="AO108" i="1"/>
  <c r="AH108" i="1"/>
  <c r="AJ108" i="1"/>
  <c r="AG108" i="1"/>
  <c r="AO111" i="1"/>
  <c r="AH111" i="1"/>
  <c r="AG111" i="1"/>
  <c r="AJ111" i="1"/>
  <c r="AK111" i="1"/>
  <c r="AI111" i="1"/>
  <c r="AE107" i="1"/>
  <c r="S109" i="1"/>
  <c r="AH118" i="1"/>
  <c r="AG118" i="1"/>
  <c r="AO118" i="1"/>
  <c r="AJ118" i="1"/>
  <c r="W120" i="1"/>
  <c r="W115" i="1"/>
  <c r="AA120" i="1"/>
  <c r="AA115" i="1"/>
  <c r="T119" i="1"/>
  <c r="X119" i="1"/>
  <c r="AB119" i="1"/>
  <c r="Y140" i="1"/>
  <c r="Y135" i="1"/>
  <c r="U160" i="1"/>
  <c r="U155" i="1"/>
  <c r="AC160" i="1"/>
  <c r="AC155" i="1"/>
  <c r="Y180" i="1"/>
  <c r="Y175" i="1"/>
  <c r="U200" i="1"/>
  <c r="U195" i="1"/>
  <c r="AC200" i="1"/>
  <c r="AC195" i="1"/>
  <c r="T140" i="1"/>
  <c r="T135" i="1"/>
  <c r="X140" i="1"/>
  <c r="X135" i="1"/>
  <c r="AB140" i="1"/>
  <c r="AB135" i="1"/>
  <c r="T160" i="1"/>
  <c r="T155" i="1"/>
  <c r="X160" i="1"/>
  <c r="X155" i="1"/>
  <c r="AB160" i="1"/>
  <c r="AB155" i="1"/>
  <c r="T180" i="1"/>
  <c r="T175" i="1"/>
  <c r="X180" i="1"/>
  <c r="X175" i="1"/>
  <c r="AB180" i="1"/>
  <c r="AB175" i="1"/>
  <c r="T200" i="1"/>
  <c r="T195" i="1"/>
  <c r="X200" i="1"/>
  <c r="X195" i="1"/>
  <c r="AB200" i="1"/>
  <c r="AB195" i="1"/>
  <c r="AD9" i="1"/>
  <c r="W81" i="1"/>
  <c r="W60" i="1"/>
  <c r="W70" i="1"/>
  <c r="W65" i="1"/>
  <c r="W68" i="1"/>
  <c r="W72" i="1"/>
  <c r="AD64" i="1"/>
  <c r="AC68" i="1"/>
  <c r="AC81" i="1"/>
  <c r="AC70" i="1"/>
  <c r="AC65" i="1"/>
  <c r="AC60" i="1"/>
  <c r="AC72" i="1"/>
  <c r="T71" i="1"/>
  <c r="AB71" i="1"/>
  <c r="T81" i="1"/>
  <c r="T72" i="1"/>
  <c r="T68" i="1"/>
  <c r="T65" i="1"/>
  <c r="T70" i="1"/>
  <c r="T60" i="1"/>
  <c r="AB81" i="1"/>
  <c r="AB72" i="1"/>
  <c r="AB68" i="1"/>
  <c r="AB65" i="1"/>
  <c r="AB70" i="1"/>
  <c r="AB60" i="1"/>
  <c r="W64" i="1"/>
  <c r="AJ62" i="1"/>
  <c r="AG62" i="1"/>
  <c r="AO62" i="1"/>
  <c r="AH62" i="1"/>
  <c r="AE67" i="1"/>
  <c r="S71" i="1"/>
  <c r="AA71" i="1"/>
  <c r="AJ74" i="1"/>
  <c r="AH74" i="1"/>
  <c r="AO74" i="1"/>
  <c r="AG74" i="1"/>
  <c r="AO79" i="1"/>
  <c r="AJ79" i="1"/>
  <c r="AH79" i="1"/>
  <c r="AG79" i="1"/>
  <c r="S65" i="1"/>
  <c r="S81" i="1"/>
  <c r="S60" i="1"/>
  <c r="S70" i="1"/>
  <c r="AE58" i="1"/>
  <c r="S68" i="1"/>
  <c r="S72" i="1"/>
  <c r="Z64" i="1"/>
  <c r="Y68" i="1"/>
  <c r="Y81" i="1"/>
  <c r="Y70" i="1"/>
  <c r="Y65" i="1"/>
  <c r="Y60" i="1"/>
  <c r="Y72" i="1"/>
  <c r="AB64" i="1"/>
  <c r="Z71" i="1"/>
  <c r="AJ78" i="1"/>
  <c r="AH78" i="1"/>
  <c r="AO78" i="1"/>
  <c r="AG78" i="1"/>
  <c r="Z65" i="1"/>
  <c r="Z70" i="1"/>
  <c r="Z60" i="1"/>
  <c r="Z81" i="1"/>
  <c r="Z72" i="1"/>
  <c r="Z68" i="1"/>
  <c r="U64" i="1"/>
  <c r="AC64" i="1"/>
  <c r="Y71" i="1"/>
  <c r="AJ77" i="1"/>
  <c r="AG77" i="1"/>
  <c r="AO77" i="1"/>
  <c r="AH77" i="1"/>
  <c r="AJ56" i="1"/>
  <c r="AH56" i="1"/>
  <c r="AO56" i="1"/>
  <c r="AK56" i="1"/>
  <c r="AG56" i="1"/>
  <c r="AI56" i="1"/>
  <c r="U100" i="1"/>
  <c r="U95" i="1"/>
  <c r="Y100" i="1"/>
  <c r="Y95" i="1"/>
  <c r="AC100" i="1"/>
  <c r="AC95" i="1"/>
  <c r="S120" i="1"/>
  <c r="AE113" i="1"/>
  <c r="S115" i="1"/>
  <c r="T120" i="1"/>
  <c r="T115" i="1"/>
  <c r="X120" i="1"/>
  <c r="X115" i="1"/>
  <c r="AB120" i="1"/>
  <c r="AB115" i="1"/>
  <c r="U119" i="1"/>
  <c r="Y119" i="1"/>
  <c r="AJ128" i="1"/>
  <c r="AG128" i="1"/>
  <c r="AO128" i="1"/>
  <c r="AH128" i="1"/>
  <c r="S140" i="1"/>
  <c r="AE133" i="1"/>
  <c r="S135" i="1"/>
  <c r="AA140" i="1"/>
  <c r="AA135" i="1"/>
  <c r="W139" i="1"/>
  <c r="AO137" i="1"/>
  <c r="AH137" i="1"/>
  <c r="AJ137" i="1"/>
  <c r="AG137" i="1"/>
  <c r="S149" i="1"/>
  <c r="AE147" i="1"/>
  <c r="AO151" i="1"/>
  <c r="AK151" i="1"/>
  <c r="AH151" i="1"/>
  <c r="AJ151" i="1"/>
  <c r="AG151" i="1"/>
  <c r="AI151" i="1"/>
  <c r="W160" i="1"/>
  <c r="W155" i="1"/>
  <c r="S159" i="1"/>
  <c r="AE154" i="1"/>
  <c r="AA159" i="1"/>
  <c r="AH158" i="1"/>
  <c r="AG158" i="1"/>
  <c r="AO158" i="1"/>
  <c r="AJ158" i="1"/>
  <c r="AJ168" i="1"/>
  <c r="AH168" i="1"/>
  <c r="AO168" i="1"/>
  <c r="AG168" i="1"/>
  <c r="S180" i="1"/>
  <c r="AE173" i="1"/>
  <c r="S175" i="1"/>
  <c r="AA180" i="1"/>
  <c r="AA175" i="1"/>
  <c r="W179" i="1"/>
  <c r="AO177" i="1"/>
  <c r="AH177" i="1"/>
  <c r="AJ177" i="1"/>
  <c r="AG177" i="1"/>
  <c r="AO188" i="1"/>
  <c r="AH188" i="1"/>
  <c r="AJ188" i="1"/>
  <c r="AG188" i="1"/>
  <c r="S200" i="1"/>
  <c r="AE193" i="1"/>
  <c r="S195" i="1"/>
  <c r="AA200" i="1"/>
  <c r="AA195" i="1"/>
  <c r="W199" i="1"/>
  <c r="AJ197" i="1"/>
  <c r="AH197" i="1"/>
  <c r="AO197" i="1"/>
  <c r="AG197" i="1"/>
  <c r="AE187" i="1"/>
  <c r="S189" i="1"/>
  <c r="AE87" i="1"/>
  <c r="S89" i="1"/>
  <c r="AE93" i="1"/>
  <c r="S100" i="1"/>
  <c r="S95" i="1"/>
  <c r="X100" i="1"/>
  <c r="X95" i="1"/>
  <c r="AB100" i="1"/>
  <c r="AB95" i="1"/>
  <c r="S99" i="1"/>
  <c r="AE94" i="1"/>
  <c r="AO97" i="1"/>
  <c r="AH97" i="1"/>
  <c r="AJ97" i="1"/>
  <c r="AG97" i="1"/>
  <c r="AO98" i="1"/>
  <c r="AJ98" i="1"/>
  <c r="AH98" i="1"/>
  <c r="AG98" i="1"/>
  <c r="AE114" i="1"/>
  <c r="S119" i="1"/>
  <c r="U120" i="1"/>
  <c r="U115" i="1"/>
  <c r="Y120" i="1"/>
  <c r="Y115" i="1"/>
  <c r="AC120" i="1"/>
  <c r="AC115" i="1"/>
  <c r="V119" i="1"/>
  <c r="Z119" i="1"/>
  <c r="AD119" i="1"/>
  <c r="U140" i="1"/>
  <c r="U135" i="1"/>
  <c r="AC140" i="1"/>
  <c r="AC135" i="1"/>
  <c r="Y139" i="1"/>
  <c r="Y160" i="1"/>
  <c r="Y155" i="1"/>
  <c r="U159" i="1"/>
  <c r="AC159" i="1"/>
  <c r="U180" i="1"/>
  <c r="U175" i="1"/>
  <c r="AC180" i="1"/>
  <c r="AC175" i="1"/>
  <c r="Y179" i="1"/>
  <c r="Y200" i="1"/>
  <c r="Y195" i="1"/>
  <c r="U199" i="1"/>
  <c r="AC199" i="1"/>
  <c r="V140" i="1"/>
  <c r="V135" i="1"/>
  <c r="Z140" i="1"/>
  <c r="Z135" i="1"/>
  <c r="AD140" i="1"/>
  <c r="AD135" i="1"/>
  <c r="V160" i="1"/>
  <c r="V155" i="1"/>
  <c r="Z160" i="1"/>
  <c r="Z155" i="1"/>
  <c r="AD160" i="1"/>
  <c r="AD155" i="1"/>
  <c r="V180" i="1"/>
  <c r="V175" i="1"/>
  <c r="Z180" i="1"/>
  <c r="Z175" i="1"/>
  <c r="AD180" i="1"/>
  <c r="AD175" i="1"/>
  <c r="V200" i="1"/>
  <c r="V195" i="1"/>
  <c r="Z200" i="1"/>
  <c r="Z195" i="1"/>
  <c r="AD200" i="1"/>
  <c r="AD195" i="1"/>
  <c r="U26" i="1"/>
  <c r="AC26" i="1"/>
  <c r="AA26" i="1"/>
  <c r="AA27" i="1" s="1"/>
  <c r="Y26" i="1"/>
  <c r="Y27" i="1" s="1"/>
  <c r="W26" i="1"/>
  <c r="W27" i="1" s="1"/>
  <c r="AE30" i="1"/>
  <c r="AJ30" i="1" s="1"/>
  <c r="AE32" i="1"/>
  <c r="CD32" i="1" s="1"/>
  <c r="AE22" i="1"/>
  <c r="AE17" i="1"/>
  <c r="AE18" i="1"/>
  <c r="AE31" i="1"/>
  <c r="AE14" i="1"/>
  <c r="AE13" i="1"/>
  <c r="AK13" i="1" s="1"/>
  <c r="AE24" i="1"/>
  <c r="AE29" i="1"/>
  <c r="AE33" i="1"/>
  <c r="AE34" i="1"/>
  <c r="AE11" i="1"/>
  <c r="AE8" i="1"/>
  <c r="AJ8" i="1" s="1"/>
  <c r="AE7" i="1"/>
  <c r="Z9" i="1"/>
  <c r="V9" i="1"/>
  <c r="AC9" i="1"/>
  <c r="U9" i="1"/>
  <c r="V26" i="1"/>
  <c r="V27" i="1" s="1"/>
  <c r="Z26" i="1"/>
  <c r="Z27" i="1" s="1"/>
  <c r="AD26" i="1"/>
  <c r="AD27" i="1" s="1"/>
  <c r="AB9" i="1"/>
  <c r="X9" i="1"/>
  <c r="T9" i="1"/>
  <c r="AA9" i="1"/>
  <c r="W9" i="1"/>
  <c r="T26" i="1"/>
  <c r="T27" i="1" s="1"/>
  <c r="X26" i="1"/>
  <c r="X27" i="1" s="1"/>
  <c r="AB26" i="1"/>
  <c r="AB27" i="1" s="1"/>
  <c r="S26" i="1"/>
  <c r="AD19" i="1"/>
  <c r="AD20" i="1" s="1"/>
  <c r="Z19" i="1"/>
  <c r="V19" i="1"/>
  <c r="V20" i="1" s="1"/>
  <c r="AD15" i="1"/>
  <c r="AD23" i="1"/>
  <c r="AD25" i="1"/>
  <c r="Z15" i="1"/>
  <c r="Z23" i="1"/>
  <c r="Z25" i="1"/>
  <c r="V15" i="1"/>
  <c r="V23" i="1"/>
  <c r="V25" i="1"/>
  <c r="AD43" i="1"/>
  <c r="Z43" i="1"/>
  <c r="V43" i="1"/>
  <c r="AC19" i="1"/>
  <c r="Y19" i="1"/>
  <c r="U19" i="1"/>
  <c r="AC15" i="1"/>
  <c r="AC27" i="1"/>
  <c r="AC25" i="1"/>
  <c r="AC23" i="1"/>
  <c r="Y15" i="1"/>
  <c r="Y25" i="1"/>
  <c r="Y23" i="1"/>
  <c r="U15" i="1"/>
  <c r="U25" i="1"/>
  <c r="U23" i="1"/>
  <c r="U27" i="1"/>
  <c r="U20" i="1"/>
  <c r="AC43" i="1"/>
  <c r="Y43" i="1"/>
  <c r="U43" i="1"/>
  <c r="AB19" i="1"/>
  <c r="X19" i="1"/>
  <c r="T19" i="1"/>
  <c r="T20" i="1" s="1"/>
  <c r="AB15" i="1"/>
  <c r="AB25" i="1"/>
  <c r="AB23" i="1"/>
  <c r="AB20" i="1"/>
  <c r="X15" i="1"/>
  <c r="X25" i="1"/>
  <c r="X23" i="1"/>
  <c r="T15" i="1"/>
  <c r="T25" i="1"/>
  <c r="T23" i="1"/>
  <c r="AB43" i="1"/>
  <c r="X43" i="1"/>
  <c r="T43" i="1"/>
  <c r="AA19" i="1"/>
  <c r="W19" i="1"/>
  <c r="S19" i="1"/>
  <c r="S20" i="1" s="1"/>
  <c r="AA15" i="1"/>
  <c r="AA25" i="1"/>
  <c r="AA23" i="1"/>
  <c r="W15" i="1"/>
  <c r="W25" i="1"/>
  <c r="W23" i="1"/>
  <c r="S15" i="1"/>
  <c r="S25" i="1"/>
  <c r="S23" i="1"/>
  <c r="AA43" i="1"/>
  <c r="W43" i="1"/>
  <c r="S43" i="1"/>
  <c r="S9" i="1"/>
  <c r="T80" i="1" l="1"/>
  <c r="AC35" i="1"/>
  <c r="AC45" i="1" s="1"/>
  <c r="W35" i="1"/>
  <c r="W38" i="1" s="1"/>
  <c r="W39" i="1" s="1"/>
  <c r="AK7" i="1"/>
  <c r="AI7" i="1"/>
  <c r="CD7" i="1"/>
  <c r="AC80" i="1"/>
  <c r="AA80" i="1"/>
  <c r="AD80" i="1"/>
  <c r="AC36" i="1"/>
  <c r="W36" i="1"/>
  <c r="W45" i="1"/>
  <c r="U80" i="1"/>
  <c r="AB80" i="1"/>
  <c r="W80" i="1"/>
  <c r="X80" i="1"/>
  <c r="V80" i="1"/>
  <c r="AJ114" i="1"/>
  <c r="AH114" i="1"/>
  <c r="AO114" i="1"/>
  <c r="AG114" i="1"/>
  <c r="AE119" i="1"/>
  <c r="BN98" i="1"/>
  <c r="BO98" i="1" s="1"/>
  <c r="AQ98" i="1"/>
  <c r="AT98" i="1"/>
  <c r="AR98" i="1"/>
  <c r="BN97" i="1"/>
  <c r="BO97" i="1" s="1"/>
  <c r="AR97" i="1"/>
  <c r="AQ97" i="1"/>
  <c r="AT97" i="1"/>
  <c r="AE200" i="1"/>
  <c r="AK193" i="1"/>
  <c r="AJ193" i="1"/>
  <c r="AE195" i="1"/>
  <c r="AO193" i="1"/>
  <c r="AG193" i="1"/>
  <c r="AH193" i="1"/>
  <c r="AI193" i="1"/>
  <c r="AE175" i="1"/>
  <c r="AE180" i="1"/>
  <c r="AK173" i="1"/>
  <c r="AH173" i="1"/>
  <c r="AO173" i="1"/>
  <c r="AJ173" i="1"/>
  <c r="AG173" i="1"/>
  <c r="AI173" i="1"/>
  <c r="BN151" i="1"/>
  <c r="BO151" i="1" s="1"/>
  <c r="AT151" i="1"/>
  <c r="AU151" i="1"/>
  <c r="AS151" i="1"/>
  <c r="AQ151" i="1"/>
  <c r="AR151" i="1"/>
  <c r="BN137" i="1"/>
  <c r="BO137" i="1" s="1"/>
  <c r="AR137" i="1"/>
  <c r="AQ137" i="1"/>
  <c r="AT137" i="1"/>
  <c r="BN128" i="1"/>
  <c r="BO128" i="1" s="1"/>
  <c r="AR128" i="1"/>
  <c r="AQ128" i="1"/>
  <c r="AT128" i="1"/>
  <c r="AE115" i="1"/>
  <c r="AO113" i="1"/>
  <c r="AJ113" i="1"/>
  <c r="AG113" i="1"/>
  <c r="AE120" i="1"/>
  <c r="AK113" i="1"/>
  <c r="AH113" i="1"/>
  <c r="AI113" i="1"/>
  <c r="BN78" i="1"/>
  <c r="BO78" i="1" s="1"/>
  <c r="AY78" i="1"/>
  <c r="AQ78" i="1"/>
  <c r="AT78" i="1"/>
  <c r="AR78" i="1"/>
  <c r="AH58" i="1"/>
  <c r="AJ58" i="1"/>
  <c r="AE65" i="1"/>
  <c r="AE60" i="1"/>
  <c r="AE72" i="1"/>
  <c r="AK58" i="1"/>
  <c r="AO58" i="1"/>
  <c r="AG58" i="1"/>
  <c r="AE81" i="1"/>
  <c r="AE70" i="1"/>
  <c r="AE68" i="1"/>
  <c r="AI58" i="1"/>
  <c r="BN79" i="1"/>
  <c r="BO79" i="1" s="1"/>
  <c r="AT79" i="1"/>
  <c r="AR79" i="1"/>
  <c r="AY79" i="1"/>
  <c r="AQ79" i="1"/>
  <c r="BN74" i="1"/>
  <c r="BO74" i="1" s="1"/>
  <c r="AY74" i="1"/>
  <c r="AQ74" i="1"/>
  <c r="AT74" i="1"/>
  <c r="AR74" i="1"/>
  <c r="AE199" i="1"/>
  <c r="AH194" i="1"/>
  <c r="AG194" i="1"/>
  <c r="AO194" i="1"/>
  <c r="AJ194" i="1"/>
  <c r="AO174" i="1"/>
  <c r="AJ174" i="1"/>
  <c r="AE179" i="1"/>
  <c r="AH174" i="1"/>
  <c r="AG174" i="1"/>
  <c r="AE169" i="1"/>
  <c r="AJ167" i="1"/>
  <c r="AK167" i="1"/>
  <c r="AO167" i="1"/>
  <c r="AH167" i="1"/>
  <c r="AH169" i="1" s="1"/>
  <c r="AG167" i="1"/>
  <c r="AG169" i="1" s="1"/>
  <c r="AI167" i="1"/>
  <c r="BN148" i="1"/>
  <c r="BO148" i="1" s="1"/>
  <c r="AR148" i="1"/>
  <c r="AQ148" i="1"/>
  <c r="AT148" i="1"/>
  <c r="BN138" i="1"/>
  <c r="BO138" i="1" s="1"/>
  <c r="AQ138" i="1"/>
  <c r="AT138" i="1"/>
  <c r="AR138" i="1"/>
  <c r="BN131" i="1"/>
  <c r="BO131" i="1" s="1"/>
  <c r="AT131" i="1"/>
  <c r="AU131" i="1"/>
  <c r="AS131" i="1"/>
  <c r="AQ131" i="1"/>
  <c r="AR131" i="1"/>
  <c r="BN117" i="1"/>
  <c r="BO117" i="1" s="1"/>
  <c r="AT117" i="1"/>
  <c r="AR117" i="1"/>
  <c r="AQ117" i="1"/>
  <c r="BN91" i="1"/>
  <c r="BO91" i="1" s="1"/>
  <c r="AU91" i="1"/>
  <c r="AT91" i="1"/>
  <c r="AS91" i="1"/>
  <c r="AR91" i="1"/>
  <c r="AQ91" i="1"/>
  <c r="BN88" i="1"/>
  <c r="BO88" i="1" s="1"/>
  <c r="AT88" i="1"/>
  <c r="AR88" i="1"/>
  <c r="AQ88" i="1"/>
  <c r="AE54" i="1"/>
  <c r="AO52" i="1"/>
  <c r="AH52" i="1"/>
  <c r="AH54" i="1" s="1"/>
  <c r="AJ52" i="1"/>
  <c r="AK52" i="1"/>
  <c r="AG52" i="1"/>
  <c r="AG54" i="1" s="1"/>
  <c r="AI52" i="1"/>
  <c r="BN53" i="1"/>
  <c r="BO53" i="1" s="1"/>
  <c r="AY53" i="1"/>
  <c r="AT53" i="1"/>
  <c r="AR53" i="1"/>
  <c r="AQ53" i="1"/>
  <c r="BN75" i="1"/>
  <c r="BO75" i="1" s="1"/>
  <c r="AT75" i="1"/>
  <c r="AR75" i="1"/>
  <c r="AY75" i="1"/>
  <c r="AQ75" i="1"/>
  <c r="S80" i="1"/>
  <c r="AE99" i="1"/>
  <c r="AJ94" i="1"/>
  <c r="AG94" i="1"/>
  <c r="AO94" i="1"/>
  <c r="AH94" i="1"/>
  <c r="AO93" i="1"/>
  <c r="AJ93" i="1"/>
  <c r="AG93" i="1"/>
  <c r="AE95" i="1"/>
  <c r="AE100" i="1"/>
  <c r="AK93" i="1"/>
  <c r="AH93" i="1"/>
  <c r="AI93" i="1"/>
  <c r="AO87" i="1"/>
  <c r="AK87" i="1"/>
  <c r="AG87" i="1"/>
  <c r="AG89" i="1" s="1"/>
  <c r="AE89" i="1"/>
  <c r="AJ87" i="1"/>
  <c r="AH87" i="1"/>
  <c r="AH89" i="1" s="1"/>
  <c r="AI87" i="1"/>
  <c r="AO187" i="1"/>
  <c r="AQ187" i="1" s="1"/>
  <c r="AH187" i="1"/>
  <c r="AH189" i="1" s="1"/>
  <c r="AG187" i="1"/>
  <c r="AG189" i="1" s="1"/>
  <c r="AE189" i="1"/>
  <c r="AJ187" i="1"/>
  <c r="AK187" i="1"/>
  <c r="AI187" i="1"/>
  <c r="BN197" i="1"/>
  <c r="BO197" i="1" s="1"/>
  <c r="AR197" i="1"/>
  <c r="AQ197" i="1"/>
  <c r="AT197" i="1"/>
  <c r="BN188" i="1"/>
  <c r="BO188" i="1" s="1"/>
  <c r="AT188" i="1"/>
  <c r="AR188" i="1"/>
  <c r="AQ188" i="1"/>
  <c r="BN177" i="1"/>
  <c r="BO177" i="1" s="1"/>
  <c r="AR177" i="1"/>
  <c r="AQ177" i="1"/>
  <c r="AT177" i="1"/>
  <c r="BN168" i="1"/>
  <c r="BO168" i="1" s="1"/>
  <c r="AR168" i="1"/>
  <c r="AQ168" i="1"/>
  <c r="AT168" i="1"/>
  <c r="BN158" i="1"/>
  <c r="BO158" i="1" s="1"/>
  <c r="AQ158" i="1"/>
  <c r="AT158" i="1"/>
  <c r="AR158" i="1"/>
  <c r="AO154" i="1"/>
  <c r="AJ154" i="1"/>
  <c r="AE159" i="1"/>
  <c r="AH154" i="1"/>
  <c r="AG154" i="1"/>
  <c r="AE149" i="1"/>
  <c r="AJ147" i="1"/>
  <c r="AK147" i="1"/>
  <c r="AO147" i="1"/>
  <c r="AH147" i="1"/>
  <c r="AH149" i="1" s="1"/>
  <c r="AG147" i="1"/>
  <c r="AG149" i="1" s="1"/>
  <c r="AI147" i="1"/>
  <c r="AE135" i="1"/>
  <c r="AE140" i="1"/>
  <c r="AK133" i="1"/>
  <c r="AH133" i="1"/>
  <c r="AO133" i="1"/>
  <c r="AJ133" i="1"/>
  <c r="AG133" i="1"/>
  <c r="AI133" i="1"/>
  <c r="BN56" i="1"/>
  <c r="BO56" i="1" s="1"/>
  <c r="AY56" i="1"/>
  <c r="AT56" i="1"/>
  <c r="AU56" i="1"/>
  <c r="AS56" i="1"/>
  <c r="AQ56" i="1"/>
  <c r="AR56" i="1"/>
  <c r="BN77" i="1"/>
  <c r="BO77" i="1" s="1"/>
  <c r="AT77" i="1"/>
  <c r="AR77" i="1"/>
  <c r="AY77" i="1"/>
  <c r="AQ77" i="1"/>
  <c r="Z80" i="1"/>
  <c r="AO67" i="1"/>
  <c r="AH67" i="1"/>
  <c r="AH71" i="1" s="1"/>
  <c r="AE71" i="1"/>
  <c r="AJ67" i="1"/>
  <c r="AG67" i="1"/>
  <c r="BN62" i="1"/>
  <c r="BO62" i="1" s="1"/>
  <c r="AY62" i="1"/>
  <c r="AT62" i="1"/>
  <c r="AR62" i="1"/>
  <c r="AQ62" i="1"/>
  <c r="BN118" i="1"/>
  <c r="BO118" i="1" s="1"/>
  <c r="AT118" i="1"/>
  <c r="AR118" i="1"/>
  <c r="AQ118" i="1"/>
  <c r="AO107" i="1"/>
  <c r="AK107" i="1"/>
  <c r="AH107" i="1"/>
  <c r="AH109" i="1" s="1"/>
  <c r="AE109" i="1"/>
  <c r="AJ107" i="1"/>
  <c r="AG107" i="1"/>
  <c r="AG109" i="1" s="1"/>
  <c r="AI107" i="1"/>
  <c r="BN111" i="1"/>
  <c r="BO111" i="1" s="1"/>
  <c r="AT111" i="1"/>
  <c r="AU111" i="1"/>
  <c r="AS111" i="1"/>
  <c r="AQ111" i="1"/>
  <c r="AR111" i="1"/>
  <c r="BN108" i="1"/>
  <c r="BO108" i="1" s="1"/>
  <c r="AR108" i="1"/>
  <c r="AQ108" i="1"/>
  <c r="AT108" i="1"/>
  <c r="BN198" i="1"/>
  <c r="BO198" i="1" s="1"/>
  <c r="AQ198" i="1"/>
  <c r="AT198" i="1"/>
  <c r="AR198" i="1"/>
  <c r="BN191" i="1"/>
  <c r="BO191" i="1" s="1"/>
  <c r="AU191" i="1"/>
  <c r="AT191" i="1"/>
  <c r="AS191" i="1"/>
  <c r="AR191" i="1"/>
  <c r="AQ191" i="1"/>
  <c r="BN178" i="1"/>
  <c r="BO178" i="1" s="1"/>
  <c r="AQ178" i="1"/>
  <c r="AT178" i="1"/>
  <c r="AR178" i="1"/>
  <c r="BN171" i="1"/>
  <c r="BO171" i="1" s="1"/>
  <c r="AT171" i="1"/>
  <c r="AU171" i="1"/>
  <c r="AS171" i="1"/>
  <c r="AQ171" i="1"/>
  <c r="AR171" i="1"/>
  <c r="BN157" i="1"/>
  <c r="BO157" i="1" s="1"/>
  <c r="AR157" i="1"/>
  <c r="AQ157" i="1"/>
  <c r="AT157" i="1"/>
  <c r="AE155" i="1"/>
  <c r="AE160" i="1"/>
  <c r="AK153" i="1"/>
  <c r="AH153" i="1"/>
  <c r="AO153" i="1"/>
  <c r="AJ153" i="1"/>
  <c r="AG153" i="1"/>
  <c r="AI153" i="1"/>
  <c r="AE139" i="1"/>
  <c r="AJ134" i="1"/>
  <c r="AH134" i="1"/>
  <c r="AO134" i="1"/>
  <c r="AG134" i="1"/>
  <c r="AE129" i="1"/>
  <c r="AJ127" i="1"/>
  <c r="AG127" i="1"/>
  <c r="AG129" i="1" s="1"/>
  <c r="AO127" i="1"/>
  <c r="AK127" i="1"/>
  <c r="AH127" i="1"/>
  <c r="AH129" i="1" s="1"/>
  <c r="AI127" i="1"/>
  <c r="Y80" i="1"/>
  <c r="AE64" i="1"/>
  <c r="AJ59" i="1"/>
  <c r="AG59" i="1"/>
  <c r="AO59" i="1"/>
  <c r="AH59" i="1"/>
  <c r="BN76" i="1"/>
  <c r="BO76" i="1" s="1"/>
  <c r="AY76" i="1"/>
  <c r="AQ76" i="1"/>
  <c r="AT76" i="1"/>
  <c r="AR76" i="1"/>
  <c r="BN69" i="1"/>
  <c r="BO69" i="1" s="1"/>
  <c r="AY69" i="1"/>
  <c r="AT69" i="1"/>
  <c r="AR69" i="1"/>
  <c r="AQ69" i="1"/>
  <c r="BN63" i="1"/>
  <c r="BO63" i="1" s="1"/>
  <c r="AR63" i="1"/>
  <c r="AQ63" i="1"/>
  <c r="AY63" i="1"/>
  <c r="AT63" i="1"/>
  <c r="AA35" i="1"/>
  <c r="U35" i="1"/>
  <c r="AE43" i="1"/>
  <c r="AO43" i="1" s="1"/>
  <c r="AG7" i="1"/>
  <c r="AJ7" i="1"/>
  <c r="S27" i="1"/>
  <c r="X35" i="1"/>
  <c r="X38" i="1" s="1"/>
  <c r="X39" i="1" s="1"/>
  <c r="AK11" i="1"/>
  <c r="AO7" i="1"/>
  <c r="BN7" i="1" s="1"/>
  <c r="BO7" i="1" s="1"/>
  <c r="AG30" i="1"/>
  <c r="CD30" i="1"/>
  <c r="AH7" i="1"/>
  <c r="AO30" i="1"/>
  <c r="BN30" i="1" s="1"/>
  <c r="AJ32" i="1"/>
  <c r="Z35" i="1"/>
  <c r="AH8" i="1"/>
  <c r="AH34" i="1"/>
  <c r="AH29" i="1"/>
  <c r="AH13" i="1"/>
  <c r="AH31" i="1"/>
  <c r="AH17" i="1"/>
  <c r="AH32" i="1"/>
  <c r="AH11" i="1"/>
  <c r="AH33" i="1"/>
  <c r="AH24" i="1"/>
  <c r="AH14" i="1"/>
  <c r="AH18" i="1"/>
  <c r="AH22" i="1"/>
  <c r="AH30" i="1"/>
  <c r="AA20" i="1"/>
  <c r="W20" i="1"/>
  <c r="CD8" i="1"/>
  <c r="AJ34" i="1"/>
  <c r="CD34" i="1"/>
  <c r="AJ29" i="1"/>
  <c r="CD29" i="1"/>
  <c r="AJ14" i="1"/>
  <c r="AE19" i="1"/>
  <c r="AE20" i="1" s="1"/>
  <c r="CD14" i="1"/>
  <c r="AJ18" i="1"/>
  <c r="CD18" i="1"/>
  <c r="AJ11" i="1"/>
  <c r="AI11" i="1"/>
  <c r="AJ33" i="1"/>
  <c r="CD33" i="1"/>
  <c r="AJ24" i="1"/>
  <c r="CD24" i="1"/>
  <c r="AJ13" i="1"/>
  <c r="CD13" i="1"/>
  <c r="AI13" i="1"/>
  <c r="AJ31" i="1"/>
  <c r="CD31" i="1"/>
  <c r="AJ17" i="1"/>
  <c r="CD17" i="1"/>
  <c r="AJ22" i="1"/>
  <c r="CD22" i="1"/>
  <c r="AE26" i="1"/>
  <c r="AE27" i="1" s="1"/>
  <c r="X20" i="1"/>
  <c r="T35" i="1"/>
  <c r="AB35" i="1"/>
  <c r="AC20" i="1"/>
  <c r="Z20" i="1"/>
  <c r="V35" i="1"/>
  <c r="AD35" i="1"/>
  <c r="AD45" i="1" s="1"/>
  <c r="AE9" i="1"/>
  <c r="AO8" i="1"/>
  <c r="BN8" i="1" s="1"/>
  <c r="AG8" i="1"/>
  <c r="AG11" i="1"/>
  <c r="AO11" i="1"/>
  <c r="AG14" i="1"/>
  <c r="AO14" i="1"/>
  <c r="BN14" i="1" s="1"/>
  <c r="AG34" i="1"/>
  <c r="AO34" i="1"/>
  <c r="AG29" i="1"/>
  <c r="AO29" i="1"/>
  <c r="AC38" i="1"/>
  <c r="AC39" i="1" s="1"/>
  <c r="AO31" i="1"/>
  <c r="AG31" i="1"/>
  <c r="AG17" i="1"/>
  <c r="AO17" i="1"/>
  <c r="AE15" i="1"/>
  <c r="AG13" i="1"/>
  <c r="AO13" i="1"/>
  <c r="AE23" i="1"/>
  <c r="AE25" i="1"/>
  <c r="S35" i="1"/>
  <c r="AG33" i="1"/>
  <c r="AO33" i="1"/>
  <c r="Y20" i="1"/>
  <c r="Y35" i="1"/>
  <c r="AO18" i="1"/>
  <c r="AG18" i="1"/>
  <c r="AG32" i="1"/>
  <c r="AO32" i="1"/>
  <c r="AO22" i="1"/>
  <c r="AG22" i="1"/>
  <c r="AG24" i="1"/>
  <c r="AO24" i="1"/>
  <c r="AB36" i="1" l="1"/>
  <c r="AB45" i="1"/>
  <c r="Z36" i="1"/>
  <c r="Z45" i="1"/>
  <c r="X36" i="1"/>
  <c r="X45" i="1"/>
  <c r="U36" i="1"/>
  <c r="U45" i="1"/>
  <c r="Y36" i="1"/>
  <c r="Y45" i="1"/>
  <c r="S36" i="1"/>
  <c r="S45" i="1"/>
  <c r="Z38" i="1"/>
  <c r="Z39" i="1" s="1"/>
  <c r="U38" i="1"/>
  <c r="U39" i="1" s="1"/>
  <c r="V36" i="1"/>
  <c r="V45" i="1"/>
  <c r="T36" i="1"/>
  <c r="T45" i="1"/>
  <c r="AA36" i="1"/>
  <c r="AA45" i="1"/>
  <c r="BA63" i="1"/>
  <c r="BC63" i="1"/>
  <c r="BH63" i="1"/>
  <c r="BH76" i="1"/>
  <c r="BA76" i="1"/>
  <c r="BC76" i="1"/>
  <c r="AE80" i="1"/>
  <c r="AJ64" i="1"/>
  <c r="AG64" i="1"/>
  <c r="AH64" i="1"/>
  <c r="BN134" i="1"/>
  <c r="BO134" i="1" s="1"/>
  <c r="AO139" i="1"/>
  <c r="AQ134" i="1"/>
  <c r="AT134" i="1"/>
  <c r="AR134" i="1"/>
  <c r="AR139" i="1" s="1"/>
  <c r="AH160" i="1"/>
  <c r="AH155" i="1"/>
  <c r="BN107" i="1"/>
  <c r="BO107" i="1" s="1"/>
  <c r="AS107" i="1"/>
  <c r="AR107" i="1"/>
  <c r="AR109" i="1" s="1"/>
  <c r="AQ107" i="1"/>
  <c r="AQ109" i="1" s="1"/>
  <c r="AO109" i="1"/>
  <c r="AU107" i="1"/>
  <c r="AT107" i="1"/>
  <c r="BA62" i="1"/>
  <c r="BH62" i="1"/>
  <c r="BC62" i="1"/>
  <c r="AJ71" i="1"/>
  <c r="AG71" i="1"/>
  <c r="BN67" i="1"/>
  <c r="BO67" i="1" s="1"/>
  <c r="AY67" i="1"/>
  <c r="AQ67" i="1"/>
  <c r="AO71" i="1"/>
  <c r="AT67" i="1"/>
  <c r="AR67" i="1"/>
  <c r="AR71" i="1" s="1"/>
  <c r="BH56" i="1"/>
  <c r="BD56" i="1"/>
  <c r="BC56" i="1"/>
  <c r="BB56" i="1"/>
  <c r="BA56" i="1"/>
  <c r="AH135" i="1"/>
  <c r="AH140" i="1"/>
  <c r="BN187" i="1"/>
  <c r="BO187" i="1" s="1"/>
  <c r="AS187" i="1"/>
  <c r="AQ189" i="1"/>
  <c r="AR187" i="1"/>
  <c r="AR189" i="1" s="1"/>
  <c r="AO189" i="1"/>
  <c r="AT187" i="1"/>
  <c r="AU187" i="1"/>
  <c r="AJ99" i="1"/>
  <c r="AG99" i="1"/>
  <c r="AH99" i="1"/>
  <c r="BH53" i="1"/>
  <c r="BA53" i="1"/>
  <c r="BC53" i="1"/>
  <c r="BN167" i="1"/>
  <c r="BO167" i="1" s="1"/>
  <c r="AO169" i="1"/>
  <c r="AU167" i="1"/>
  <c r="AT167" i="1"/>
  <c r="AS167" i="1"/>
  <c r="AR167" i="1"/>
  <c r="AR169" i="1" s="1"/>
  <c r="AQ167" i="1"/>
  <c r="AQ169" i="1" s="1"/>
  <c r="AG179" i="1"/>
  <c r="AJ179" i="1"/>
  <c r="AH179" i="1"/>
  <c r="BN174" i="1"/>
  <c r="BO174" i="1" s="1"/>
  <c r="AT174" i="1"/>
  <c r="AR174" i="1"/>
  <c r="AR179" i="1" s="1"/>
  <c r="AO179" i="1"/>
  <c r="AQ174" i="1"/>
  <c r="BN194" i="1"/>
  <c r="BO194" i="1" s="1"/>
  <c r="AR194" i="1"/>
  <c r="AR199" i="1" s="1"/>
  <c r="AQ194" i="1"/>
  <c r="AO199" i="1"/>
  <c r="AT194" i="1"/>
  <c r="BH79" i="1"/>
  <c r="BA79" i="1"/>
  <c r="BC79" i="1"/>
  <c r="AG81" i="1"/>
  <c r="AG70" i="1"/>
  <c r="AG68" i="1"/>
  <c r="AG65" i="1"/>
  <c r="AG60" i="1"/>
  <c r="AG72" i="1"/>
  <c r="AH115" i="1"/>
  <c r="AH120" i="1"/>
  <c r="AG175" i="1"/>
  <c r="AG180" i="1"/>
  <c r="BN173" i="1"/>
  <c r="BO173" i="1" s="1"/>
  <c r="AS173" i="1"/>
  <c r="AQ173" i="1"/>
  <c r="AR173" i="1"/>
  <c r="AR175" i="1" s="1"/>
  <c r="AO180" i="1"/>
  <c r="AT173" i="1"/>
  <c r="AU173" i="1"/>
  <c r="AO175" i="1"/>
  <c r="AH200" i="1"/>
  <c r="AH195" i="1"/>
  <c r="BN193" i="1"/>
  <c r="BO193" i="1" s="1"/>
  <c r="AO200" i="1"/>
  <c r="AU193" i="1"/>
  <c r="AT193" i="1"/>
  <c r="AO195" i="1"/>
  <c r="AS193" i="1"/>
  <c r="AR193" i="1"/>
  <c r="AR195" i="1" s="1"/>
  <c r="AQ193" i="1"/>
  <c r="AD38" i="1"/>
  <c r="AD39" i="1" s="1"/>
  <c r="AD36" i="1"/>
  <c r="BH69" i="1"/>
  <c r="BA69" i="1"/>
  <c r="BC69" i="1"/>
  <c r="BN59" i="1"/>
  <c r="BO59" i="1" s="1"/>
  <c r="AY59" i="1"/>
  <c r="AQ59" i="1"/>
  <c r="AO64" i="1"/>
  <c r="AT59" i="1"/>
  <c r="AR59" i="1"/>
  <c r="AR64" i="1" s="1"/>
  <c r="AR80" i="1" s="1"/>
  <c r="BN127" i="1"/>
  <c r="BO127" i="1" s="1"/>
  <c r="AS127" i="1"/>
  <c r="AR127" i="1"/>
  <c r="AR129" i="1" s="1"/>
  <c r="AQ127" i="1"/>
  <c r="AQ129" i="1" s="1"/>
  <c r="AO129" i="1"/>
  <c r="AU127" i="1"/>
  <c r="AT127" i="1"/>
  <c r="AJ139" i="1"/>
  <c r="AG139" i="1"/>
  <c r="AH139" i="1"/>
  <c r="AG160" i="1"/>
  <c r="AG155" i="1"/>
  <c r="BN153" i="1"/>
  <c r="BO153" i="1" s="1"/>
  <c r="AO160" i="1"/>
  <c r="AT153" i="1"/>
  <c r="AU153" i="1"/>
  <c r="AO155" i="1"/>
  <c r="AS153" i="1"/>
  <c r="AQ153" i="1"/>
  <c r="AR153" i="1"/>
  <c r="AR155" i="1" s="1"/>
  <c r="BA77" i="1"/>
  <c r="BH77" i="1"/>
  <c r="BC77" i="1"/>
  <c r="AG140" i="1"/>
  <c r="AG135" i="1"/>
  <c r="BN133" i="1"/>
  <c r="BO133" i="1" s="1"/>
  <c r="AS133" i="1"/>
  <c r="AQ133" i="1"/>
  <c r="AR133" i="1"/>
  <c r="AR135" i="1" s="1"/>
  <c r="AO140" i="1"/>
  <c r="AT133" i="1"/>
  <c r="AU133" i="1"/>
  <c r="AO135" i="1"/>
  <c r="BN147" i="1"/>
  <c r="BO147" i="1" s="1"/>
  <c r="AS147" i="1"/>
  <c r="AR147" i="1"/>
  <c r="AR149" i="1" s="1"/>
  <c r="AQ147" i="1"/>
  <c r="AQ149" i="1" s="1"/>
  <c r="AO149" i="1"/>
  <c r="AU147" i="1"/>
  <c r="AT147" i="1"/>
  <c r="AJ159" i="1"/>
  <c r="AG159" i="1"/>
  <c r="AH159" i="1"/>
  <c r="BN154" i="1"/>
  <c r="BO154" i="1" s="1"/>
  <c r="AT154" i="1"/>
  <c r="AR154" i="1"/>
  <c r="AR159" i="1" s="1"/>
  <c r="AO159" i="1"/>
  <c r="AQ154" i="1"/>
  <c r="BN87" i="1"/>
  <c r="BO87" i="1" s="1"/>
  <c r="AO89" i="1"/>
  <c r="AT87" i="1"/>
  <c r="AU87" i="1"/>
  <c r="AS87" i="1"/>
  <c r="AQ87" i="1"/>
  <c r="AQ89" i="1" s="1"/>
  <c r="AR87" i="1"/>
  <c r="AR89" i="1" s="1"/>
  <c r="AH95" i="1"/>
  <c r="AH100" i="1"/>
  <c r="AG95" i="1"/>
  <c r="AG100" i="1"/>
  <c r="BN93" i="1"/>
  <c r="BO93" i="1" s="1"/>
  <c r="AS93" i="1"/>
  <c r="AR93" i="1"/>
  <c r="AR95" i="1" s="1"/>
  <c r="AQ93" i="1"/>
  <c r="AO100" i="1"/>
  <c r="AU93" i="1"/>
  <c r="AT93" i="1"/>
  <c r="AO95" i="1"/>
  <c r="BN94" i="1"/>
  <c r="BO94" i="1" s="1"/>
  <c r="AT94" i="1"/>
  <c r="AR94" i="1"/>
  <c r="AR99" i="1" s="1"/>
  <c r="AO99" i="1"/>
  <c r="AQ94" i="1"/>
  <c r="BA75" i="1"/>
  <c r="BC75" i="1"/>
  <c r="BH75" i="1"/>
  <c r="BN52" i="1"/>
  <c r="BO52" i="1" s="1"/>
  <c r="AY52" i="1"/>
  <c r="AT52" i="1"/>
  <c r="AQ52" i="1"/>
  <c r="AQ54" i="1" s="1"/>
  <c r="AO54" i="1"/>
  <c r="AS52" i="1"/>
  <c r="AU52" i="1"/>
  <c r="AR52" i="1"/>
  <c r="AR54" i="1" s="1"/>
  <c r="AG199" i="1"/>
  <c r="AJ199" i="1"/>
  <c r="AH199" i="1"/>
  <c r="BH74" i="1"/>
  <c r="BC74" i="1"/>
  <c r="BA74" i="1"/>
  <c r="BN58" i="1"/>
  <c r="BO58" i="1" s="1"/>
  <c r="AY58" i="1"/>
  <c r="AR58" i="1"/>
  <c r="AO60" i="1"/>
  <c r="AO72" i="1"/>
  <c r="AO65" i="1"/>
  <c r="AO81" i="1"/>
  <c r="AS58" i="1"/>
  <c r="AT58" i="1"/>
  <c r="AO68" i="1"/>
  <c r="AU58" i="1"/>
  <c r="AO70" i="1"/>
  <c r="AQ58" i="1"/>
  <c r="AH65" i="1"/>
  <c r="AH60" i="1"/>
  <c r="AH72" i="1"/>
  <c r="AH81" i="1"/>
  <c r="AH70" i="1"/>
  <c r="AH68" i="1"/>
  <c r="BH78" i="1"/>
  <c r="BC78" i="1"/>
  <c r="BA78" i="1"/>
  <c r="AG120" i="1"/>
  <c r="AG115" i="1"/>
  <c r="BN113" i="1"/>
  <c r="BO113" i="1" s="1"/>
  <c r="AS113" i="1"/>
  <c r="AQ113" i="1"/>
  <c r="AR113" i="1"/>
  <c r="AR115" i="1" s="1"/>
  <c r="AO120" i="1"/>
  <c r="AT113" i="1"/>
  <c r="AU113" i="1"/>
  <c r="AO115" i="1"/>
  <c r="AH175" i="1"/>
  <c r="AH180" i="1"/>
  <c r="AG200" i="1"/>
  <c r="AG195" i="1"/>
  <c r="AH119" i="1"/>
  <c r="AJ119" i="1"/>
  <c r="AG119" i="1"/>
  <c r="BN114" i="1"/>
  <c r="BO114" i="1" s="1"/>
  <c r="AT114" i="1"/>
  <c r="AR114" i="1"/>
  <c r="AR119" i="1" s="1"/>
  <c r="AO119" i="1"/>
  <c r="AQ114" i="1"/>
  <c r="V38" i="1"/>
  <c r="V39" i="1" s="1"/>
  <c r="AA38" i="1"/>
  <c r="AA39" i="1" s="1"/>
  <c r="AQ24" i="1"/>
  <c r="BN24" i="1"/>
  <c r="BO24" i="1" s="1"/>
  <c r="AQ22" i="1"/>
  <c r="BN22" i="1"/>
  <c r="BO22" i="1" s="1"/>
  <c r="AQ32" i="1"/>
  <c r="BN32" i="1"/>
  <c r="BO32" i="1" s="1"/>
  <c r="AQ33" i="1"/>
  <c r="BN33" i="1"/>
  <c r="BO33" i="1" s="1"/>
  <c r="AQ31" i="1"/>
  <c r="BN31" i="1"/>
  <c r="BO31" i="1" s="1"/>
  <c r="AQ29" i="1"/>
  <c r="BN29" i="1"/>
  <c r="BO29" i="1" s="1"/>
  <c r="AQ34" i="1"/>
  <c r="BN34" i="1"/>
  <c r="BO34" i="1" s="1"/>
  <c r="AQ17" i="1"/>
  <c r="BN17" i="1"/>
  <c r="BO17" i="1" s="1"/>
  <c r="AQ7" i="1"/>
  <c r="AY7" i="1"/>
  <c r="AS7" i="1"/>
  <c r="AT7" i="1"/>
  <c r="AQ18" i="1"/>
  <c r="BN18" i="1"/>
  <c r="BO18" i="1" s="1"/>
  <c r="BN13" i="1"/>
  <c r="BO13" i="1" s="1"/>
  <c r="AS13" i="1"/>
  <c r="AQ11" i="1"/>
  <c r="BN11" i="1"/>
  <c r="BO11" i="1" s="1"/>
  <c r="BO14" i="1"/>
  <c r="AQ14" i="1"/>
  <c r="BO8" i="1"/>
  <c r="AQ8" i="1"/>
  <c r="AR7" i="1"/>
  <c r="AQ13" i="1"/>
  <c r="BO30" i="1"/>
  <c r="AQ30" i="1"/>
  <c r="AY22" i="1"/>
  <c r="AY18" i="1"/>
  <c r="AY33" i="1"/>
  <c r="AY29" i="1"/>
  <c r="AY24" i="1"/>
  <c r="AY32" i="1"/>
  <c r="AY34" i="1"/>
  <c r="AY17" i="1"/>
  <c r="AY31" i="1"/>
  <c r="AU11" i="1"/>
  <c r="AY11" i="1"/>
  <c r="BH11" i="1" s="1"/>
  <c r="BJ11" i="1" s="1"/>
  <c r="AY8" i="1"/>
  <c r="BH8" i="1" s="1"/>
  <c r="AT30" i="1"/>
  <c r="AY30" i="1"/>
  <c r="AU13" i="1"/>
  <c r="AY13" i="1"/>
  <c r="BH13" i="1" s="1"/>
  <c r="AT14" i="1"/>
  <c r="AY14" i="1"/>
  <c r="AR30" i="1"/>
  <c r="AB38" i="1"/>
  <c r="AB39" i="1" s="1"/>
  <c r="AU7" i="1"/>
  <c r="AR24" i="1"/>
  <c r="AT24" i="1"/>
  <c r="AR11" i="1"/>
  <c r="AT11" i="1"/>
  <c r="AR33" i="1"/>
  <c r="AT33" i="1"/>
  <c r="AR13" i="1"/>
  <c r="AT13" i="1"/>
  <c r="AR31" i="1"/>
  <c r="AT31" i="1"/>
  <c r="AR29" i="1"/>
  <c r="AT29" i="1"/>
  <c r="AR32" i="1"/>
  <c r="AT32" i="1"/>
  <c r="AR34" i="1"/>
  <c r="AT34" i="1"/>
  <c r="AR8" i="1"/>
  <c r="AT8" i="1"/>
  <c r="AR22" i="1"/>
  <c r="AT22" i="1"/>
  <c r="AR17" i="1"/>
  <c r="AT17" i="1"/>
  <c r="AR18" i="1"/>
  <c r="AT18" i="1"/>
  <c r="AR14" i="1"/>
  <c r="AO19" i="1"/>
  <c r="AH23" i="1"/>
  <c r="AH25" i="1"/>
  <c r="T38" i="1"/>
  <c r="T39" i="1" s="1"/>
  <c r="AH26" i="1"/>
  <c r="AH27" i="1" s="1"/>
  <c r="AH15" i="1"/>
  <c r="AH9" i="1"/>
  <c r="AH19" i="1"/>
  <c r="AH20" i="1" s="1"/>
  <c r="AJ26" i="1"/>
  <c r="CD26" i="1"/>
  <c r="AJ19" i="1"/>
  <c r="AE35" i="1"/>
  <c r="CD19" i="1"/>
  <c r="AS11" i="1"/>
  <c r="AO26" i="1"/>
  <c r="AG9" i="1"/>
  <c r="AG19" i="1"/>
  <c r="AG20" i="1" s="1"/>
  <c r="AO15" i="1"/>
  <c r="AO25" i="1"/>
  <c r="AO23" i="1"/>
  <c r="AG15" i="1"/>
  <c r="AG25" i="1"/>
  <c r="AG23" i="1"/>
  <c r="AG43" i="1"/>
  <c r="Y38" i="1"/>
  <c r="Y39" i="1" s="1"/>
  <c r="S38" i="1"/>
  <c r="AG26" i="1"/>
  <c r="AG27" i="1" s="1"/>
  <c r="AO9" i="1"/>
  <c r="E19" i="3"/>
  <c r="BH5" i="1"/>
  <c r="BG5" i="1" s="1"/>
  <c r="F18" i="3"/>
  <c r="G17" i="3" s="1"/>
  <c r="E18" i="3"/>
  <c r="F17" i="3" s="1"/>
  <c r="G16" i="3" s="1"/>
  <c r="AY5" i="1"/>
  <c r="AX5" i="1" s="1"/>
  <c r="E17" i="3"/>
  <c r="F16" i="3" s="1"/>
  <c r="G15" i="3" s="1"/>
  <c r="AN5" i="1"/>
  <c r="E16" i="3"/>
  <c r="F15" i="3" s="1"/>
  <c r="G14" i="3" s="1"/>
  <c r="E15" i="3"/>
  <c r="F14" i="3" s="1"/>
  <c r="G13" i="3" s="1"/>
  <c r="E14" i="3"/>
  <c r="F13" i="3" s="1"/>
  <c r="G12" i="3" s="1"/>
  <c r="E13" i="3"/>
  <c r="F12" i="3" s="1"/>
  <c r="G11" i="3" s="1"/>
  <c r="E12" i="3"/>
  <c r="F11" i="3" s="1"/>
  <c r="G10" i="3" s="1"/>
  <c r="E11" i="3"/>
  <c r="F10" i="3" s="1"/>
  <c r="G9" i="3" s="1"/>
  <c r="E10" i="3"/>
  <c r="F9" i="3" s="1"/>
  <c r="G8" i="3" s="1"/>
  <c r="E9" i="3"/>
  <c r="F8" i="3" s="1"/>
  <c r="G7" i="3" s="1"/>
  <c r="E8" i="3"/>
  <c r="F7" i="3" s="1"/>
  <c r="G6" i="3" s="1"/>
  <c r="E7" i="3"/>
  <c r="F6" i="3" s="1"/>
  <c r="E6" i="3"/>
  <c r="BK78" i="1" l="1"/>
  <c r="BI78" i="1"/>
  <c r="AY81" i="1"/>
  <c r="BH58" i="1"/>
  <c r="BD58" i="1"/>
  <c r="AY60" i="1"/>
  <c r="AY72" i="1"/>
  <c r="AY70" i="1"/>
  <c r="BC58" i="1"/>
  <c r="BB58" i="1"/>
  <c r="BA58" i="1"/>
  <c r="AY68" i="1"/>
  <c r="AY65" i="1"/>
  <c r="BK74" i="1"/>
  <c r="BI74" i="1"/>
  <c r="BH52" i="1"/>
  <c r="BB52" i="1"/>
  <c r="BA52" i="1"/>
  <c r="BA54" i="1" s="1"/>
  <c r="AY54" i="1"/>
  <c r="BC52" i="1"/>
  <c r="BD52" i="1"/>
  <c r="BI75" i="1"/>
  <c r="BK75" i="1"/>
  <c r="BN99" i="1"/>
  <c r="BO99" i="1" s="1"/>
  <c r="AQ99" i="1"/>
  <c r="AT99" i="1"/>
  <c r="AQ100" i="1"/>
  <c r="AQ95" i="1"/>
  <c r="BN159" i="1"/>
  <c r="BO159" i="1" s="1"/>
  <c r="AQ159" i="1"/>
  <c r="AT159" i="1"/>
  <c r="AQ155" i="1"/>
  <c r="AQ160" i="1"/>
  <c r="AQ195" i="1"/>
  <c r="AQ200" i="1"/>
  <c r="BI79" i="1"/>
  <c r="BK79" i="1"/>
  <c r="BN199" i="1"/>
  <c r="BO199" i="1" s="1"/>
  <c r="AQ199" i="1"/>
  <c r="AT199" i="1"/>
  <c r="BJ56" i="1"/>
  <c r="BI56" i="1"/>
  <c r="BL56" i="1"/>
  <c r="BK56" i="1"/>
  <c r="BK62" i="1"/>
  <c r="BI62" i="1"/>
  <c r="BN139" i="1"/>
  <c r="BO139" i="1" s="1"/>
  <c r="AQ139" i="1"/>
  <c r="AT139" i="1"/>
  <c r="BK76" i="1"/>
  <c r="BI76" i="1"/>
  <c r="AQ9" i="1"/>
  <c r="BN119" i="1"/>
  <c r="BO119" i="1" s="1"/>
  <c r="AQ119" i="1"/>
  <c r="AT119" i="1"/>
  <c r="AQ115" i="1"/>
  <c r="AQ120" i="1"/>
  <c r="AQ72" i="1"/>
  <c r="AQ70" i="1"/>
  <c r="AQ81" i="1"/>
  <c r="AQ60" i="1"/>
  <c r="AQ65" i="1"/>
  <c r="AQ68" i="1"/>
  <c r="AR60" i="1"/>
  <c r="AR70" i="1"/>
  <c r="AR81" i="1"/>
  <c r="AR68" i="1"/>
  <c r="AQ135" i="1"/>
  <c r="AQ140" i="1"/>
  <c r="BI77" i="1"/>
  <c r="BK77" i="1"/>
  <c r="BN64" i="1"/>
  <c r="BO64" i="1" s="1"/>
  <c r="AO80" i="1"/>
  <c r="AQ64" i="1"/>
  <c r="AT64" i="1"/>
  <c r="BH59" i="1"/>
  <c r="BC59" i="1"/>
  <c r="AY64" i="1"/>
  <c r="BA59" i="1"/>
  <c r="BA64" i="1" s="1"/>
  <c r="BK69" i="1"/>
  <c r="BI69" i="1"/>
  <c r="AQ180" i="1"/>
  <c r="AQ175" i="1"/>
  <c r="BN179" i="1"/>
  <c r="BO179" i="1" s="1"/>
  <c r="AQ179" i="1"/>
  <c r="AT179" i="1"/>
  <c r="BK53" i="1"/>
  <c r="BI53" i="1"/>
  <c r="BN71" i="1"/>
  <c r="BO71" i="1" s="1"/>
  <c r="AQ71" i="1"/>
  <c r="AT71" i="1"/>
  <c r="AY71" i="1"/>
  <c r="BC71" i="1" s="1"/>
  <c r="BH67" i="1"/>
  <c r="BA67" i="1"/>
  <c r="BA71" i="1" s="1"/>
  <c r="BC67" i="1"/>
  <c r="AK80" i="1"/>
  <c r="AH80" i="1"/>
  <c r="AJ80" i="1"/>
  <c r="AG80" i="1"/>
  <c r="AI80" i="1"/>
  <c r="BI63" i="1"/>
  <c r="BK63" i="1"/>
  <c r="AQ26" i="1"/>
  <c r="BN26" i="1"/>
  <c r="BO26" i="1" s="1"/>
  <c r="AQ19" i="1"/>
  <c r="BN19" i="1"/>
  <c r="BO19" i="1" s="1"/>
  <c r="AQ25" i="1"/>
  <c r="AQ15" i="1"/>
  <c r="AQ27" i="1"/>
  <c r="AQ23" i="1"/>
  <c r="AQ20" i="1"/>
  <c r="BH7" i="1"/>
  <c r="CL7" i="1" s="1"/>
  <c r="BA7" i="1"/>
  <c r="AT26" i="1"/>
  <c r="AT19" i="1"/>
  <c r="BC34" i="1"/>
  <c r="BH34" i="1"/>
  <c r="BC33" i="1"/>
  <c r="BH33" i="1"/>
  <c r="BC18" i="1"/>
  <c r="BH18" i="1"/>
  <c r="BC30" i="1"/>
  <c r="BH30" i="1"/>
  <c r="CG30" i="1" s="1"/>
  <c r="BC31" i="1"/>
  <c r="BH31" i="1"/>
  <c r="BC24" i="1"/>
  <c r="BH24" i="1"/>
  <c r="BC17" i="1"/>
  <c r="BH17" i="1"/>
  <c r="BC14" i="1"/>
  <c r="BH14" i="1"/>
  <c r="BK14" i="1" s="1"/>
  <c r="BC29" i="1"/>
  <c r="BH29" i="1"/>
  <c r="BC32" i="1"/>
  <c r="BH32" i="1"/>
  <c r="BC22" i="1"/>
  <c r="BH22" i="1"/>
  <c r="BK22" i="1" s="1"/>
  <c r="BA30" i="1"/>
  <c r="BC8" i="1"/>
  <c r="AR23" i="1"/>
  <c r="AR9" i="1"/>
  <c r="AR15" i="1"/>
  <c r="AR25" i="1"/>
  <c r="AR19" i="1"/>
  <c r="AR26" i="1"/>
  <c r="BC7" i="1"/>
  <c r="BD7" i="1"/>
  <c r="BC13" i="1"/>
  <c r="BD13" i="1"/>
  <c r="BC11" i="1"/>
  <c r="BD11" i="1"/>
  <c r="AE36" i="1"/>
  <c r="AK35" i="1"/>
  <c r="BA8" i="1"/>
  <c r="BA29" i="1"/>
  <c r="BA17" i="1"/>
  <c r="BA32" i="1"/>
  <c r="BA34" i="1"/>
  <c r="BA22" i="1"/>
  <c r="BA11" i="1"/>
  <c r="BA13" i="1"/>
  <c r="BJ13" i="1" s="1"/>
  <c r="AY19" i="1"/>
  <c r="BC19" i="1" s="1"/>
  <c r="BA14" i="1"/>
  <c r="BA31" i="1"/>
  <c r="BA33" i="1"/>
  <c r="BA24" i="1"/>
  <c r="BA18" i="1"/>
  <c r="BB7" i="1"/>
  <c r="AY23" i="1"/>
  <c r="AY15" i="1"/>
  <c r="AY9" i="1"/>
  <c r="AH35" i="1"/>
  <c r="AH36" i="1" s="1"/>
  <c r="AJ35" i="1"/>
  <c r="CD35" i="1"/>
  <c r="AI35" i="1"/>
  <c r="BB13" i="1"/>
  <c r="AY26" i="1"/>
  <c r="BB11" i="1"/>
  <c r="AO35" i="1"/>
  <c r="BN35" i="1" s="1"/>
  <c r="AY25" i="1"/>
  <c r="AO20" i="1"/>
  <c r="AE38" i="1"/>
  <c r="AO38" i="1" s="1"/>
  <c r="BN38" i="1" s="1"/>
  <c r="S39" i="1"/>
  <c r="AO27" i="1"/>
  <c r="AG35" i="1"/>
  <c r="AG36" i="1" s="1"/>
  <c r="BA80" i="1" l="1"/>
  <c r="AY80" i="1"/>
  <c r="BC64" i="1"/>
  <c r="BK59" i="1"/>
  <c r="BH64" i="1"/>
  <c r="BI59" i="1"/>
  <c r="BI64" i="1" s="1"/>
  <c r="BK52" i="1"/>
  <c r="BI52" i="1"/>
  <c r="BI54" i="1" s="1"/>
  <c r="BH54" i="1"/>
  <c r="BJ52" i="1"/>
  <c r="BL52" i="1"/>
  <c r="BJ58" i="1"/>
  <c r="BI58" i="1"/>
  <c r="BH70" i="1"/>
  <c r="BH68" i="1"/>
  <c r="BK58" i="1"/>
  <c r="BH81" i="1"/>
  <c r="BH60" i="1"/>
  <c r="BH65" i="1"/>
  <c r="BL58" i="1"/>
  <c r="BH72" i="1"/>
  <c r="BI67" i="1"/>
  <c r="BI71" i="1" s="1"/>
  <c r="BH71" i="1"/>
  <c r="BK71" i="1" s="1"/>
  <c r="BK67" i="1"/>
  <c r="BN80" i="1"/>
  <c r="BO80" i="1" s="1"/>
  <c r="AS80" i="1"/>
  <c r="AQ80" i="1"/>
  <c r="AU80" i="1"/>
  <c r="AT80" i="1"/>
  <c r="BA81" i="1"/>
  <c r="BA72" i="1"/>
  <c r="BA68" i="1"/>
  <c r="BA60" i="1"/>
  <c r="BA70" i="1"/>
  <c r="BA65" i="1"/>
  <c r="BJ7" i="1"/>
  <c r="BI7" i="1"/>
  <c r="BK7" i="1"/>
  <c r="BO35" i="1"/>
  <c r="AQ35" i="1"/>
  <c r="AQ36" i="1" s="1"/>
  <c r="BK30" i="1"/>
  <c r="BI30" i="1"/>
  <c r="CL30" i="1"/>
  <c r="BH26" i="1"/>
  <c r="BK26" i="1" s="1"/>
  <c r="BA9" i="1"/>
  <c r="AR35" i="1"/>
  <c r="AR36" i="1" s="1"/>
  <c r="BI24" i="1"/>
  <c r="BK24" i="1"/>
  <c r="BI13" i="1"/>
  <c r="BK13" i="1"/>
  <c r="BL13" i="1"/>
  <c r="BL7" i="1"/>
  <c r="BI17" i="1"/>
  <c r="BK17" i="1"/>
  <c r="AT35" i="1"/>
  <c r="AU35" i="1"/>
  <c r="BI33" i="1"/>
  <c r="BK33" i="1"/>
  <c r="BA25" i="1"/>
  <c r="BA23" i="1"/>
  <c r="BI34" i="1"/>
  <c r="BK34" i="1"/>
  <c r="BI8" i="1"/>
  <c r="BK8" i="1"/>
  <c r="BI18" i="1"/>
  <c r="BK18" i="1"/>
  <c r="BI29" i="1"/>
  <c r="BK29" i="1"/>
  <c r="BI31" i="1"/>
  <c r="BK31" i="1"/>
  <c r="BI11" i="1"/>
  <c r="BK11" i="1"/>
  <c r="BL11" i="1"/>
  <c r="BA26" i="1"/>
  <c r="BA27" i="1" s="1"/>
  <c r="BI32" i="1"/>
  <c r="BK32" i="1"/>
  <c r="AY27" i="1"/>
  <c r="BC26" i="1"/>
  <c r="AY20" i="1"/>
  <c r="BA19" i="1"/>
  <c r="BA20" i="1" s="1"/>
  <c r="CG7" i="1"/>
  <c r="BI22" i="1"/>
  <c r="BH19" i="1"/>
  <c r="BI14" i="1"/>
  <c r="BA15" i="1"/>
  <c r="AE39" i="1"/>
  <c r="AI38" i="1"/>
  <c r="CG8" i="1"/>
  <c r="BH9" i="1"/>
  <c r="CL8" i="1"/>
  <c r="AS38" i="1"/>
  <c r="AO39" i="1"/>
  <c r="CL22" i="1"/>
  <c r="CG22" i="1"/>
  <c r="CG33" i="1"/>
  <c r="CL33" i="1"/>
  <c r="CG17" i="1"/>
  <c r="CL17" i="1"/>
  <c r="CG31" i="1"/>
  <c r="CL31" i="1"/>
  <c r="CG29" i="1"/>
  <c r="CL29" i="1"/>
  <c r="AY35" i="1"/>
  <c r="CG14" i="1"/>
  <c r="CL14" i="1"/>
  <c r="CL18" i="1"/>
  <c r="CG18" i="1"/>
  <c r="CG34" i="1"/>
  <c r="CL34" i="1"/>
  <c r="CL24" i="1"/>
  <c r="CG24" i="1"/>
  <c r="CL32" i="1"/>
  <c r="CG32" i="1"/>
  <c r="CL13" i="1"/>
  <c r="BH25" i="1"/>
  <c r="BH15" i="1"/>
  <c r="BH23" i="1"/>
  <c r="CG13" i="1"/>
  <c r="AO36" i="1"/>
  <c r="AS35" i="1"/>
  <c r="AG38" i="1"/>
  <c r="AG39" i="1" s="1"/>
  <c r="BI9" i="1" l="1"/>
  <c r="BI72" i="1"/>
  <c r="BI65" i="1"/>
  <c r="BI70" i="1"/>
  <c r="BI60" i="1"/>
  <c r="BI68" i="1"/>
  <c r="BH80" i="1"/>
  <c r="BK64" i="1"/>
  <c r="BI80" i="1"/>
  <c r="BC80" i="1"/>
  <c r="BB80" i="1"/>
  <c r="BD80" i="1"/>
  <c r="BI25" i="1"/>
  <c r="BH27" i="1"/>
  <c r="BI26" i="1"/>
  <c r="BI27" i="1" s="1"/>
  <c r="BI19" i="1"/>
  <c r="BI20" i="1" s="1"/>
  <c r="BA35" i="1"/>
  <c r="BC35" i="1"/>
  <c r="BD35" i="1"/>
  <c r="BH20" i="1"/>
  <c r="BK19" i="1"/>
  <c r="BI15" i="1"/>
  <c r="BH35" i="1"/>
  <c r="CG19" i="1"/>
  <c r="CL19" i="1"/>
  <c r="CL26" i="1"/>
  <c r="CG26" i="1"/>
  <c r="BI23" i="1"/>
  <c r="AY38" i="1"/>
  <c r="BB35" i="1"/>
  <c r="AY36" i="1"/>
  <c r="BL80" i="1" l="1"/>
  <c r="BJ80" i="1"/>
  <c r="BK80" i="1"/>
  <c r="BA36" i="1"/>
  <c r="BJ35" i="1"/>
  <c r="BI35" i="1"/>
  <c r="BI38" i="1" s="1"/>
  <c r="BI39" i="1" s="1"/>
  <c r="BA38" i="1"/>
  <c r="BK35" i="1"/>
  <c r="BL35" i="1"/>
  <c r="BH38" i="1"/>
  <c r="CG35" i="1"/>
  <c r="BH36" i="1"/>
  <c r="CL35" i="1"/>
  <c r="BB38" i="1"/>
  <c r="AY39" i="1"/>
  <c r="CM37" i="1"/>
  <c r="CD37" i="1"/>
  <c r="CH37" i="1"/>
  <c r="CC38" i="1"/>
  <c r="BO38" i="1" s="1"/>
  <c r="BA39" i="1" l="1"/>
  <c r="BJ38" i="1"/>
  <c r="BK38" i="1"/>
  <c r="AT38" i="1"/>
  <c r="AR38" i="1"/>
  <c r="AR39" i="1" s="1"/>
  <c r="BC38" i="1"/>
  <c r="BH39" i="1"/>
  <c r="CG38" i="1"/>
  <c r="CL38" i="1"/>
  <c r="AH38" i="1"/>
  <c r="AH39" i="1" s="1"/>
  <c r="CH38" i="1"/>
  <c r="AJ38" i="1"/>
  <c r="CD38" i="1"/>
  <c r="CC39" i="1"/>
  <c r="CM38" i="1"/>
</calcChain>
</file>

<file path=xl/sharedStrings.xml><?xml version="1.0" encoding="utf-8"?>
<sst xmlns="http://schemas.openxmlformats.org/spreadsheetml/2006/main" count="448" uniqueCount="119">
  <si>
    <t>PREV M+1</t>
  </si>
  <si>
    <t>PREV M+2</t>
  </si>
  <si>
    <t>PREV M+3</t>
  </si>
  <si>
    <t>PA</t>
  </si>
  <si>
    <t>LB1</t>
  </si>
  <si>
    <t>LB2</t>
  </si>
  <si>
    <t>Ecart Prév</t>
  </si>
  <si>
    <t>CUMUL</t>
  </si>
  <si>
    <t>Ecart PA</t>
  </si>
  <si>
    <t>CIP</t>
  </si>
  <si>
    <t>MCO</t>
  </si>
  <si>
    <t>FGx Propres</t>
  </si>
  <si>
    <t>%</t>
  </si>
  <si>
    <t>FGx Externes</t>
  </si>
  <si>
    <t>Désengagement</t>
  </si>
  <si>
    <t>Créances perdues</t>
  </si>
  <si>
    <t>MPCD</t>
  </si>
  <si>
    <t>MPRE</t>
  </si>
  <si>
    <t>APC</t>
  </si>
  <si>
    <t>Participation</t>
  </si>
  <si>
    <t>EBIT</t>
  </si>
  <si>
    <t>mois</t>
  </si>
  <si>
    <t>UO</t>
  </si>
  <si>
    <t>Responsable</t>
  </si>
  <si>
    <t>NOM DE L'UO</t>
  </si>
  <si>
    <t>periode</t>
  </si>
  <si>
    <t>m</t>
  </si>
  <si>
    <t>libellé</t>
  </si>
  <si>
    <t>mm/aaaa</t>
  </si>
  <si>
    <t>M+1</t>
  </si>
  <si>
    <t>M+2</t>
  </si>
  <si>
    <t>M+3</t>
  </si>
  <si>
    <t>mm / aa</t>
  </si>
  <si>
    <t>mm / a-1</t>
  </si>
  <si>
    <t>x</t>
  </si>
  <si>
    <t>janvier</t>
  </si>
  <si>
    <t>janv</t>
  </si>
  <si>
    <t>février</t>
  </si>
  <si>
    <t>fév</t>
  </si>
  <si>
    <t>mars</t>
  </si>
  <si>
    <t>avril</t>
  </si>
  <si>
    <t>avr</t>
  </si>
  <si>
    <t>mai</t>
  </si>
  <si>
    <t>juin</t>
  </si>
  <si>
    <t>juillet</t>
  </si>
  <si>
    <t>juil</t>
  </si>
  <si>
    <t>août</t>
  </si>
  <si>
    <t>septembre</t>
  </si>
  <si>
    <t>sept</t>
  </si>
  <si>
    <t>octobre</t>
  </si>
  <si>
    <t>oct</t>
  </si>
  <si>
    <t>novembre</t>
  </si>
  <si>
    <t>nov</t>
  </si>
  <si>
    <t>décembre</t>
  </si>
  <si>
    <t>déc</t>
  </si>
  <si>
    <t>AG</t>
  </si>
  <si>
    <t>SE</t>
  </si>
  <si>
    <t>COMMANDES</t>
  </si>
  <si>
    <t>FACTURATION</t>
  </si>
  <si>
    <t>PRODUCTION</t>
  </si>
  <si>
    <t>MB Affaires</t>
  </si>
  <si>
    <t>Marge Brute</t>
  </si>
  <si>
    <t>% Marge Brute Affaires</t>
  </si>
  <si>
    <t>% MB Affaires</t>
  </si>
  <si>
    <t>MARGE BRUTE UNITE</t>
  </si>
  <si>
    <t>% MB Unité</t>
  </si>
  <si>
    <t>SOLDE FGX</t>
  </si>
  <si>
    <t>Ctrl EBIT</t>
  </si>
  <si>
    <t>Mensualisation</t>
  </si>
  <si>
    <t>Mensuel à saisir</t>
  </si>
  <si>
    <t>Potentiel prod volume A</t>
  </si>
  <si>
    <t>Potentiel prod MB A</t>
  </si>
  <si>
    <t>% PT</t>
  </si>
  <si>
    <t>CVAE</t>
  </si>
  <si>
    <t>EBITA</t>
  </si>
  <si>
    <t>Saisonnalitée</t>
  </si>
  <si>
    <t>AG1008</t>
  </si>
  <si>
    <t>SE0010</t>
  </si>
  <si>
    <t>SE0011</t>
  </si>
  <si>
    <t>Noeud parent</t>
  </si>
  <si>
    <t xml:space="preserve">mettre une macro pour blanchir les lignes </t>
  </si>
  <si>
    <t>xxx</t>
  </si>
  <si>
    <t>%Obj.saiso</t>
  </si>
  <si>
    <t>PT/Obj</t>
  </si>
  <si>
    <t>RAF</t>
  </si>
  <si>
    <t>Par mois</t>
  </si>
  <si>
    <t>ECART FP indicatif</t>
  </si>
  <si>
    <t>Prev M-1</t>
  </si>
  <si>
    <t>SEXXXX</t>
  </si>
  <si>
    <t>-</t>
  </si>
  <si>
    <t>BU</t>
  </si>
  <si>
    <t>DR</t>
  </si>
  <si>
    <t>OP</t>
  </si>
  <si>
    <t>Dte effet</t>
  </si>
  <si>
    <t>Desc.</t>
  </si>
  <si>
    <t>Cd resp.</t>
  </si>
  <si>
    <t xml:space="preserve"> </t>
  </si>
  <si>
    <t>Arborescence Direction et Agences</t>
  </si>
  <si>
    <t>Nom des onglets à créer</t>
  </si>
  <si>
    <t>DR0001</t>
  </si>
  <si>
    <t>AG0003</t>
  </si>
  <si>
    <t>AG0004</t>
  </si>
  <si>
    <t>AG0006</t>
  </si>
  <si>
    <t>AG0007</t>
  </si>
  <si>
    <t>SE0005</t>
  </si>
  <si>
    <t>SE0012</t>
  </si>
  <si>
    <t>SE0015</t>
  </si>
  <si>
    <t>SE0017</t>
  </si>
  <si>
    <t>SE0018</t>
  </si>
  <si>
    <t>SE0019</t>
  </si>
  <si>
    <t>SE0021</t>
  </si>
  <si>
    <t>SE0024</t>
  </si>
  <si>
    <t>SE0025</t>
  </si>
  <si>
    <t>SE0026</t>
  </si>
  <si>
    <t>DPT</t>
  </si>
  <si>
    <t>AGENCE XXX</t>
  </si>
  <si>
    <t>SERVICE XXX</t>
  </si>
  <si>
    <t>FORMULES Pour rappatrier les données extraits du TBC EXCEL . Envisagé de voir si une fonction VLOOKUP est envisageable en VBA pour alléger le fichier</t>
  </si>
  <si>
    <t>FORMULES Pour rappatrier les données extraits du TBC EXCEL SUR . Envisagé de voir si une fonction VLOOKUP est envisageable en VBA pour alléger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</si>
</sst>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_ ;[Red]\-#,##0\ "/>
    <numFmt numFmtId="166" formatCode="0.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rgb="FFC00000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b/>
      <i/>
      <sz val="8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b/>
      <sz val="8"/>
      <color rgb="FFC00000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i/>
      <sz val="8"/>
      <color rgb="FFC00000"/>
      <name val="Calibri"/>
      <family val="2"/>
      <scheme val="minor"/>
    </font>
    <font>
      <i/>
      <sz val="8"/>
      <name val="Calibri"/>
      <family val="2"/>
      <scheme val="minor"/>
    </font>
    <font>
      <b/>
      <sz val="9"/>
      <color theme="3"/>
      <name val="Calibri"/>
      <family val="2"/>
      <scheme val="minor"/>
    </font>
    <font>
      <i/>
      <sz val="8"/>
      <color theme="3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theme="0"/>
      </left>
      <right style="medium">
        <color theme="0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C00000"/>
      </left>
      <right/>
      <top style="hair">
        <color rgb="FFC00000"/>
      </top>
      <bottom/>
      <diagonal/>
    </border>
    <border>
      <left/>
      <right/>
      <top style="hair">
        <color rgb="FFC00000"/>
      </top>
      <bottom/>
      <diagonal/>
    </border>
    <border>
      <left/>
      <right style="hair">
        <color rgb="FFC00000"/>
      </right>
      <top style="hair">
        <color rgb="FFC00000"/>
      </top>
      <bottom/>
      <diagonal/>
    </border>
    <border>
      <left style="hair">
        <color rgb="FFC00000"/>
      </left>
      <right/>
      <top/>
      <bottom/>
      <diagonal/>
    </border>
    <border>
      <left/>
      <right style="hair">
        <color rgb="FFC00000"/>
      </right>
      <top/>
      <bottom/>
      <diagonal/>
    </border>
    <border>
      <left style="hair">
        <color rgb="FFC00000"/>
      </left>
      <right/>
      <top/>
      <bottom style="hair">
        <color rgb="FFC00000"/>
      </bottom>
      <diagonal/>
    </border>
    <border>
      <left/>
      <right/>
      <top/>
      <bottom style="hair">
        <color rgb="FFC00000"/>
      </bottom>
      <diagonal/>
    </border>
    <border>
      <left/>
      <right style="hair">
        <color rgb="FFC00000"/>
      </right>
      <top/>
      <bottom style="hair">
        <color rgb="FFC00000"/>
      </bottom>
      <diagonal/>
    </border>
    <border>
      <left style="medium">
        <color theme="0"/>
      </left>
      <right/>
      <top style="hair">
        <color indexed="64"/>
      </top>
      <bottom/>
      <diagonal/>
    </border>
    <border>
      <left style="medium">
        <color theme="0"/>
      </left>
      <right/>
      <top/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0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theme="1"/>
      </top>
      <bottom style="hair">
        <color theme="1"/>
      </bottom>
      <diagonal/>
    </border>
    <border>
      <left style="hair">
        <color theme="4"/>
      </left>
      <right/>
      <top style="hair">
        <color theme="4"/>
      </top>
      <bottom/>
      <diagonal/>
    </border>
    <border>
      <left/>
      <right/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/>
      <diagonal/>
    </border>
    <border>
      <left style="hair">
        <color theme="4"/>
      </left>
      <right/>
      <top/>
      <bottom/>
      <diagonal/>
    </border>
    <border>
      <left/>
      <right style="hair">
        <color theme="4"/>
      </right>
      <top/>
      <bottom/>
      <diagonal/>
    </border>
    <border>
      <left style="hair">
        <color theme="4"/>
      </left>
      <right/>
      <top/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Border="1"/>
    <xf numFmtId="0" fontId="6" fillId="2" borderId="9" xfId="0" applyFont="1" applyFill="1" applyBorder="1" applyAlignment="1">
      <alignment horizontal="center" vertical="center" wrapText="1"/>
    </xf>
    <xf numFmtId="166" fontId="3" fillId="2" borderId="23" xfId="1" applyNumberFormat="1" applyFont="1" applyFill="1" applyBorder="1" applyAlignment="1">
      <alignment horizontal="center"/>
    </xf>
    <xf numFmtId="166" fontId="8" fillId="2" borderId="23" xfId="1" applyNumberFormat="1" applyFont="1" applyFill="1" applyBorder="1" applyAlignment="1">
      <alignment horizontal="center"/>
    </xf>
    <xf numFmtId="166" fontId="3" fillId="2" borderId="0" xfId="1" applyNumberFormat="1" applyFont="1" applyFill="1" applyBorder="1" applyAlignment="1">
      <alignment horizontal="center"/>
    </xf>
    <xf numFmtId="166" fontId="8" fillId="2" borderId="0" xfId="1" applyNumberFormat="1" applyFont="1" applyFill="1" applyBorder="1" applyAlignment="1">
      <alignment horizontal="center"/>
    </xf>
    <xf numFmtId="0" fontId="3" fillId="2" borderId="0" xfId="0" applyFont="1" applyFill="1" applyBorder="1"/>
    <xf numFmtId="0" fontId="2" fillId="2" borderId="0" xfId="0" applyFont="1" applyFill="1" applyBorder="1" applyAlignment="1">
      <alignment horizontal="center"/>
    </xf>
    <xf numFmtId="165" fontId="6" fillId="2" borderId="0" xfId="0" applyNumberFormat="1" applyFont="1" applyFill="1" applyBorder="1"/>
    <xf numFmtId="165" fontId="6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/>
    <xf numFmtId="165" fontId="6" fillId="2" borderId="0" xfId="0" applyNumberFormat="1" applyFont="1" applyFill="1" applyBorder="1" applyAlignment="1">
      <alignment horizontal="right"/>
    </xf>
    <xf numFmtId="165" fontId="3" fillId="2" borderId="0" xfId="0" applyNumberFormat="1" applyFont="1" applyFill="1" applyBorder="1" applyAlignment="1">
      <alignment horizontal="center"/>
    </xf>
    <xf numFmtId="0" fontId="13" fillId="2" borderId="0" xfId="0" applyFont="1" applyFill="1"/>
    <xf numFmtId="0" fontId="14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/>
    <xf numFmtId="0" fontId="2" fillId="2" borderId="29" xfId="0" applyFont="1" applyFill="1" applyBorder="1" applyAlignment="1">
      <alignment horizontal="center"/>
    </xf>
    <xf numFmtId="0" fontId="15" fillId="2" borderId="29" xfId="0" applyFont="1" applyFill="1" applyBorder="1" applyAlignment="1">
      <alignment horizontal="center"/>
    </xf>
    <xf numFmtId="0" fontId="2" fillId="2" borderId="30" xfId="0" applyFont="1" applyFill="1" applyBorder="1"/>
    <xf numFmtId="0" fontId="2" fillId="2" borderId="31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2" fillId="2" borderId="32" xfId="0" applyFont="1" applyFill="1" applyBorder="1"/>
    <xf numFmtId="0" fontId="7" fillId="2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/>
    <xf numFmtId="0" fontId="7" fillId="2" borderId="34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center"/>
    </xf>
    <xf numFmtId="0" fontId="15" fillId="2" borderId="34" xfId="0" applyFont="1" applyFill="1" applyBorder="1" applyAlignment="1">
      <alignment horizontal="center"/>
    </xf>
    <xf numFmtId="0" fontId="2" fillId="2" borderId="35" xfId="0" applyFont="1" applyFill="1" applyBorder="1"/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/>
    <xf numFmtId="0" fontId="16" fillId="2" borderId="0" xfId="0" applyFont="1" applyFill="1"/>
    <xf numFmtId="0" fontId="3" fillId="2" borderId="4" xfId="0" applyFont="1" applyFill="1" applyBorder="1"/>
    <xf numFmtId="0" fontId="18" fillId="2" borderId="7" xfId="0" applyFont="1" applyFill="1" applyBorder="1" applyAlignment="1">
      <alignment horizontal="centerContinuous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2" borderId="0" xfId="0" applyFont="1" applyFill="1"/>
    <xf numFmtId="0" fontId="6" fillId="2" borderId="16" xfId="0" applyFont="1" applyFill="1" applyBorder="1"/>
    <xf numFmtId="165" fontId="6" fillId="2" borderId="13" xfId="0" applyNumberFormat="1" applyFont="1" applyFill="1" applyBorder="1" applyAlignment="1">
      <alignment horizontal="center"/>
    </xf>
    <xf numFmtId="0" fontId="6" fillId="2" borderId="0" xfId="0" applyFont="1" applyFill="1" applyBorder="1"/>
    <xf numFmtId="165" fontId="6" fillId="2" borderId="15" xfId="0" applyNumberFormat="1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right"/>
    </xf>
    <xf numFmtId="0" fontId="3" fillId="2" borderId="16" xfId="0" applyFont="1" applyFill="1" applyBorder="1"/>
    <xf numFmtId="165" fontId="3" fillId="2" borderId="19" xfId="0" applyNumberFormat="1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166" fontId="3" fillId="2" borderId="21" xfId="1" applyNumberFormat="1" applyFont="1" applyFill="1" applyBorder="1" applyAlignment="1">
      <alignment horizontal="center"/>
    </xf>
    <xf numFmtId="166" fontId="3" fillId="2" borderId="22" xfId="1" applyNumberFormat="1" applyFont="1" applyFill="1" applyBorder="1" applyAlignment="1">
      <alignment horizontal="center"/>
    </xf>
    <xf numFmtId="166" fontId="3" fillId="2" borderId="24" xfId="1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165" fontId="6" fillId="2" borderId="26" xfId="0" applyNumberFormat="1" applyFont="1" applyFill="1" applyBorder="1" applyAlignment="1">
      <alignment horizontal="center"/>
    </xf>
    <xf numFmtId="166" fontId="3" fillId="2" borderId="16" xfId="1" applyNumberFormat="1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right"/>
    </xf>
    <xf numFmtId="0" fontId="9" fillId="2" borderId="0" xfId="0" applyFont="1" applyFill="1"/>
    <xf numFmtId="0" fontId="9" fillId="2" borderId="16" xfId="0" applyFont="1" applyFill="1" applyBorder="1"/>
    <xf numFmtId="165" fontId="9" fillId="2" borderId="19" xfId="0" applyNumberFormat="1" applyFont="1" applyFill="1" applyBorder="1" applyAlignment="1">
      <alignment horizontal="center"/>
    </xf>
    <xf numFmtId="0" fontId="9" fillId="2" borderId="0" xfId="0" applyFont="1" applyFill="1" applyBorder="1"/>
    <xf numFmtId="165" fontId="9" fillId="2" borderId="0" xfId="0" applyNumberFormat="1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165" fontId="6" fillId="2" borderId="19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0" fillId="2" borderId="0" xfId="0" applyFont="1" applyFill="1"/>
    <xf numFmtId="0" fontId="10" fillId="2" borderId="16" xfId="0" applyFont="1" applyFill="1" applyBorder="1"/>
    <xf numFmtId="165" fontId="10" fillId="2" borderId="19" xfId="0" applyNumberFormat="1" applyFont="1" applyFill="1" applyBorder="1" applyAlignment="1">
      <alignment horizontal="center"/>
    </xf>
    <xf numFmtId="0" fontId="10" fillId="2" borderId="0" xfId="0" applyFont="1" applyFill="1" applyBorder="1"/>
    <xf numFmtId="165" fontId="10" fillId="2" borderId="0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65" fontId="6" fillId="2" borderId="27" xfId="0" applyNumberFormat="1" applyFont="1" applyFill="1" applyBorder="1"/>
    <xf numFmtId="165" fontId="6" fillId="2" borderId="27" xfId="0" applyNumberFormat="1" applyFont="1" applyFill="1" applyBorder="1" applyAlignment="1">
      <alignment horizontal="center"/>
    </xf>
    <xf numFmtId="165" fontId="6" fillId="2" borderId="12" xfId="0" applyNumberFormat="1" applyFont="1" applyFill="1" applyBorder="1" applyAlignment="1">
      <alignment horizontal="center"/>
    </xf>
    <xf numFmtId="165" fontId="6" fillId="2" borderId="14" xfId="0" applyNumberFormat="1" applyFont="1" applyFill="1" applyBorder="1" applyAlignment="1">
      <alignment horizontal="center"/>
    </xf>
    <xf numFmtId="165" fontId="6" fillId="2" borderId="36" xfId="0" applyNumberFormat="1" applyFont="1" applyFill="1" applyBorder="1" applyAlignment="1">
      <alignment horizontal="center"/>
    </xf>
    <xf numFmtId="165" fontId="3" fillId="2" borderId="16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/>
    </xf>
    <xf numFmtId="165" fontId="9" fillId="2" borderId="16" xfId="0" applyNumberFormat="1" applyFont="1" applyFill="1" applyBorder="1" applyAlignment="1">
      <alignment horizontal="center"/>
    </xf>
    <xf numFmtId="165" fontId="6" fillId="2" borderId="16" xfId="0" applyNumberFormat="1" applyFont="1" applyFill="1" applyBorder="1" applyAlignment="1">
      <alignment horizontal="center"/>
    </xf>
    <xf numFmtId="165" fontId="10" fillId="2" borderId="16" xfId="0" applyNumberFormat="1" applyFont="1" applyFill="1" applyBorder="1" applyAlignment="1">
      <alignment horizontal="center"/>
    </xf>
    <xf numFmtId="0" fontId="3" fillId="0" borderId="0" xfId="0" applyFont="1" applyFill="1"/>
    <xf numFmtId="165" fontId="6" fillId="0" borderId="15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6" fontId="3" fillId="0" borderId="23" xfId="1" applyNumberFormat="1" applyFont="1" applyFill="1" applyBorder="1" applyAlignment="1">
      <alignment horizontal="center"/>
    </xf>
    <xf numFmtId="165" fontId="6" fillId="0" borderId="41" xfId="0" applyNumberFormat="1" applyFont="1" applyFill="1" applyBorder="1" applyAlignment="1">
      <alignment horizontal="center"/>
    </xf>
    <xf numFmtId="166" fontId="3" fillId="0" borderId="0" xfId="1" applyNumberFormat="1" applyFont="1" applyFill="1" applyBorder="1" applyAlignment="1">
      <alignment horizontal="center"/>
    </xf>
    <xf numFmtId="0" fontId="3" fillId="0" borderId="0" xfId="0" applyFont="1" applyFill="1" applyBorder="1"/>
    <xf numFmtId="165" fontId="9" fillId="0" borderId="0" xfId="0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3" fillId="0" borderId="19" xfId="0" applyFont="1" applyBorder="1" applyAlignment="1">
      <alignment horizontal="right"/>
    </xf>
    <xf numFmtId="0" fontId="6" fillId="0" borderId="22" xfId="0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3" fillId="0" borderId="16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165" fontId="6" fillId="0" borderId="21" xfId="0" applyNumberFormat="1" applyFont="1" applyBorder="1" applyAlignment="1">
      <alignment horizontal="center"/>
    </xf>
    <xf numFmtId="165" fontId="6" fillId="0" borderId="23" xfId="0" applyNumberFormat="1" applyFont="1" applyBorder="1" applyAlignment="1">
      <alignment horizontal="center"/>
    </xf>
    <xf numFmtId="165" fontId="6" fillId="0" borderId="22" xfId="0" applyNumberFormat="1" applyFont="1" applyBorder="1" applyAlignment="1">
      <alignment horizontal="center"/>
    </xf>
    <xf numFmtId="0" fontId="21" fillId="3" borderId="0" xfId="0" applyFont="1" applyFill="1" applyAlignment="1">
      <alignment horizontal="center"/>
    </xf>
    <xf numFmtId="165" fontId="3" fillId="2" borderId="17" xfId="0" applyNumberFormat="1" applyFont="1" applyFill="1" applyBorder="1" applyAlignment="1">
      <alignment horizontal="center"/>
    </xf>
    <xf numFmtId="9" fontId="3" fillId="0" borderId="18" xfId="1" applyFont="1" applyFill="1" applyBorder="1" applyAlignment="1">
      <alignment horizontal="center"/>
    </xf>
    <xf numFmtId="9" fontId="3" fillId="2" borderId="17" xfId="1" applyFont="1" applyFill="1" applyBorder="1" applyAlignment="1">
      <alignment horizontal="center"/>
    </xf>
    <xf numFmtId="9" fontId="6" fillId="0" borderId="18" xfId="1" applyFont="1" applyFill="1" applyBorder="1" applyAlignment="1">
      <alignment horizontal="center"/>
    </xf>
    <xf numFmtId="9" fontId="6" fillId="2" borderId="17" xfId="1" applyFont="1" applyFill="1" applyBorder="1" applyAlignment="1">
      <alignment horizontal="center"/>
    </xf>
    <xf numFmtId="9" fontId="6" fillId="2" borderId="18" xfId="1" applyFont="1" applyFill="1" applyBorder="1" applyAlignment="1">
      <alignment horizontal="center"/>
    </xf>
    <xf numFmtId="0" fontId="20" fillId="9" borderId="0" xfId="0" applyFont="1" applyFill="1"/>
    <xf numFmtId="165" fontId="6" fillId="0" borderId="18" xfId="0" applyNumberFormat="1" applyFont="1" applyFill="1" applyBorder="1" applyAlignment="1">
      <alignment horizontal="center"/>
    </xf>
    <xf numFmtId="165" fontId="6" fillId="2" borderId="40" xfId="0" applyNumberFormat="1" applyFont="1" applyFill="1" applyBorder="1" applyAlignment="1">
      <alignment horizontal="center"/>
    </xf>
    <xf numFmtId="165" fontId="10" fillId="2" borderId="17" xfId="0" applyNumberFormat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9" fontId="3" fillId="7" borderId="24" xfId="1" applyFont="1" applyFill="1" applyBorder="1" applyAlignment="1">
      <alignment horizontal="center"/>
    </xf>
    <xf numFmtId="9" fontId="3" fillId="7" borderId="17" xfId="1" applyFont="1" applyFill="1" applyBorder="1" applyAlignment="1">
      <alignment horizontal="center"/>
    </xf>
    <xf numFmtId="9" fontId="9" fillId="2" borderId="17" xfId="1" applyFont="1" applyFill="1" applyBorder="1" applyAlignment="1">
      <alignment horizontal="center"/>
    </xf>
    <xf numFmtId="9" fontId="3" fillId="2" borderId="0" xfId="1" applyFont="1" applyFill="1" applyAlignment="1">
      <alignment horizontal="center"/>
    </xf>
    <xf numFmtId="9" fontId="6" fillId="2" borderId="40" xfId="1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vertical="center" wrapText="1"/>
    </xf>
    <xf numFmtId="17" fontId="6" fillId="2" borderId="43" xfId="0" applyNumberFormat="1" applyFont="1" applyFill="1" applyBorder="1" applyAlignment="1">
      <alignment horizontal="center" vertical="center" wrapText="1"/>
    </xf>
    <xf numFmtId="17" fontId="6" fillId="2" borderId="44" xfId="0" applyNumberFormat="1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right"/>
    </xf>
    <xf numFmtId="0" fontId="12" fillId="2" borderId="22" xfId="0" applyFont="1" applyFill="1" applyBorder="1" applyAlignment="1">
      <alignment horizontal="right"/>
    </xf>
    <xf numFmtId="9" fontId="3" fillId="7" borderId="22" xfId="1" applyFont="1" applyFill="1" applyBorder="1" applyAlignment="1">
      <alignment horizontal="center"/>
    </xf>
    <xf numFmtId="166" fontId="8" fillId="2" borderId="22" xfId="1" applyNumberFormat="1" applyFont="1" applyFill="1" applyBorder="1" applyAlignment="1">
      <alignment horizontal="center"/>
    </xf>
    <xf numFmtId="165" fontId="9" fillId="2" borderId="12" xfId="0" applyNumberFormat="1" applyFont="1" applyFill="1" applyBorder="1" applyAlignment="1">
      <alignment horizontal="center"/>
    </xf>
    <xf numFmtId="165" fontId="9" fillId="0" borderId="15" xfId="0" applyNumberFormat="1" applyFont="1" applyFill="1" applyBorder="1" applyAlignment="1">
      <alignment horizontal="center"/>
    </xf>
    <xf numFmtId="9" fontId="6" fillId="0" borderId="17" xfId="1" applyFont="1" applyFill="1" applyBorder="1" applyAlignment="1">
      <alignment horizontal="center"/>
    </xf>
    <xf numFmtId="166" fontId="8" fillId="0" borderId="19" xfId="1" applyNumberFormat="1" applyFont="1" applyFill="1" applyBorder="1" applyAlignment="1">
      <alignment horizontal="center"/>
    </xf>
    <xf numFmtId="165" fontId="10" fillId="0" borderId="16" xfId="0" applyNumberFormat="1" applyFont="1" applyFill="1" applyBorder="1" applyAlignment="1">
      <alignment horizontal="center"/>
    </xf>
    <xf numFmtId="166" fontId="3" fillId="0" borderId="21" xfId="1" applyNumberFormat="1" applyFont="1" applyFill="1" applyBorder="1" applyAlignment="1">
      <alignment horizontal="center"/>
    </xf>
    <xf numFmtId="166" fontId="3" fillId="0" borderId="12" xfId="1" applyNumberFormat="1" applyFont="1" applyFill="1" applyBorder="1" applyAlignment="1">
      <alignment horizontal="center"/>
    </xf>
    <xf numFmtId="166" fontId="8" fillId="7" borderId="22" xfId="1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165" fontId="10" fillId="2" borderId="6" xfId="0" applyNumberFormat="1" applyFont="1" applyFill="1" applyBorder="1" applyAlignment="1">
      <alignment horizontal="center"/>
    </xf>
    <xf numFmtId="165" fontId="10" fillId="0" borderId="26" xfId="0" applyNumberFormat="1" applyFont="1" applyFill="1" applyBorder="1" applyAlignment="1">
      <alignment horizontal="center"/>
    </xf>
    <xf numFmtId="165" fontId="10" fillId="2" borderId="7" xfId="0" applyNumberFormat="1" applyFont="1" applyFill="1" applyBorder="1" applyAlignment="1">
      <alignment horizontal="center"/>
    </xf>
    <xf numFmtId="166" fontId="3" fillId="2" borderId="6" xfId="1" applyNumberFormat="1" applyFont="1" applyFill="1" applyBorder="1" applyAlignment="1">
      <alignment horizontal="center"/>
    </xf>
    <xf numFmtId="9" fontId="3" fillId="7" borderId="40" xfId="1" applyFont="1" applyFill="1" applyBorder="1" applyAlignment="1">
      <alignment horizontal="center"/>
    </xf>
    <xf numFmtId="166" fontId="3" fillId="0" borderId="6" xfId="1" applyNumberFormat="1" applyFont="1" applyFill="1" applyBorder="1" applyAlignment="1">
      <alignment horizontal="center"/>
    </xf>
    <xf numFmtId="9" fontId="6" fillId="0" borderId="40" xfId="1" applyFont="1" applyFill="1" applyBorder="1" applyAlignment="1">
      <alignment horizontal="center"/>
    </xf>
    <xf numFmtId="1" fontId="3" fillId="0" borderId="7" xfId="2" applyNumberFormat="1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Continuous"/>
    </xf>
    <xf numFmtId="0" fontId="17" fillId="8" borderId="2" xfId="0" applyFont="1" applyFill="1" applyBorder="1" applyAlignment="1">
      <alignment horizontal="centerContinuous"/>
    </xf>
    <xf numFmtId="0" fontId="17" fillId="8" borderId="3" xfId="0" applyFont="1" applyFill="1" applyBorder="1" applyAlignment="1">
      <alignment horizontal="centerContinuous"/>
    </xf>
    <xf numFmtId="165" fontId="3" fillId="2" borderId="20" xfId="0" applyNumberFormat="1" applyFont="1" applyFill="1" applyBorder="1" applyAlignment="1">
      <alignment horizontal="center"/>
    </xf>
    <xf numFmtId="165" fontId="3" fillId="2" borderId="37" xfId="0" applyNumberFormat="1" applyFont="1" applyFill="1" applyBorder="1" applyAlignment="1">
      <alignment horizontal="center"/>
    </xf>
    <xf numFmtId="165" fontId="6" fillId="2" borderId="25" xfId="0" applyNumberFormat="1" applyFont="1" applyFill="1" applyBorder="1" applyAlignment="1">
      <alignment horizontal="center"/>
    </xf>
    <xf numFmtId="165" fontId="6" fillId="2" borderId="39" xfId="0" applyNumberFormat="1" applyFont="1" applyFill="1" applyBorder="1" applyAlignment="1">
      <alignment horizontal="center"/>
    </xf>
    <xf numFmtId="165" fontId="9" fillId="2" borderId="20" xfId="0" applyNumberFormat="1" applyFont="1" applyFill="1" applyBorder="1" applyAlignment="1">
      <alignment horizontal="center"/>
    </xf>
    <xf numFmtId="165" fontId="9" fillId="2" borderId="37" xfId="0" applyNumberFormat="1" applyFont="1" applyFill="1" applyBorder="1" applyAlignment="1">
      <alignment horizontal="center"/>
    </xf>
    <xf numFmtId="0" fontId="3" fillId="4" borderId="0" xfId="0" applyFont="1" applyFill="1"/>
    <xf numFmtId="9" fontId="6" fillId="0" borderId="15" xfId="1" quotePrefix="1" applyFont="1" applyFill="1" applyBorder="1" applyAlignment="1">
      <alignment horizontal="center"/>
    </xf>
    <xf numFmtId="9" fontId="6" fillId="0" borderId="41" xfId="1" applyFont="1" applyFill="1" applyBorder="1" applyAlignment="1">
      <alignment horizontal="center"/>
    </xf>
    <xf numFmtId="9" fontId="6" fillId="0" borderId="15" xfId="1" applyFont="1" applyFill="1" applyBorder="1" applyAlignment="1">
      <alignment horizontal="center"/>
    </xf>
    <xf numFmtId="9" fontId="10" fillId="0" borderId="0" xfId="1" applyFont="1" applyFill="1" applyBorder="1" applyAlignment="1">
      <alignment horizontal="center"/>
    </xf>
    <xf numFmtId="165" fontId="10" fillId="2" borderId="26" xfId="0" applyNumberFormat="1" applyFont="1" applyFill="1" applyBorder="1" applyAlignment="1">
      <alignment horizontal="center"/>
    </xf>
    <xf numFmtId="165" fontId="3" fillId="0" borderId="0" xfId="0" applyNumberFormat="1" applyFont="1" applyFill="1" applyBorder="1"/>
    <xf numFmtId="165" fontId="9" fillId="0" borderId="0" xfId="0" applyNumberFormat="1" applyFont="1" applyFill="1" applyBorder="1"/>
    <xf numFmtId="1" fontId="3" fillId="8" borderId="13" xfId="0" applyNumberFormat="1" applyFont="1" applyFill="1" applyBorder="1" applyAlignment="1">
      <alignment horizontal="center"/>
    </xf>
    <xf numFmtId="1" fontId="3" fillId="8" borderId="19" xfId="0" applyNumberFormat="1" applyFont="1" applyFill="1" applyBorder="1" applyAlignment="1">
      <alignment horizontal="center"/>
    </xf>
    <xf numFmtId="165" fontId="6" fillId="8" borderId="22" xfId="0" applyNumberFormat="1" applyFont="1" applyFill="1" applyBorder="1" applyAlignment="1">
      <alignment horizontal="center"/>
    </xf>
    <xf numFmtId="165" fontId="6" fillId="4" borderId="18" xfId="0" applyNumberFormat="1" applyFont="1" applyFill="1" applyBorder="1" applyAlignment="1">
      <alignment horizontal="center"/>
    </xf>
    <xf numFmtId="165" fontId="3" fillId="4" borderId="17" xfId="0" applyNumberFormat="1" applyFont="1" applyFill="1" applyBorder="1" applyAlignment="1">
      <alignment horizontal="center"/>
    </xf>
    <xf numFmtId="166" fontId="3" fillId="4" borderId="24" xfId="1" applyNumberFormat="1" applyFont="1" applyFill="1" applyBorder="1" applyAlignment="1">
      <alignment horizontal="center"/>
    </xf>
    <xf numFmtId="165" fontId="6" fillId="4" borderId="45" xfId="0" applyNumberFormat="1" applyFont="1" applyFill="1" applyBorder="1" applyAlignment="1">
      <alignment horizontal="center"/>
    </xf>
    <xf numFmtId="166" fontId="3" fillId="4" borderId="17" xfId="1" applyNumberFormat="1" applyFont="1" applyFill="1" applyBorder="1" applyAlignment="1">
      <alignment horizontal="center"/>
    </xf>
    <xf numFmtId="0" fontId="3" fillId="4" borderId="17" xfId="0" applyFont="1" applyFill="1" applyBorder="1"/>
    <xf numFmtId="165" fontId="9" fillId="4" borderId="17" xfId="0" applyNumberFormat="1" applyFont="1" applyFill="1" applyBorder="1" applyAlignment="1">
      <alignment horizontal="center"/>
    </xf>
    <xf numFmtId="165" fontId="6" fillId="4" borderId="17" xfId="0" applyNumberFormat="1" applyFont="1" applyFill="1" applyBorder="1" applyAlignment="1">
      <alignment horizontal="center"/>
    </xf>
    <xf numFmtId="165" fontId="10" fillId="4" borderId="17" xfId="0" applyNumberFormat="1" applyFont="1" applyFill="1" applyBorder="1" applyAlignment="1">
      <alignment horizontal="center"/>
    </xf>
    <xf numFmtId="165" fontId="9" fillId="2" borderId="18" xfId="0" applyNumberFormat="1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25" fillId="2" borderId="0" xfId="0" applyFont="1" applyFill="1" applyBorder="1" applyAlignment="1">
      <alignment horizontal="center"/>
    </xf>
    <xf numFmtId="3" fontId="3" fillId="2" borderId="40" xfId="0" applyNumberFormat="1" applyFont="1" applyFill="1" applyBorder="1"/>
    <xf numFmtId="9" fontId="3" fillId="0" borderId="23" xfId="1" applyFont="1" applyFill="1" applyBorder="1" applyAlignment="1">
      <alignment horizontal="center"/>
    </xf>
    <xf numFmtId="9" fontId="3" fillId="0" borderId="0" xfId="1" applyFont="1" applyFill="1" applyBorder="1"/>
    <xf numFmtId="164" fontId="3" fillId="0" borderId="0" xfId="2" applyFont="1" applyFill="1" applyBorder="1"/>
    <xf numFmtId="9" fontId="6" fillId="0" borderId="26" xfId="1" applyFont="1" applyFill="1" applyBorder="1" applyAlignment="1">
      <alignment horizontal="center"/>
    </xf>
    <xf numFmtId="9" fontId="6" fillId="0" borderId="0" xfId="1" applyFont="1" applyFill="1" applyBorder="1" applyAlignment="1">
      <alignment horizontal="center"/>
    </xf>
    <xf numFmtId="17" fontId="6" fillId="2" borderId="8" xfId="0" applyNumberFormat="1" applyFont="1" applyFill="1" applyBorder="1" applyAlignment="1">
      <alignment horizontal="center" vertical="center" wrapText="1"/>
    </xf>
    <xf numFmtId="9" fontId="3" fillId="6" borderId="17" xfId="1" applyFont="1" applyFill="1" applyBorder="1" applyAlignment="1">
      <alignment horizontal="center"/>
    </xf>
    <xf numFmtId="9" fontId="3" fillId="6" borderId="24" xfId="1" applyFont="1" applyFill="1" applyBorder="1" applyAlignment="1">
      <alignment horizontal="center"/>
    </xf>
    <xf numFmtId="9" fontId="3" fillId="6" borderId="0" xfId="1" applyFont="1" applyFill="1"/>
    <xf numFmtId="9" fontId="6" fillId="6" borderId="40" xfId="1" applyFont="1" applyFill="1" applyBorder="1"/>
    <xf numFmtId="9" fontId="6" fillId="6" borderId="18" xfId="1" applyFont="1" applyFill="1" applyBorder="1" applyAlignment="1">
      <alignment horizontal="center"/>
    </xf>
    <xf numFmtId="9" fontId="3" fillId="6" borderId="17" xfId="1" applyFont="1" applyFill="1" applyBorder="1"/>
    <xf numFmtId="9" fontId="9" fillId="6" borderId="17" xfId="1" applyFont="1" applyFill="1" applyBorder="1" applyAlignment="1">
      <alignment horizontal="center"/>
    </xf>
    <xf numFmtId="9" fontId="6" fillId="6" borderId="17" xfId="1" applyFont="1" applyFill="1" applyBorder="1" applyAlignment="1">
      <alignment horizontal="center"/>
    </xf>
    <xf numFmtId="165" fontId="9" fillId="6" borderId="17" xfId="0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9" fontId="6" fillId="0" borderId="15" xfId="1" quotePrefix="1" applyFont="1" applyFill="1" applyBorder="1" applyAlignment="1">
      <alignment horizontal="center" wrapText="1"/>
    </xf>
    <xf numFmtId="9" fontId="3" fillId="0" borderId="0" xfId="1" applyFont="1" applyFill="1"/>
    <xf numFmtId="9" fontId="9" fillId="0" borderId="0" xfId="1" applyFont="1" applyFill="1" applyBorder="1" applyAlignment="1">
      <alignment horizontal="center"/>
    </xf>
    <xf numFmtId="9" fontId="9" fillId="0" borderId="15" xfId="1" applyFont="1" applyFill="1" applyBorder="1" applyAlignment="1">
      <alignment horizontal="center"/>
    </xf>
    <xf numFmtId="9" fontId="3" fillId="2" borderId="0" xfId="1" applyFont="1" applyFill="1" applyBorder="1"/>
    <xf numFmtId="9" fontId="10" fillId="0" borderId="26" xfId="1" applyFont="1" applyFill="1" applyBorder="1" applyAlignment="1">
      <alignment horizontal="center"/>
    </xf>
    <xf numFmtId="165" fontId="9" fillId="2" borderId="15" xfId="0" applyNumberFormat="1" applyFont="1" applyFill="1" applyBorder="1" applyAlignment="1">
      <alignment horizontal="center"/>
    </xf>
    <xf numFmtId="9" fontId="6" fillId="0" borderId="13" xfId="1" quotePrefix="1" applyFont="1" applyFill="1" applyBorder="1" applyAlignment="1">
      <alignment horizontal="center" wrapText="1"/>
    </xf>
    <xf numFmtId="9" fontId="3" fillId="0" borderId="19" xfId="1" applyFont="1" applyFill="1" applyBorder="1" applyAlignment="1">
      <alignment horizontal="center"/>
    </xf>
    <xf numFmtId="9" fontId="3" fillId="0" borderId="22" xfId="1" applyFont="1" applyFill="1" applyBorder="1" applyAlignment="1">
      <alignment horizontal="center"/>
    </xf>
    <xf numFmtId="9" fontId="6" fillId="0" borderId="42" xfId="1" applyFont="1" applyFill="1" applyBorder="1" applyAlignment="1">
      <alignment horizontal="center"/>
    </xf>
    <xf numFmtId="9" fontId="6" fillId="0" borderId="13" xfId="1" applyFont="1" applyFill="1" applyBorder="1" applyAlignment="1">
      <alignment horizontal="center"/>
    </xf>
    <xf numFmtId="9" fontId="3" fillId="0" borderId="19" xfId="1" applyFont="1" applyFill="1" applyBorder="1"/>
    <xf numFmtId="9" fontId="9" fillId="0" borderId="19" xfId="1" applyFont="1" applyFill="1" applyBorder="1" applyAlignment="1">
      <alignment horizontal="center"/>
    </xf>
    <xf numFmtId="9" fontId="6" fillId="0" borderId="19" xfId="1" applyFont="1" applyFill="1" applyBorder="1" applyAlignment="1">
      <alignment horizontal="center"/>
    </xf>
    <xf numFmtId="9" fontId="10" fillId="0" borderId="19" xfId="1" applyFont="1" applyFill="1" applyBorder="1" applyAlignment="1">
      <alignment horizontal="center"/>
    </xf>
    <xf numFmtId="9" fontId="9" fillId="0" borderId="13" xfId="1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 vertical="center" wrapText="1"/>
    </xf>
    <xf numFmtId="165" fontId="6" fillId="2" borderId="18" xfId="0" applyNumberFormat="1" applyFont="1" applyFill="1" applyBorder="1" applyAlignment="1">
      <alignment horizontal="center"/>
    </xf>
    <xf numFmtId="166" fontId="3" fillId="2" borderId="17" xfId="1" applyNumberFormat="1" applyFont="1" applyFill="1" applyBorder="1" applyAlignment="1">
      <alignment horizontal="center"/>
    </xf>
    <xf numFmtId="0" fontId="3" fillId="2" borderId="17" xfId="0" applyFont="1" applyFill="1" applyBorder="1"/>
    <xf numFmtId="165" fontId="9" fillId="2" borderId="17" xfId="0" applyNumberFormat="1" applyFont="1" applyFill="1" applyBorder="1" applyAlignment="1">
      <alignment horizontal="center"/>
    </xf>
    <xf numFmtId="165" fontId="6" fillId="2" borderId="17" xfId="0" applyNumberFormat="1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9" fontId="6" fillId="6" borderId="18" xfId="1" quotePrefix="1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2" fillId="0" borderId="0" xfId="0" applyFont="1" applyFill="1"/>
    <xf numFmtId="166" fontId="3" fillId="12" borderId="16" xfId="1" applyNumberFormat="1" applyFont="1" applyFill="1" applyBorder="1" applyAlignment="1">
      <alignment horizontal="center"/>
    </xf>
    <xf numFmtId="165" fontId="10" fillId="11" borderId="6" xfId="0" applyNumberFormat="1" applyFont="1" applyFill="1" applyBorder="1" applyAlignment="1">
      <alignment horizontal="center"/>
    </xf>
    <xf numFmtId="165" fontId="6" fillId="11" borderId="12" xfId="0" applyNumberFormat="1" applyFont="1" applyFill="1" applyBorder="1" applyAlignment="1">
      <alignment horizontal="center"/>
    </xf>
    <xf numFmtId="165" fontId="3" fillId="11" borderId="16" xfId="0" applyNumberFormat="1" applyFont="1" applyFill="1" applyBorder="1" applyAlignment="1">
      <alignment horizontal="center"/>
    </xf>
    <xf numFmtId="166" fontId="3" fillId="11" borderId="16" xfId="1" applyNumberFormat="1" applyFont="1" applyFill="1" applyBorder="1" applyAlignment="1">
      <alignment horizontal="center"/>
    </xf>
    <xf numFmtId="0" fontId="3" fillId="11" borderId="16" xfId="0" applyFont="1" applyFill="1" applyBorder="1" applyAlignment="1">
      <alignment horizontal="center"/>
    </xf>
    <xf numFmtId="165" fontId="9" fillId="11" borderId="16" xfId="0" applyNumberFormat="1" applyFont="1" applyFill="1" applyBorder="1" applyAlignment="1">
      <alignment horizontal="center"/>
    </xf>
    <xf numFmtId="165" fontId="6" fillId="11" borderId="16" xfId="0" applyNumberFormat="1" applyFont="1" applyFill="1" applyBorder="1" applyAlignment="1">
      <alignment horizontal="center"/>
    </xf>
    <xf numFmtId="165" fontId="10" fillId="11" borderId="16" xfId="0" applyNumberFormat="1" applyFont="1" applyFill="1" applyBorder="1" applyAlignment="1">
      <alignment horizontal="center"/>
    </xf>
    <xf numFmtId="166" fontId="3" fillId="11" borderId="21" xfId="1" applyNumberFormat="1" applyFont="1" applyFill="1" applyBorder="1" applyAlignment="1">
      <alignment horizontal="center"/>
    </xf>
    <xf numFmtId="165" fontId="6" fillId="11" borderId="6" xfId="0" applyNumberFormat="1" applyFont="1" applyFill="1" applyBorder="1" applyAlignment="1">
      <alignment horizontal="center"/>
    </xf>
    <xf numFmtId="0" fontId="6" fillId="10" borderId="0" xfId="0" applyFont="1" applyFill="1"/>
    <xf numFmtId="0" fontId="3" fillId="10" borderId="0" xfId="0" applyFont="1" applyFill="1"/>
    <xf numFmtId="166" fontId="3" fillId="12" borderId="0" xfId="1" applyNumberFormat="1" applyFont="1" applyFill="1" applyBorder="1" applyAlignment="1">
      <alignment horizontal="center"/>
    </xf>
    <xf numFmtId="166" fontId="3" fillId="12" borderId="15" xfId="1" applyNumberFormat="1" applyFont="1" applyFill="1" applyBorder="1" applyAlignment="1">
      <alignment horizontal="center"/>
    </xf>
    <xf numFmtId="1" fontId="3" fillId="12" borderId="18" xfId="1" applyNumberFormat="1" applyFont="1" applyFill="1" applyBorder="1" applyAlignment="1">
      <alignment horizontal="center"/>
    </xf>
    <xf numFmtId="166" fontId="3" fillId="12" borderId="19" xfId="1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horizontal="right"/>
    </xf>
    <xf numFmtId="0" fontId="6" fillId="13" borderId="0" xfId="0" applyFont="1" applyFill="1"/>
    <xf numFmtId="0" fontId="3" fillId="13" borderId="0" xfId="0" applyFont="1" applyFill="1"/>
    <xf numFmtId="0" fontId="3" fillId="0" borderId="0" xfId="0" applyFont="1" applyBorder="1"/>
    <xf numFmtId="0" fontId="21" fillId="2" borderId="0" xfId="0" applyFont="1" applyFill="1"/>
    <xf numFmtId="165" fontId="6" fillId="2" borderId="12" xfId="0" quotePrefix="1" applyNumberFormat="1" applyFont="1" applyFill="1" applyBorder="1" applyAlignment="1">
      <alignment horizontal="center"/>
    </xf>
    <xf numFmtId="0" fontId="3" fillId="0" borderId="29" xfId="0" applyFont="1" applyBorder="1"/>
    <xf numFmtId="0" fontId="3" fillId="0" borderId="30" xfId="0" applyFont="1" applyBorder="1"/>
    <xf numFmtId="0" fontId="26" fillId="2" borderId="0" xfId="0" applyFont="1" applyFill="1" applyBorder="1" applyAlignment="1">
      <alignment horizontal="center"/>
    </xf>
    <xf numFmtId="0" fontId="3" fillId="0" borderId="32" xfId="0" applyFont="1" applyBorder="1"/>
    <xf numFmtId="0" fontId="27" fillId="2" borderId="31" xfId="0" applyFont="1" applyFill="1" applyBorder="1" applyAlignment="1">
      <alignment horizontal="center"/>
    </xf>
    <xf numFmtId="0" fontId="3" fillId="0" borderId="34" xfId="0" applyFont="1" applyBorder="1"/>
    <xf numFmtId="0" fontId="3" fillId="0" borderId="35" xfId="0" applyFont="1" applyBorder="1"/>
    <xf numFmtId="14" fontId="3" fillId="0" borderId="0" xfId="0" applyNumberFormat="1" applyFont="1" applyBorder="1"/>
    <xf numFmtId="14" fontId="3" fillId="0" borderId="34" xfId="0" applyNumberFormat="1" applyFont="1" applyBorder="1"/>
    <xf numFmtId="0" fontId="5" fillId="0" borderId="0" xfId="0" applyFont="1" applyBorder="1"/>
    <xf numFmtId="0" fontId="5" fillId="0" borderId="34" xfId="0" applyFont="1" applyBorder="1"/>
    <xf numFmtId="0" fontId="27" fillId="2" borderId="33" xfId="0" applyFont="1" applyFill="1" applyBorder="1" applyAlignment="1">
      <alignment horizontal="center"/>
    </xf>
    <xf numFmtId="0" fontId="5" fillId="0" borderId="29" xfId="0" applyFont="1" applyBorder="1"/>
    <xf numFmtId="0" fontId="12" fillId="2" borderId="29" xfId="0" applyFont="1" applyFill="1" applyBorder="1" applyAlignment="1">
      <alignment horizontal="center"/>
    </xf>
    <xf numFmtId="14" fontId="3" fillId="0" borderId="29" xfId="0" applyNumberFormat="1" applyFont="1" applyBorder="1"/>
    <xf numFmtId="0" fontId="5" fillId="0" borderId="0" xfId="0" applyFont="1"/>
    <xf numFmtId="0" fontId="3" fillId="0" borderId="48" xfId="0" applyFont="1" applyBorder="1"/>
    <xf numFmtId="0" fontId="3" fillId="0" borderId="49" xfId="0" applyFont="1" applyBorder="1"/>
    <xf numFmtId="0" fontId="3" fillId="0" borderId="50" xfId="0" applyFont="1" applyBorder="1"/>
    <xf numFmtId="0" fontId="3" fillId="0" borderId="51" xfId="0" applyFont="1" applyBorder="1"/>
    <xf numFmtId="0" fontId="3" fillId="0" borderId="52" xfId="0" applyFont="1" applyBorder="1"/>
    <xf numFmtId="0" fontId="0" fillId="0" borderId="52" xfId="0" applyBorder="1"/>
    <xf numFmtId="0" fontId="0" fillId="0" borderId="51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28" fillId="2" borderId="0" xfId="0" applyFont="1" applyFill="1" applyAlignment="1">
      <alignment horizontal="center" vertical="center" wrapText="1"/>
    </xf>
    <xf numFmtId="0" fontId="29" fillId="2" borderId="28" xfId="0" applyFont="1" applyFill="1" applyBorder="1" applyAlignment="1">
      <alignment horizontal="center"/>
    </xf>
    <xf numFmtId="165" fontId="24" fillId="14" borderId="18" xfId="0" applyNumberFormat="1" applyFont="1" applyFill="1" applyBorder="1" applyAlignment="1">
      <alignment horizontal="center"/>
    </xf>
    <xf numFmtId="165" fontId="25" fillId="14" borderId="17" xfId="0" applyNumberFormat="1" applyFont="1" applyFill="1" applyBorder="1" applyAlignment="1">
      <alignment horizontal="center"/>
    </xf>
    <xf numFmtId="166" fontId="25" fillId="14" borderId="24" xfId="1" applyNumberFormat="1" applyFont="1" applyFill="1" applyBorder="1" applyAlignment="1">
      <alignment horizontal="center"/>
    </xf>
    <xf numFmtId="165" fontId="24" fillId="14" borderId="47" xfId="0" applyNumberFormat="1" applyFont="1" applyFill="1" applyBorder="1" applyAlignment="1">
      <alignment horizontal="center"/>
    </xf>
    <xf numFmtId="166" fontId="25" fillId="14" borderId="17" xfId="1" applyNumberFormat="1" applyFont="1" applyFill="1" applyBorder="1" applyAlignment="1">
      <alignment horizontal="center"/>
    </xf>
    <xf numFmtId="0" fontId="25" fillId="14" borderId="17" xfId="0" applyFont="1" applyFill="1" applyBorder="1" applyAlignment="1">
      <alignment horizontal="center"/>
    </xf>
    <xf numFmtId="165" fontId="24" fillId="14" borderId="17" xfId="0" applyNumberFormat="1" applyFont="1" applyFill="1" applyBorder="1" applyAlignment="1">
      <alignment horizontal="center"/>
    </xf>
    <xf numFmtId="165" fontId="24" fillId="14" borderId="40" xfId="0" applyNumberFormat="1" applyFont="1" applyFill="1" applyBorder="1" applyAlignment="1">
      <alignment horizontal="center"/>
    </xf>
    <xf numFmtId="0" fontId="23" fillId="15" borderId="43" xfId="0" applyFont="1" applyFill="1" applyBorder="1" applyAlignment="1">
      <alignment horizontal="centerContinuous"/>
    </xf>
    <xf numFmtId="0" fontId="17" fillId="15" borderId="44" xfId="0" applyFont="1" applyFill="1" applyBorder="1" applyAlignment="1">
      <alignment horizontal="centerContinuous"/>
    </xf>
    <xf numFmtId="0" fontId="17" fillId="15" borderId="1" xfId="0" applyFont="1" applyFill="1" applyBorder="1" applyAlignment="1">
      <alignment horizontal="centerContinuous"/>
    </xf>
    <xf numFmtId="0" fontId="17" fillId="15" borderId="2" xfId="0" applyFont="1" applyFill="1" applyBorder="1" applyAlignment="1">
      <alignment horizontal="centerContinuous"/>
    </xf>
    <xf numFmtId="0" fontId="17" fillId="15" borderId="3" xfId="0" applyFont="1" applyFill="1" applyBorder="1" applyAlignment="1">
      <alignment horizontal="centerContinuous"/>
    </xf>
    <xf numFmtId="0" fontId="6" fillId="7" borderId="8" xfId="0" applyFont="1" applyFill="1" applyBorder="1" applyAlignment="1">
      <alignment horizontal="center" vertical="center" wrapText="1"/>
    </xf>
    <xf numFmtId="165" fontId="25" fillId="14" borderId="18" xfId="0" applyNumberFormat="1" applyFont="1" applyFill="1" applyBorder="1" applyAlignment="1">
      <alignment horizontal="center"/>
    </xf>
    <xf numFmtId="0" fontId="28" fillId="14" borderId="43" xfId="0" applyFont="1" applyFill="1" applyBorder="1" applyAlignment="1">
      <alignment horizontal="centerContinuous"/>
    </xf>
    <xf numFmtId="0" fontId="28" fillId="14" borderId="56" xfId="0" applyFont="1" applyFill="1" applyBorder="1" applyAlignment="1">
      <alignment horizontal="centerContinuous"/>
    </xf>
    <xf numFmtId="0" fontId="28" fillId="14" borderId="44" xfId="0" applyFont="1" applyFill="1" applyBorder="1" applyAlignment="1">
      <alignment horizontal="centerContinuous"/>
    </xf>
    <xf numFmtId="0" fontId="30" fillId="16" borderId="43" xfId="0" applyFont="1" applyFill="1" applyBorder="1" applyAlignment="1">
      <alignment horizontal="centerContinuous"/>
    </xf>
    <xf numFmtId="0" fontId="30" fillId="16" borderId="56" xfId="0" applyFont="1" applyFill="1" applyBorder="1" applyAlignment="1">
      <alignment horizontal="centerContinuous"/>
    </xf>
    <xf numFmtId="0" fontId="30" fillId="16" borderId="44" xfId="0" applyFont="1" applyFill="1" applyBorder="1" applyAlignment="1">
      <alignment horizontal="centerContinuous"/>
    </xf>
    <xf numFmtId="0" fontId="22" fillId="18" borderId="46" xfId="0" applyFont="1" applyFill="1" applyBorder="1" applyAlignment="1">
      <alignment horizontal="centerContinuous" vertical="center"/>
    </xf>
    <xf numFmtId="0" fontId="22" fillId="18" borderId="44" xfId="0" applyFont="1" applyFill="1" applyBorder="1" applyAlignment="1">
      <alignment horizontal="centerContinuous" vertical="center"/>
    </xf>
    <xf numFmtId="0" fontId="17" fillId="17" borderId="5" xfId="0" applyFont="1" applyFill="1" applyBorder="1" applyAlignment="1">
      <alignment horizontal="centerContinuous" vertical="center"/>
    </xf>
    <xf numFmtId="0" fontId="23" fillId="17" borderId="1" xfId="0" applyFont="1" applyFill="1" applyBorder="1" applyAlignment="1">
      <alignment horizontal="centerContinuous"/>
    </xf>
    <xf numFmtId="0" fontId="17" fillId="17" borderId="2" xfId="0" applyFont="1" applyFill="1" applyBorder="1" applyAlignment="1">
      <alignment horizontal="centerContinuous" vertical="center"/>
    </xf>
    <xf numFmtId="0" fontId="22" fillId="17" borderId="3" xfId="0" applyFont="1" applyFill="1" applyBorder="1" applyAlignment="1">
      <alignment horizontal="centerContinuous" vertical="center"/>
    </xf>
    <xf numFmtId="0" fontId="23" fillId="17" borderId="2" xfId="0" applyFont="1" applyFill="1" applyBorder="1" applyAlignment="1">
      <alignment horizontal="centerContinuous"/>
    </xf>
    <xf numFmtId="0" fontId="6" fillId="7" borderId="1" xfId="0" applyFont="1" applyFill="1" applyBorder="1" applyAlignment="1">
      <alignment horizontal="centerContinuous"/>
    </xf>
    <xf numFmtId="0" fontId="6" fillId="7" borderId="2" xfId="0" applyFont="1" applyFill="1" applyBorder="1" applyAlignment="1">
      <alignment horizontal="centerContinuous"/>
    </xf>
    <xf numFmtId="0" fontId="6" fillId="7" borderId="3" xfId="0" applyFont="1" applyFill="1" applyBorder="1" applyAlignment="1">
      <alignment horizontal="centerContinuous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165" fontId="6" fillId="2" borderId="38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indent="28"/>
    </xf>
    <xf numFmtId="0" fontId="6" fillId="2" borderId="2" xfId="0" applyFont="1" applyFill="1" applyBorder="1" applyAlignment="1">
      <alignment horizontal="left" indent="20"/>
    </xf>
    <xf numFmtId="0" fontId="12" fillId="2" borderId="9" xfId="0" quotePrefix="1" applyFont="1" applyFill="1" applyBorder="1" applyAlignment="1">
      <alignment horizontal="center" vertical="center" wrapText="1"/>
    </xf>
    <xf numFmtId="0" fontId="12" fillId="2" borderId="0" xfId="0" applyFont="1" applyFill="1"/>
    <xf numFmtId="0" fontId="18" fillId="2" borderId="6" xfId="0" applyFont="1" applyFill="1" applyBorder="1" applyAlignment="1">
      <alignment horizontal="centerContinuous" vertical="center" wrapText="1"/>
    </xf>
    <xf numFmtId="166" fontId="3" fillId="11" borderId="24" xfId="1" applyNumberFormat="1" applyFont="1" applyFill="1" applyBorder="1" applyAlignment="1">
      <alignment horizontal="center"/>
    </xf>
    <xf numFmtId="0" fontId="31" fillId="2" borderId="29" xfId="0" applyFont="1" applyFill="1" applyBorder="1" applyAlignment="1">
      <alignment horizontal="center"/>
    </xf>
    <xf numFmtId="0" fontId="31" fillId="2" borderId="29" xfId="0" applyFont="1" applyFill="1" applyBorder="1"/>
    <xf numFmtId="0" fontId="31" fillId="2" borderId="0" xfId="0" applyFont="1" applyFill="1" applyBorder="1" applyAlignment="1">
      <alignment horizontal="center"/>
    </xf>
    <xf numFmtId="0" fontId="31" fillId="2" borderId="0" xfId="0" applyFont="1" applyFill="1" applyBorder="1"/>
    <xf numFmtId="0" fontId="31" fillId="0" borderId="0" xfId="0" applyFont="1" applyBorder="1"/>
    <xf numFmtId="0" fontId="21" fillId="3" borderId="0" xfId="0" applyFont="1" applyFill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31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E2F5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23</xdr:row>
          <xdr:rowOff>123825</xdr:rowOff>
        </xdr:from>
        <xdr:to>
          <xdr:col>3</xdr:col>
          <xdr:colOff>666750</xdr:colOff>
          <xdr:row>25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la maquette année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Y701"/>
  <sheetViews>
    <sheetView showGridLines="0" tabSelected="1" topLeftCell="A2" zoomScale="130" zoomScaleNormal="130" workbookViewId="0">
      <selection activeCell="L2" sqref="L2"/>
    </sheetView>
  </sheetViews>
  <sheetFormatPr baseColWidth="10" defaultRowHeight="15" x14ac:dyDescent="0.25"/>
  <cols>
    <col min="12" max="12" width="10.28515625" bestFit="1" customWidth="1"/>
    <col min="13" max="13" width="6.28515625" bestFit="1" customWidth="1"/>
    <col min="14" max="14" width="6.85546875" bestFit="1" customWidth="1"/>
    <col min="15" max="16" width="6.28515625" bestFit="1" customWidth="1"/>
    <col min="17" max="17" width="5.85546875" bestFit="1" customWidth="1"/>
    <col min="18" max="18" width="6.28515625" bestFit="1" customWidth="1"/>
    <col min="19" max="19" width="9" bestFit="1" customWidth="1"/>
    <col min="20" max="20" width="26" bestFit="1" customWidth="1"/>
    <col min="21" max="21" width="10.28515625" bestFit="1" customWidth="1"/>
    <col min="23" max="23" width="12.7109375" customWidth="1"/>
    <col min="24" max="24" width="22.42578125" customWidth="1"/>
  </cols>
  <sheetData>
    <row r="2" spans="1:25" x14ac:dyDescent="0.25">
      <c r="A2" s="18" t="s">
        <v>25</v>
      </c>
      <c r="B2" s="18"/>
      <c r="C2" s="18"/>
      <c r="D2" s="18"/>
      <c r="E2" s="18"/>
      <c r="F2" s="18"/>
      <c r="G2" s="18"/>
      <c r="H2" s="18"/>
      <c r="I2" s="18"/>
      <c r="J2" s="18"/>
      <c r="L2" s="18" t="s">
        <v>97</v>
      </c>
      <c r="M2" s="18"/>
      <c r="N2" s="18"/>
      <c r="O2" s="18"/>
      <c r="W2" s="18" t="s">
        <v>98</v>
      </c>
    </row>
    <row r="3" spans="1:25" ht="24" x14ac:dyDescent="0.25">
      <c r="A3" s="19" t="s">
        <v>26</v>
      </c>
      <c r="B3" s="19" t="s">
        <v>27</v>
      </c>
      <c r="C3" s="19" t="s">
        <v>28</v>
      </c>
      <c r="D3" s="19" t="s">
        <v>21</v>
      </c>
      <c r="E3" s="19" t="s">
        <v>29</v>
      </c>
      <c r="F3" s="19" t="s">
        <v>30</v>
      </c>
      <c r="G3" s="19" t="s">
        <v>31</v>
      </c>
      <c r="H3" s="19" t="s">
        <v>32</v>
      </c>
      <c r="I3" s="19" t="s">
        <v>33</v>
      </c>
      <c r="J3" s="19" t="s">
        <v>34</v>
      </c>
      <c r="L3" s="19" t="s">
        <v>79</v>
      </c>
      <c r="N3" s="19" t="s">
        <v>90</v>
      </c>
      <c r="O3" s="19" t="s">
        <v>91</v>
      </c>
      <c r="P3" s="19" t="s">
        <v>55</v>
      </c>
      <c r="Q3" s="19" t="s">
        <v>56</v>
      </c>
      <c r="R3" s="19" t="s">
        <v>92</v>
      </c>
      <c r="S3" s="19" t="s">
        <v>93</v>
      </c>
      <c r="T3" s="19" t="s">
        <v>94</v>
      </c>
      <c r="U3" s="19" t="s">
        <v>95</v>
      </c>
      <c r="W3" s="289" t="s">
        <v>22</v>
      </c>
      <c r="X3" s="289" t="s">
        <v>94</v>
      </c>
      <c r="Y3" s="289" t="s">
        <v>95</v>
      </c>
    </row>
    <row r="4" spans="1:25" x14ac:dyDescent="0.25">
      <c r="A4" s="20">
        <v>1</v>
      </c>
      <c r="B4" s="20">
        <v>2</v>
      </c>
      <c r="C4" s="20">
        <v>3</v>
      </c>
      <c r="D4" s="20">
        <v>4</v>
      </c>
      <c r="E4" s="20">
        <v>5</v>
      </c>
      <c r="F4" s="20">
        <v>6</v>
      </c>
      <c r="G4" s="20">
        <v>7</v>
      </c>
      <c r="H4" s="20">
        <v>8</v>
      </c>
      <c r="I4" s="20">
        <v>9</v>
      </c>
      <c r="J4" s="20">
        <v>10</v>
      </c>
      <c r="L4" s="20">
        <v>11</v>
      </c>
      <c r="M4" s="20">
        <v>12</v>
      </c>
      <c r="N4" s="20">
        <v>13</v>
      </c>
      <c r="O4" s="20">
        <v>14</v>
      </c>
      <c r="P4" s="20">
        <v>15</v>
      </c>
      <c r="Q4" s="20">
        <v>16</v>
      </c>
      <c r="R4" s="20">
        <v>17</v>
      </c>
      <c r="S4" s="20">
        <v>18</v>
      </c>
      <c r="T4" s="20">
        <v>19</v>
      </c>
      <c r="U4" s="20">
        <v>20</v>
      </c>
      <c r="W4" s="20">
        <v>21</v>
      </c>
      <c r="X4" s="20">
        <v>22</v>
      </c>
      <c r="Y4" s="20">
        <v>23</v>
      </c>
    </row>
    <row r="5" spans="1:25" x14ac:dyDescent="0.25">
      <c r="A5" s="1"/>
      <c r="B5" s="1"/>
      <c r="C5" s="1"/>
      <c r="D5" s="1"/>
      <c r="E5" s="1"/>
      <c r="F5" s="1"/>
      <c r="G5" s="1"/>
      <c r="H5" s="1"/>
      <c r="I5" s="1"/>
      <c r="J5" s="1"/>
      <c r="L5" s="1"/>
      <c r="M5" s="1"/>
      <c r="N5" s="1"/>
      <c r="O5" s="1"/>
      <c r="P5" s="1"/>
      <c r="Q5" s="1"/>
    </row>
    <row r="6" spans="1:25" x14ac:dyDescent="0.25">
      <c r="A6" s="21">
        <v>1</v>
      </c>
      <c r="B6" s="22" t="s">
        <v>35</v>
      </c>
      <c r="C6" s="23" t="e">
        <f>"01/"&amp;annee</f>
        <v>#REF!</v>
      </c>
      <c r="D6" s="23" t="s">
        <v>36</v>
      </c>
      <c r="E6" s="23" t="str">
        <f>+D7</f>
        <v>fév</v>
      </c>
      <c r="F6" s="23" t="str">
        <f>+E7</f>
        <v>mars</v>
      </c>
      <c r="G6" s="23" t="str">
        <f>+F7</f>
        <v>avr</v>
      </c>
      <c r="H6" s="23" t="e">
        <f>"01/"&amp;RIGHT(annee,2)</f>
        <v>#REF!</v>
      </c>
      <c r="I6" s="24" t="e">
        <f>"01/"&amp;RIGHT(annee-1,2)</f>
        <v>#REF!</v>
      </c>
      <c r="J6" s="25"/>
      <c r="L6" s="290" t="s">
        <v>99</v>
      </c>
      <c r="M6" s="275" t="s">
        <v>99</v>
      </c>
      <c r="N6" s="276" t="s">
        <v>96</v>
      </c>
      <c r="O6" s="331" t="s">
        <v>99</v>
      </c>
      <c r="P6" s="332"/>
      <c r="Q6" s="331"/>
      <c r="R6" s="263" t="s">
        <v>96</v>
      </c>
      <c r="S6" s="277">
        <v>43466</v>
      </c>
      <c r="T6" s="263" t="s">
        <v>114</v>
      </c>
      <c r="U6" s="264"/>
      <c r="W6" s="279"/>
      <c r="X6" s="280"/>
      <c r="Y6" s="281"/>
    </row>
    <row r="7" spans="1:25" x14ac:dyDescent="0.25">
      <c r="A7" s="26">
        <v>2</v>
      </c>
      <c r="B7" s="5" t="s">
        <v>37</v>
      </c>
      <c r="C7" s="12" t="e">
        <f>"02/"&amp;annee</f>
        <v>#REF!</v>
      </c>
      <c r="D7" s="12" t="s">
        <v>38</v>
      </c>
      <c r="E7" s="12" t="str">
        <f t="shared" ref="E7:G19" si="0">+D8</f>
        <v>mars</v>
      </c>
      <c r="F7" s="12" t="str">
        <f t="shared" si="0"/>
        <v>avr</v>
      </c>
      <c r="G7" s="12" t="str">
        <f t="shared" si="0"/>
        <v>mai</v>
      </c>
      <c r="H7" s="12" t="e">
        <f>"02/"&amp;RIGHT(annee,2)</f>
        <v>#REF!</v>
      </c>
      <c r="I7" s="27" t="e">
        <f>"02/"&amp;RIGHT(annee-1,2)</f>
        <v>#REF!</v>
      </c>
      <c r="J7" s="28"/>
      <c r="L7" s="267" t="s">
        <v>99</v>
      </c>
      <c r="M7" s="272" t="s">
        <v>101</v>
      </c>
      <c r="N7" s="265" t="s">
        <v>96</v>
      </c>
      <c r="O7" s="333" t="s">
        <v>96</v>
      </c>
      <c r="P7" s="334" t="s">
        <v>101</v>
      </c>
      <c r="Q7" s="333"/>
      <c r="R7" s="260" t="s">
        <v>96</v>
      </c>
      <c r="S7" s="270">
        <v>43495</v>
      </c>
      <c r="T7" s="260" t="s">
        <v>115</v>
      </c>
      <c r="U7" s="266"/>
      <c r="W7" s="282"/>
      <c r="X7" s="260"/>
      <c r="Y7" s="283"/>
    </row>
    <row r="8" spans="1:25" x14ac:dyDescent="0.25">
      <c r="A8" s="26">
        <v>3</v>
      </c>
      <c r="B8" s="5" t="s">
        <v>39</v>
      </c>
      <c r="C8" s="12" t="e">
        <f>"03/"&amp;annee</f>
        <v>#REF!</v>
      </c>
      <c r="D8" s="12" t="s">
        <v>39</v>
      </c>
      <c r="E8" s="12" t="str">
        <f t="shared" si="0"/>
        <v>avr</v>
      </c>
      <c r="F8" s="12" t="str">
        <f t="shared" si="0"/>
        <v>mai</v>
      </c>
      <c r="G8" s="12" t="str">
        <f t="shared" si="0"/>
        <v>juin</v>
      </c>
      <c r="H8" s="12" t="e">
        <f>"03/"&amp;RIGHT(annee,2)</f>
        <v>#REF!</v>
      </c>
      <c r="I8" s="27" t="e">
        <f>"03/"&amp;RIGHT(annee-1,2)</f>
        <v>#REF!</v>
      </c>
      <c r="J8" s="28"/>
      <c r="L8" s="267" t="s">
        <v>99</v>
      </c>
      <c r="M8" s="272" t="s">
        <v>111</v>
      </c>
      <c r="N8" s="260" t="s">
        <v>96</v>
      </c>
      <c r="O8" s="335" t="s">
        <v>96</v>
      </c>
      <c r="P8" s="335" t="s">
        <v>96</v>
      </c>
      <c r="Q8" s="335" t="s">
        <v>111</v>
      </c>
      <c r="R8" s="260" t="s">
        <v>96</v>
      </c>
      <c r="S8" s="270">
        <v>43831</v>
      </c>
      <c r="T8" s="260" t="s">
        <v>116</v>
      </c>
      <c r="U8" s="266"/>
      <c r="W8" s="282"/>
      <c r="X8" s="260"/>
      <c r="Y8" s="283"/>
    </row>
    <row r="9" spans="1:25" x14ac:dyDescent="0.25">
      <c r="A9" s="26">
        <v>4</v>
      </c>
      <c r="B9" s="5" t="s">
        <v>40</v>
      </c>
      <c r="C9" s="12" t="e">
        <f>"04/"&amp;annee</f>
        <v>#REF!</v>
      </c>
      <c r="D9" s="12" t="s">
        <v>41</v>
      </c>
      <c r="E9" s="12" t="str">
        <f t="shared" si="0"/>
        <v>mai</v>
      </c>
      <c r="F9" s="12" t="str">
        <f t="shared" si="0"/>
        <v>juin</v>
      </c>
      <c r="G9" s="12" t="str">
        <f t="shared" si="0"/>
        <v>juil</v>
      </c>
      <c r="H9" s="12" t="e">
        <f>"04/"&amp;RIGHT(annee,2)</f>
        <v>#REF!</v>
      </c>
      <c r="I9" s="27" t="e">
        <f>"04/"&amp;RIGHT(annee-1,2)</f>
        <v>#REF!</v>
      </c>
      <c r="J9" s="28"/>
      <c r="L9" s="267" t="s">
        <v>99</v>
      </c>
      <c r="M9" s="272" t="s">
        <v>112</v>
      </c>
      <c r="N9" s="260" t="s">
        <v>96</v>
      </c>
      <c r="O9" s="335" t="s">
        <v>96</v>
      </c>
      <c r="P9" s="335" t="s">
        <v>96</v>
      </c>
      <c r="Q9" s="335" t="s">
        <v>112</v>
      </c>
      <c r="R9" s="260" t="s">
        <v>96</v>
      </c>
      <c r="S9" s="270">
        <v>43831</v>
      </c>
      <c r="T9" s="260" t="s">
        <v>116</v>
      </c>
      <c r="U9" s="266"/>
      <c r="W9" s="282"/>
      <c r="X9" s="260"/>
      <c r="Y9" s="283"/>
    </row>
    <row r="10" spans="1:25" x14ac:dyDescent="0.25">
      <c r="A10" s="26">
        <v>5</v>
      </c>
      <c r="B10" s="5" t="s">
        <v>42</v>
      </c>
      <c r="C10" s="12" t="e">
        <f>"05/"&amp;annee</f>
        <v>#REF!</v>
      </c>
      <c r="D10" s="12" t="s">
        <v>42</v>
      </c>
      <c r="E10" s="12" t="str">
        <f t="shared" si="0"/>
        <v>juin</v>
      </c>
      <c r="F10" s="12" t="str">
        <f t="shared" si="0"/>
        <v>juil</v>
      </c>
      <c r="G10" s="12" t="str">
        <f t="shared" si="0"/>
        <v>août</v>
      </c>
      <c r="H10" s="12" t="e">
        <f>"05/"&amp;RIGHT(annee,2)</f>
        <v>#REF!</v>
      </c>
      <c r="I10" s="27" t="e">
        <f>"05/"&amp;RIGHT(annee-1,2)</f>
        <v>#REF!</v>
      </c>
      <c r="J10" s="28"/>
      <c r="L10" s="267" t="s">
        <v>99</v>
      </c>
      <c r="M10" s="272" t="s">
        <v>113</v>
      </c>
      <c r="N10" s="260" t="s">
        <v>96</v>
      </c>
      <c r="O10" s="335" t="s">
        <v>96</v>
      </c>
      <c r="P10" s="335" t="s">
        <v>96</v>
      </c>
      <c r="Q10" s="335" t="s">
        <v>113</v>
      </c>
      <c r="R10" s="260" t="s">
        <v>96</v>
      </c>
      <c r="S10" s="270">
        <v>43466</v>
      </c>
      <c r="T10" s="260" t="s">
        <v>116</v>
      </c>
      <c r="U10" s="266"/>
      <c r="W10" s="282"/>
      <c r="X10" s="260"/>
      <c r="Y10" s="283"/>
    </row>
    <row r="11" spans="1:25" x14ac:dyDescent="0.25">
      <c r="A11" s="26">
        <v>6</v>
      </c>
      <c r="B11" s="5" t="s">
        <v>43</v>
      </c>
      <c r="C11" s="12" t="e">
        <f>"06/"&amp;annee</f>
        <v>#REF!</v>
      </c>
      <c r="D11" s="12" t="s">
        <v>43</v>
      </c>
      <c r="E11" s="12" t="str">
        <f t="shared" si="0"/>
        <v>juil</v>
      </c>
      <c r="F11" s="12" t="str">
        <f t="shared" si="0"/>
        <v>août</v>
      </c>
      <c r="G11" s="12" t="str">
        <f t="shared" si="0"/>
        <v>sept</v>
      </c>
      <c r="H11" s="12" t="e">
        <f>"06/"&amp;RIGHT(annee,2)</f>
        <v>#REF!</v>
      </c>
      <c r="I11" s="27" t="e">
        <f>"06/"&amp;RIGHT(annee-1,2)</f>
        <v>#REF!</v>
      </c>
      <c r="J11" s="28"/>
      <c r="L11" s="267" t="s">
        <v>99</v>
      </c>
      <c r="M11" s="272" t="s">
        <v>100</v>
      </c>
      <c r="N11" s="260" t="s">
        <v>96</v>
      </c>
      <c r="O11" s="335" t="s">
        <v>96</v>
      </c>
      <c r="P11" s="335" t="s">
        <v>76</v>
      </c>
      <c r="Q11" s="335"/>
      <c r="R11" s="260" t="s">
        <v>96</v>
      </c>
      <c r="S11" s="270">
        <v>43466</v>
      </c>
      <c r="T11" s="260" t="s">
        <v>115</v>
      </c>
      <c r="U11" s="266"/>
      <c r="W11" s="282"/>
      <c r="X11" s="260"/>
      <c r="Y11" s="283"/>
    </row>
    <row r="12" spans="1:25" x14ac:dyDescent="0.25">
      <c r="A12" s="26">
        <v>7</v>
      </c>
      <c r="B12" s="5" t="s">
        <v>44</v>
      </c>
      <c r="C12" s="12" t="e">
        <f>"07/"&amp;annee</f>
        <v>#REF!</v>
      </c>
      <c r="D12" s="12" t="s">
        <v>45</v>
      </c>
      <c r="E12" s="12" t="str">
        <f t="shared" si="0"/>
        <v>août</v>
      </c>
      <c r="F12" s="12" t="str">
        <f t="shared" si="0"/>
        <v>sept</v>
      </c>
      <c r="G12" s="12" t="str">
        <f t="shared" si="0"/>
        <v>oct</v>
      </c>
      <c r="H12" s="12" t="e">
        <f>"07/"&amp;RIGHT(annee,2)</f>
        <v>#REF!</v>
      </c>
      <c r="I12" s="27" t="e">
        <f>"07/"&amp;RIGHT(annee-1,2)</f>
        <v>#REF!</v>
      </c>
      <c r="J12" s="28"/>
      <c r="L12" s="267" t="s">
        <v>99</v>
      </c>
      <c r="M12" s="272" t="s">
        <v>77</v>
      </c>
      <c r="N12" s="260" t="s">
        <v>96</v>
      </c>
      <c r="O12" s="335" t="s">
        <v>96</v>
      </c>
      <c r="P12" s="335"/>
      <c r="Q12" s="335" t="s">
        <v>77</v>
      </c>
      <c r="R12" s="260" t="s">
        <v>96</v>
      </c>
      <c r="S12" s="270">
        <v>43831</v>
      </c>
      <c r="T12" s="260" t="s">
        <v>116</v>
      </c>
      <c r="U12" s="266"/>
      <c r="W12" s="282"/>
      <c r="X12" s="260"/>
      <c r="Y12" s="283"/>
    </row>
    <row r="13" spans="1:25" x14ac:dyDescent="0.25">
      <c r="A13" s="26">
        <v>8</v>
      </c>
      <c r="B13" s="5" t="s">
        <v>46</v>
      </c>
      <c r="C13" s="12" t="e">
        <f>"08/"&amp;annee</f>
        <v>#REF!</v>
      </c>
      <c r="D13" s="12" t="s">
        <v>46</v>
      </c>
      <c r="E13" s="12" t="str">
        <f t="shared" si="0"/>
        <v>sept</v>
      </c>
      <c r="F13" s="12" t="str">
        <f t="shared" si="0"/>
        <v>oct</v>
      </c>
      <c r="G13" s="12" t="str">
        <f t="shared" si="0"/>
        <v>nov</v>
      </c>
      <c r="H13" s="12" t="e">
        <f>"08/"&amp;RIGHT(annee,2)</f>
        <v>#REF!</v>
      </c>
      <c r="I13" s="27" t="e">
        <f>"08/"&amp;RIGHT(annee-1,2)</f>
        <v>#REF!</v>
      </c>
      <c r="J13" s="28"/>
      <c r="L13" s="267" t="s">
        <v>99</v>
      </c>
      <c r="M13" s="272" t="s">
        <v>106</v>
      </c>
      <c r="N13" s="260" t="s">
        <v>96</v>
      </c>
      <c r="O13" s="335" t="s">
        <v>96</v>
      </c>
      <c r="P13" s="335"/>
      <c r="Q13" s="335" t="s">
        <v>106</v>
      </c>
      <c r="R13" s="260" t="s">
        <v>96</v>
      </c>
      <c r="S13" s="270">
        <v>43831</v>
      </c>
      <c r="T13" s="260" t="s">
        <v>116</v>
      </c>
      <c r="U13" s="266"/>
      <c r="W13" s="282"/>
      <c r="X13" s="260"/>
      <c r="Y13" s="283"/>
    </row>
    <row r="14" spans="1:25" x14ac:dyDescent="0.25">
      <c r="A14" s="26">
        <v>9</v>
      </c>
      <c r="B14" s="5" t="s">
        <v>47</v>
      </c>
      <c r="C14" s="12" t="e">
        <f>"09/"&amp;annee</f>
        <v>#REF!</v>
      </c>
      <c r="D14" s="12" t="s">
        <v>48</v>
      </c>
      <c r="E14" s="12" t="str">
        <f t="shared" si="0"/>
        <v>oct</v>
      </c>
      <c r="F14" s="12" t="str">
        <f t="shared" si="0"/>
        <v>nov</v>
      </c>
      <c r="G14" s="12" t="str">
        <f t="shared" si="0"/>
        <v>déc</v>
      </c>
      <c r="H14" s="12" t="e">
        <f>"09/"&amp;RIGHT(annee,2)</f>
        <v>#REF!</v>
      </c>
      <c r="I14" s="27" t="e">
        <f>"09/"&amp;RIGHT(annee-1,2)</f>
        <v>#REF!</v>
      </c>
      <c r="J14" s="28"/>
      <c r="L14" s="267" t="s">
        <v>99</v>
      </c>
      <c r="M14" s="272" t="s">
        <v>105</v>
      </c>
      <c r="N14" s="260" t="s">
        <v>96</v>
      </c>
      <c r="O14" s="335" t="s">
        <v>96</v>
      </c>
      <c r="P14" s="335"/>
      <c r="Q14" s="335" t="s">
        <v>105</v>
      </c>
      <c r="R14" s="260" t="s">
        <v>96</v>
      </c>
      <c r="S14" s="270">
        <v>43831</v>
      </c>
      <c r="T14" s="260" t="s">
        <v>116</v>
      </c>
      <c r="U14" s="266"/>
      <c r="W14" s="282"/>
      <c r="X14" s="260"/>
      <c r="Y14" s="283"/>
    </row>
    <row r="15" spans="1:25" x14ac:dyDescent="0.25">
      <c r="A15" s="26">
        <v>10</v>
      </c>
      <c r="B15" s="5" t="s">
        <v>49</v>
      </c>
      <c r="C15" s="12" t="e">
        <f>"10/"&amp;annee</f>
        <v>#REF!</v>
      </c>
      <c r="D15" s="12" t="s">
        <v>50</v>
      </c>
      <c r="E15" s="12" t="str">
        <f t="shared" si="0"/>
        <v>nov</v>
      </c>
      <c r="F15" s="12" t="str">
        <f t="shared" si="0"/>
        <v>déc</v>
      </c>
      <c r="G15" s="12" t="str">
        <f t="shared" si="0"/>
        <v>janv</v>
      </c>
      <c r="H15" s="12" t="e">
        <f>"10/"&amp;RIGHT(annee,2)</f>
        <v>#REF!</v>
      </c>
      <c r="I15" s="27" t="e">
        <f>"10/"&amp;RIGHT(annee-1,2)</f>
        <v>#REF!</v>
      </c>
      <c r="J15" s="28"/>
      <c r="L15" s="267" t="s">
        <v>99</v>
      </c>
      <c r="M15" s="272" t="s">
        <v>104</v>
      </c>
      <c r="N15" s="260" t="s">
        <v>96</v>
      </c>
      <c r="O15" s="335" t="s">
        <v>96</v>
      </c>
      <c r="P15" s="335"/>
      <c r="Q15" s="335" t="s">
        <v>104</v>
      </c>
      <c r="R15" s="260" t="s">
        <v>96</v>
      </c>
      <c r="S15" s="270">
        <v>43466</v>
      </c>
      <c r="T15" s="260" t="s">
        <v>116</v>
      </c>
      <c r="U15" s="266"/>
      <c r="W15" s="282"/>
      <c r="X15" s="260"/>
      <c r="Y15" s="283"/>
    </row>
    <row r="16" spans="1:25" x14ac:dyDescent="0.25">
      <c r="A16" s="26">
        <v>11</v>
      </c>
      <c r="B16" s="5" t="s">
        <v>51</v>
      </c>
      <c r="C16" s="12" t="e">
        <f>"11/"&amp;annee</f>
        <v>#REF!</v>
      </c>
      <c r="D16" s="12" t="s">
        <v>52</v>
      </c>
      <c r="E16" s="12" t="str">
        <f t="shared" si="0"/>
        <v>déc</v>
      </c>
      <c r="F16" s="12" t="str">
        <f t="shared" si="0"/>
        <v>janv</v>
      </c>
      <c r="G16" s="12" t="str">
        <f t="shared" si="0"/>
        <v>fév</v>
      </c>
      <c r="H16" s="12" t="e">
        <f>"11/"&amp;RIGHT(annee,2)</f>
        <v>#REF!</v>
      </c>
      <c r="I16" s="27" t="e">
        <f>"11/"&amp;RIGHT(annee-1,2)</f>
        <v>#REF!</v>
      </c>
      <c r="J16" s="28"/>
      <c r="L16" s="267" t="s">
        <v>99</v>
      </c>
      <c r="M16" s="272" t="s">
        <v>102</v>
      </c>
      <c r="N16" s="260" t="s">
        <v>96</v>
      </c>
      <c r="O16" s="335" t="s">
        <v>96</v>
      </c>
      <c r="P16" s="335" t="s">
        <v>102</v>
      </c>
      <c r="Q16" s="335"/>
      <c r="R16" s="260" t="s">
        <v>96</v>
      </c>
      <c r="S16" s="270">
        <v>43831</v>
      </c>
      <c r="T16" s="260" t="s">
        <v>115</v>
      </c>
      <c r="U16" s="266"/>
      <c r="W16" s="282"/>
      <c r="X16" s="260"/>
      <c r="Y16" s="283"/>
    </row>
    <row r="17" spans="1:25" x14ac:dyDescent="0.25">
      <c r="A17" s="26">
        <v>12</v>
      </c>
      <c r="B17" s="5" t="s">
        <v>53</v>
      </c>
      <c r="C17" s="12" t="e">
        <f>"12/"&amp;annee</f>
        <v>#REF!</v>
      </c>
      <c r="D17" s="12" t="s">
        <v>54</v>
      </c>
      <c r="E17" s="12" t="str">
        <f t="shared" si="0"/>
        <v>janv</v>
      </c>
      <c r="F17" s="12" t="str">
        <f t="shared" si="0"/>
        <v>fév</v>
      </c>
      <c r="G17" s="12" t="str">
        <f t="shared" si="0"/>
        <v>mars</v>
      </c>
      <c r="H17" s="12" t="e">
        <f>"12/"&amp;RIGHT(annee,2)</f>
        <v>#REF!</v>
      </c>
      <c r="I17" s="27" t="e">
        <f>"12/"&amp;RIGHT(annee-1,2)</f>
        <v>#REF!</v>
      </c>
      <c r="J17" s="28"/>
      <c r="L17" s="267" t="s">
        <v>99</v>
      </c>
      <c r="M17" s="272" t="s">
        <v>109</v>
      </c>
      <c r="N17" s="260" t="s">
        <v>96</v>
      </c>
      <c r="O17" s="335" t="s">
        <v>96</v>
      </c>
      <c r="P17" s="335"/>
      <c r="Q17" s="335" t="s">
        <v>109</v>
      </c>
      <c r="R17" s="260" t="s">
        <v>96</v>
      </c>
      <c r="S17" s="270">
        <v>43466</v>
      </c>
      <c r="T17" s="260" t="s">
        <v>116</v>
      </c>
      <c r="U17" s="266"/>
      <c r="W17" s="282"/>
      <c r="X17" s="260"/>
      <c r="Y17" s="283"/>
    </row>
    <row r="18" spans="1:25" x14ac:dyDescent="0.25">
      <c r="A18" s="26">
        <v>13</v>
      </c>
      <c r="B18" s="5" t="s">
        <v>35</v>
      </c>
      <c r="C18" s="29" t="e">
        <f>"01/"&amp;annee+1</f>
        <v>#REF!</v>
      </c>
      <c r="D18" s="12" t="s">
        <v>36</v>
      </c>
      <c r="E18" s="12" t="str">
        <f t="shared" si="0"/>
        <v>fév</v>
      </c>
      <c r="F18" s="12" t="str">
        <f t="shared" si="0"/>
        <v>mars</v>
      </c>
      <c r="G18" s="30"/>
      <c r="H18" s="29" t="e">
        <f>"01/"&amp;RIGHT(annee,2)+1</f>
        <v>#REF!</v>
      </c>
      <c r="I18" s="27" t="e">
        <f>"01/"&amp;RIGHT(annee-1,2)+1</f>
        <v>#REF!</v>
      </c>
      <c r="J18" s="28"/>
      <c r="L18" s="267" t="s">
        <v>99</v>
      </c>
      <c r="M18" s="272" t="s">
        <v>107</v>
      </c>
      <c r="N18" s="260" t="s">
        <v>96</v>
      </c>
      <c r="O18" s="335" t="s">
        <v>96</v>
      </c>
      <c r="P18" s="335"/>
      <c r="Q18" s="335" t="s">
        <v>107</v>
      </c>
      <c r="R18" s="260" t="s">
        <v>96</v>
      </c>
      <c r="S18" s="270">
        <v>43466</v>
      </c>
      <c r="T18" s="260" t="s">
        <v>116</v>
      </c>
      <c r="U18" s="266"/>
      <c r="W18" s="282"/>
      <c r="X18" s="260"/>
      <c r="Y18" s="283"/>
    </row>
    <row r="19" spans="1:25" x14ac:dyDescent="0.25">
      <c r="A19" s="26">
        <v>14</v>
      </c>
      <c r="B19" s="5" t="s">
        <v>37</v>
      </c>
      <c r="C19" s="29" t="e">
        <f>"02/"&amp;annee+1</f>
        <v>#REF!</v>
      </c>
      <c r="D19" s="12" t="s">
        <v>38</v>
      </c>
      <c r="E19" s="12" t="str">
        <f t="shared" si="0"/>
        <v>mars</v>
      </c>
      <c r="F19" s="30"/>
      <c r="G19" s="30"/>
      <c r="H19" s="29" t="e">
        <f>"02/"&amp;RIGHT(annee,2)+1</f>
        <v>#REF!</v>
      </c>
      <c r="I19" s="27" t="e">
        <f>"02/"&amp;RIGHT(annee-1,2)+1</f>
        <v>#REF!</v>
      </c>
      <c r="J19" s="28"/>
      <c r="L19" s="267" t="s">
        <v>99</v>
      </c>
      <c r="M19" s="272" t="s">
        <v>108</v>
      </c>
      <c r="N19" s="260" t="s">
        <v>96</v>
      </c>
      <c r="O19" s="335" t="s">
        <v>96</v>
      </c>
      <c r="P19" s="335"/>
      <c r="Q19" s="335" t="s">
        <v>108</v>
      </c>
      <c r="R19" s="260" t="s">
        <v>96</v>
      </c>
      <c r="S19" s="270">
        <v>43466</v>
      </c>
      <c r="T19" s="260" t="s">
        <v>116</v>
      </c>
      <c r="U19" s="266"/>
      <c r="W19" s="282"/>
      <c r="X19" s="260"/>
      <c r="Y19" s="283"/>
    </row>
    <row r="20" spans="1:25" x14ac:dyDescent="0.25">
      <c r="A20" s="31">
        <v>15</v>
      </c>
      <c r="B20" s="32" t="s">
        <v>39</v>
      </c>
      <c r="C20" s="33" t="e">
        <f>"03/"&amp;annee+1</f>
        <v>#REF!</v>
      </c>
      <c r="D20" s="34" t="s">
        <v>39</v>
      </c>
      <c r="E20" s="35"/>
      <c r="F20" s="35"/>
      <c r="G20" s="35"/>
      <c r="H20" s="33" t="e">
        <f>"03/"&amp;RIGHT(annee,2)+1</f>
        <v>#REF!</v>
      </c>
      <c r="I20" s="36" t="e">
        <f>"03/"&amp;RIGHT(annee-1,2)+1</f>
        <v>#REF!</v>
      </c>
      <c r="J20" s="37"/>
      <c r="L20" s="267" t="s">
        <v>99</v>
      </c>
      <c r="M20" s="272" t="s">
        <v>110</v>
      </c>
      <c r="N20" s="260" t="s">
        <v>96</v>
      </c>
      <c r="O20" s="335" t="s">
        <v>96</v>
      </c>
      <c r="P20" s="335"/>
      <c r="Q20" s="335" t="s">
        <v>110</v>
      </c>
      <c r="R20" s="260" t="s">
        <v>96</v>
      </c>
      <c r="S20" s="270">
        <v>43466</v>
      </c>
      <c r="T20" s="260" t="s">
        <v>116</v>
      </c>
      <c r="U20" s="266"/>
      <c r="W20" s="282"/>
      <c r="X20" s="260"/>
      <c r="Y20" s="283"/>
    </row>
    <row r="21" spans="1:25" x14ac:dyDescent="0.25">
      <c r="L21" s="267" t="s">
        <v>99</v>
      </c>
      <c r="M21" s="272" t="s">
        <v>103</v>
      </c>
      <c r="N21" s="260" t="s">
        <v>96</v>
      </c>
      <c r="O21" s="335" t="s">
        <v>96</v>
      </c>
      <c r="P21" s="335" t="s">
        <v>103</v>
      </c>
      <c r="Q21" s="335"/>
      <c r="R21" s="260" t="s">
        <v>96</v>
      </c>
      <c r="S21" s="270">
        <v>43831</v>
      </c>
      <c r="T21" s="260" t="s">
        <v>115</v>
      </c>
      <c r="U21" s="266"/>
      <c r="W21" s="282"/>
      <c r="X21" s="260"/>
      <c r="Y21" s="283"/>
    </row>
    <row r="22" spans="1:25" x14ac:dyDescent="0.25">
      <c r="L22" s="267" t="s">
        <v>99</v>
      </c>
      <c r="M22" s="272" t="s">
        <v>78</v>
      </c>
      <c r="N22" s="260" t="s">
        <v>96</v>
      </c>
      <c r="O22" s="335" t="s">
        <v>96</v>
      </c>
      <c r="P22" s="335"/>
      <c r="Q22" s="335" t="s">
        <v>78</v>
      </c>
      <c r="R22" s="260" t="s">
        <v>96</v>
      </c>
      <c r="S22" s="270">
        <v>43495</v>
      </c>
      <c r="T22" s="260" t="s">
        <v>116</v>
      </c>
      <c r="U22" s="266"/>
      <c r="W22" s="282"/>
      <c r="X22" s="260"/>
      <c r="Y22" s="283"/>
    </row>
    <row r="23" spans="1:25" x14ac:dyDescent="0.25">
      <c r="L23" s="267"/>
      <c r="M23" s="272"/>
      <c r="N23" s="260"/>
      <c r="O23" s="335"/>
      <c r="P23" s="335"/>
      <c r="Q23" s="335"/>
      <c r="R23" s="260"/>
      <c r="S23" s="270"/>
      <c r="T23" s="260"/>
      <c r="U23" s="266"/>
      <c r="W23" s="282"/>
      <c r="X23" s="260"/>
      <c r="Y23" s="283"/>
    </row>
    <row r="24" spans="1:25" x14ac:dyDescent="0.25">
      <c r="L24" s="267"/>
      <c r="M24" s="272"/>
      <c r="N24" s="260"/>
      <c r="O24" s="335"/>
      <c r="P24" s="335"/>
      <c r="Q24" s="335"/>
      <c r="R24" s="260"/>
      <c r="S24" s="270"/>
      <c r="T24" s="260"/>
      <c r="U24" s="266"/>
      <c r="W24" s="282"/>
      <c r="X24" s="260"/>
      <c r="Y24" s="283"/>
    </row>
    <row r="25" spans="1:25" x14ac:dyDescent="0.25">
      <c r="L25" s="267"/>
      <c r="M25" s="272"/>
      <c r="N25" s="260"/>
      <c r="O25" s="335"/>
      <c r="P25" s="335"/>
      <c r="Q25" s="335"/>
      <c r="R25" s="260"/>
      <c r="S25" s="270"/>
      <c r="T25" s="260"/>
      <c r="U25" s="266"/>
      <c r="W25" s="282"/>
      <c r="X25" s="260"/>
      <c r="Y25" s="283"/>
    </row>
    <row r="26" spans="1:25" x14ac:dyDescent="0.25">
      <c r="L26" s="267"/>
      <c r="M26" s="272"/>
      <c r="N26" s="260"/>
      <c r="O26" s="335"/>
      <c r="P26" s="335"/>
      <c r="Q26" s="335"/>
      <c r="R26" s="260"/>
      <c r="S26" s="270"/>
      <c r="T26" s="260"/>
      <c r="U26" s="266"/>
      <c r="W26" s="282"/>
      <c r="X26" s="260"/>
      <c r="Y26" s="283"/>
    </row>
    <row r="27" spans="1:25" x14ac:dyDescent="0.25">
      <c r="L27" s="267"/>
      <c r="M27" s="272"/>
      <c r="N27" s="260"/>
      <c r="O27" s="335"/>
      <c r="P27" s="335"/>
      <c r="Q27" s="335"/>
      <c r="R27" s="260"/>
      <c r="S27" s="270"/>
      <c r="T27" s="260"/>
      <c r="U27" s="266"/>
      <c r="W27" s="282"/>
      <c r="X27" s="260"/>
      <c r="Y27" s="283"/>
    </row>
    <row r="28" spans="1:25" x14ac:dyDescent="0.25">
      <c r="L28" s="267"/>
      <c r="M28" s="272"/>
      <c r="N28" s="260"/>
      <c r="O28" s="335"/>
      <c r="P28" s="335"/>
      <c r="Q28" s="335"/>
      <c r="R28" s="260"/>
      <c r="S28" s="270"/>
      <c r="T28" s="260"/>
      <c r="U28" s="266"/>
      <c r="W28" s="282"/>
      <c r="X28" s="260"/>
      <c r="Y28" s="283"/>
    </row>
    <row r="29" spans="1:25" x14ac:dyDescent="0.25">
      <c r="L29" s="267"/>
      <c r="M29" s="272"/>
      <c r="N29" s="260"/>
      <c r="O29" s="335"/>
      <c r="P29" s="335"/>
      <c r="Q29" s="335"/>
      <c r="R29" s="260"/>
      <c r="S29" s="270"/>
      <c r="T29" s="260"/>
      <c r="U29" s="266"/>
      <c r="W29" s="282"/>
      <c r="X29" s="260"/>
      <c r="Y29" s="283"/>
    </row>
    <row r="30" spans="1:25" x14ac:dyDescent="0.25">
      <c r="L30" s="267"/>
      <c r="M30" s="272"/>
      <c r="N30" s="260"/>
      <c r="O30" s="335"/>
      <c r="P30" s="335"/>
      <c r="Q30" s="335"/>
      <c r="R30" s="260"/>
      <c r="S30" s="270"/>
      <c r="T30" s="260"/>
      <c r="U30" s="266"/>
      <c r="W30" s="282"/>
      <c r="X30" s="260"/>
      <c r="Y30" s="283"/>
    </row>
    <row r="31" spans="1:25" x14ac:dyDescent="0.25">
      <c r="L31" s="267"/>
      <c r="M31" s="272"/>
      <c r="N31" s="260"/>
      <c r="O31" s="335"/>
      <c r="P31" s="335"/>
      <c r="Q31" s="335"/>
      <c r="R31" s="260"/>
      <c r="S31" s="270"/>
      <c r="T31" s="260"/>
      <c r="U31" s="266"/>
      <c r="W31" s="282"/>
      <c r="X31" s="260"/>
      <c r="Y31" s="283"/>
    </row>
    <row r="32" spans="1:25" x14ac:dyDescent="0.25">
      <c r="L32" s="267"/>
      <c r="M32" s="272"/>
      <c r="N32" s="260"/>
      <c r="O32" s="335"/>
      <c r="P32" s="335"/>
      <c r="Q32" s="335"/>
      <c r="R32" s="260"/>
      <c r="S32" s="270"/>
      <c r="T32" s="260"/>
      <c r="U32" s="266"/>
      <c r="W32" s="282"/>
      <c r="X32" s="260"/>
      <c r="Y32" s="283"/>
    </row>
    <row r="33" spans="12:25" x14ac:dyDescent="0.25">
      <c r="L33" s="267"/>
      <c r="M33" s="272"/>
      <c r="N33" s="260"/>
      <c r="O33" s="335"/>
      <c r="P33" s="335"/>
      <c r="Q33" s="335"/>
      <c r="R33" s="260"/>
      <c r="S33" s="270"/>
      <c r="T33" s="260"/>
      <c r="U33" s="266"/>
      <c r="W33" s="282"/>
      <c r="X33" s="260"/>
      <c r="Y33" s="283"/>
    </row>
    <row r="34" spans="12:25" x14ac:dyDescent="0.25">
      <c r="L34" s="267"/>
      <c r="M34" s="272"/>
      <c r="N34" s="260"/>
      <c r="O34" s="335"/>
      <c r="P34" s="335"/>
      <c r="Q34" s="335"/>
      <c r="R34" s="260"/>
      <c r="S34" s="270"/>
      <c r="T34" s="260"/>
      <c r="U34" s="266"/>
      <c r="W34" s="282"/>
      <c r="X34" s="260"/>
      <c r="Y34" s="283"/>
    </row>
    <row r="35" spans="12:25" x14ac:dyDescent="0.25">
      <c r="L35" s="267"/>
      <c r="M35" s="272"/>
      <c r="N35" s="260"/>
      <c r="O35" s="335"/>
      <c r="P35" s="335"/>
      <c r="Q35" s="335"/>
      <c r="R35" s="260"/>
      <c r="S35" s="270"/>
      <c r="T35" s="260"/>
      <c r="U35" s="266"/>
      <c r="W35" s="282"/>
      <c r="X35" s="260"/>
      <c r="Y35" s="283"/>
    </row>
    <row r="36" spans="12:25" x14ac:dyDescent="0.25">
      <c r="L36" s="267"/>
      <c r="M36" s="272"/>
      <c r="N36" s="260"/>
      <c r="O36" s="335"/>
      <c r="P36" s="335"/>
      <c r="Q36" s="335"/>
      <c r="R36" s="260"/>
      <c r="S36" s="270"/>
      <c r="T36" s="260"/>
      <c r="U36" s="266"/>
      <c r="W36" s="282"/>
      <c r="X36" s="260"/>
      <c r="Y36" s="283"/>
    </row>
    <row r="37" spans="12:25" x14ac:dyDescent="0.25">
      <c r="L37" s="267"/>
      <c r="M37" s="272"/>
      <c r="N37" s="260"/>
      <c r="O37" s="335"/>
      <c r="P37" s="335"/>
      <c r="Q37" s="335"/>
      <c r="R37" s="260"/>
      <c r="S37" s="270"/>
      <c r="T37" s="260"/>
      <c r="U37" s="266"/>
      <c r="W37" s="282"/>
      <c r="X37" s="260"/>
      <c r="Y37" s="283"/>
    </row>
    <row r="38" spans="12:25" x14ac:dyDescent="0.25">
      <c r="L38" s="267"/>
      <c r="M38" s="272"/>
      <c r="N38" s="260"/>
      <c r="O38" s="335"/>
      <c r="P38" s="335"/>
      <c r="Q38" s="335"/>
      <c r="R38" s="260"/>
      <c r="S38" s="270"/>
      <c r="T38" s="260"/>
      <c r="U38" s="266"/>
      <c r="W38" s="282"/>
      <c r="X38" s="260"/>
      <c r="Y38" s="284"/>
    </row>
    <row r="39" spans="12:25" x14ac:dyDescent="0.25">
      <c r="L39" s="267"/>
      <c r="M39" s="272"/>
      <c r="N39" s="260"/>
      <c r="O39" s="335"/>
      <c r="P39" s="335"/>
      <c r="Q39" s="335"/>
      <c r="R39" s="260"/>
      <c r="S39" s="270"/>
      <c r="T39" s="260"/>
      <c r="U39" s="266"/>
      <c r="W39" s="282"/>
      <c r="X39" s="260"/>
      <c r="Y39" s="284"/>
    </row>
    <row r="40" spans="12:25" x14ac:dyDescent="0.25">
      <c r="L40" s="267"/>
      <c r="M40" s="272"/>
      <c r="N40" s="260"/>
      <c r="O40" s="335"/>
      <c r="P40" s="335"/>
      <c r="Q40" s="335"/>
      <c r="R40" s="260"/>
      <c r="S40" s="270"/>
      <c r="T40" s="260"/>
      <c r="U40" s="266"/>
      <c r="W40" s="282"/>
      <c r="X40" s="260"/>
      <c r="Y40" s="284"/>
    </row>
    <row r="41" spans="12:25" x14ac:dyDescent="0.25">
      <c r="L41" s="267"/>
      <c r="M41" s="272"/>
      <c r="N41" s="260"/>
      <c r="O41" s="335"/>
      <c r="P41" s="335"/>
      <c r="Q41" s="335"/>
      <c r="R41" s="260"/>
      <c r="S41" s="270"/>
      <c r="T41" s="260"/>
      <c r="U41" s="266"/>
      <c r="W41" s="282"/>
      <c r="X41" s="260"/>
      <c r="Y41" s="284"/>
    </row>
    <row r="42" spans="12:25" x14ac:dyDescent="0.25">
      <c r="L42" s="267"/>
      <c r="M42" s="272"/>
      <c r="N42" s="260"/>
      <c r="O42" s="335"/>
      <c r="P42" s="335"/>
      <c r="Q42" s="335"/>
      <c r="R42" s="260"/>
      <c r="S42" s="270"/>
      <c r="T42" s="260"/>
      <c r="U42" s="266"/>
      <c r="W42" s="282"/>
      <c r="X42" s="260"/>
      <c r="Y42" s="284"/>
    </row>
    <row r="43" spans="12:25" x14ac:dyDescent="0.25">
      <c r="L43" s="267"/>
      <c r="M43" s="272"/>
      <c r="N43" s="260"/>
      <c r="O43" s="335"/>
      <c r="P43" s="335"/>
      <c r="Q43" s="335"/>
      <c r="R43" s="260"/>
      <c r="S43" s="270"/>
      <c r="T43" s="260"/>
      <c r="U43" s="266"/>
      <c r="W43" s="282"/>
      <c r="X43" s="260"/>
      <c r="Y43" s="284"/>
    </row>
    <row r="44" spans="12:25" x14ac:dyDescent="0.25">
      <c r="L44" s="267"/>
      <c r="M44" s="272"/>
      <c r="N44" s="260"/>
      <c r="O44" s="335"/>
      <c r="P44" s="335"/>
      <c r="Q44" s="335"/>
      <c r="R44" s="260"/>
      <c r="S44" s="270"/>
      <c r="T44" s="260"/>
      <c r="U44" s="266"/>
      <c r="W44" s="282"/>
      <c r="X44" s="260"/>
      <c r="Y44" s="284"/>
    </row>
    <row r="45" spans="12:25" x14ac:dyDescent="0.25">
      <c r="L45" s="267"/>
      <c r="M45" s="272"/>
      <c r="N45" s="260"/>
      <c r="O45" s="260"/>
      <c r="P45" s="260"/>
      <c r="Q45" s="260"/>
      <c r="R45" s="260"/>
      <c r="S45" s="270"/>
      <c r="T45" s="260"/>
      <c r="U45" s="266"/>
      <c r="W45" s="282"/>
      <c r="X45" s="260"/>
      <c r="Y45" s="284"/>
    </row>
    <row r="46" spans="12:25" x14ac:dyDescent="0.25">
      <c r="L46" s="267"/>
      <c r="M46" s="272"/>
      <c r="N46" s="260"/>
      <c r="O46" s="260"/>
      <c r="P46" s="260"/>
      <c r="Q46" s="260"/>
      <c r="R46" s="260"/>
      <c r="S46" s="270"/>
      <c r="T46" s="260"/>
      <c r="U46" s="266"/>
      <c r="W46" s="282"/>
      <c r="X46" s="260"/>
      <c r="Y46" s="284"/>
    </row>
    <row r="47" spans="12:25" x14ac:dyDescent="0.25">
      <c r="L47" s="267"/>
      <c r="M47" s="272"/>
      <c r="N47" s="260"/>
      <c r="O47" s="260"/>
      <c r="P47" s="260"/>
      <c r="Q47" s="260"/>
      <c r="R47" s="260"/>
      <c r="S47" s="270"/>
      <c r="T47" s="260"/>
      <c r="U47" s="266"/>
      <c r="W47" s="282"/>
      <c r="X47" s="260"/>
      <c r="Y47" s="284"/>
    </row>
    <row r="48" spans="12:25" x14ac:dyDescent="0.25">
      <c r="L48" s="267"/>
      <c r="M48" s="272"/>
      <c r="N48" s="260"/>
      <c r="O48" s="260"/>
      <c r="P48" s="260"/>
      <c r="Q48" s="260"/>
      <c r="R48" s="260"/>
      <c r="S48" s="270"/>
      <c r="T48" s="260"/>
      <c r="U48" s="266"/>
      <c r="W48" s="282"/>
      <c r="X48" s="260"/>
      <c r="Y48" s="284"/>
    </row>
    <row r="49" spans="12:25" x14ac:dyDescent="0.25">
      <c r="L49" s="267"/>
      <c r="M49" s="272"/>
      <c r="N49" s="260"/>
      <c r="O49" s="260"/>
      <c r="P49" s="260"/>
      <c r="Q49" s="260"/>
      <c r="R49" s="260"/>
      <c r="S49" s="270"/>
      <c r="T49" s="260"/>
      <c r="U49" s="266"/>
      <c r="W49" s="282"/>
      <c r="X49" s="260"/>
      <c r="Y49" s="284"/>
    </row>
    <row r="50" spans="12:25" x14ac:dyDescent="0.25">
      <c r="L50" s="267"/>
      <c r="M50" s="272"/>
      <c r="N50" s="260"/>
      <c r="O50" s="260"/>
      <c r="P50" s="260"/>
      <c r="Q50" s="260"/>
      <c r="R50" s="260"/>
      <c r="S50" s="270"/>
      <c r="T50" s="260"/>
      <c r="U50" s="266"/>
      <c r="W50" s="282"/>
      <c r="X50" s="260"/>
      <c r="Y50" s="284"/>
    </row>
    <row r="51" spans="12:25" x14ac:dyDescent="0.25">
      <c r="L51" s="267"/>
      <c r="M51" s="272"/>
      <c r="N51" s="260"/>
      <c r="O51" s="260"/>
      <c r="P51" s="260"/>
      <c r="Q51" s="260"/>
      <c r="R51" s="260"/>
      <c r="S51" s="270"/>
      <c r="T51" s="260"/>
      <c r="U51" s="266"/>
      <c r="W51" s="282"/>
      <c r="X51" s="260"/>
      <c r="Y51" s="284"/>
    </row>
    <row r="52" spans="12:25" x14ac:dyDescent="0.25">
      <c r="L52" s="267"/>
      <c r="M52" s="272"/>
      <c r="N52" s="260"/>
      <c r="O52" s="260"/>
      <c r="P52" s="260"/>
      <c r="Q52" s="260"/>
      <c r="R52" s="260"/>
      <c r="S52" s="270"/>
      <c r="T52" s="260"/>
      <c r="U52" s="266"/>
      <c r="W52" s="282"/>
      <c r="X52" s="260"/>
      <c r="Y52" s="284"/>
    </row>
    <row r="53" spans="12:25" x14ac:dyDescent="0.25">
      <c r="L53" s="267"/>
      <c r="M53" s="272"/>
      <c r="N53" s="260"/>
      <c r="O53" s="260"/>
      <c r="P53" s="260"/>
      <c r="Q53" s="260"/>
      <c r="R53" s="260"/>
      <c r="S53" s="270"/>
      <c r="T53" s="260"/>
      <c r="U53" s="266"/>
      <c r="W53" s="282"/>
      <c r="X53" s="260"/>
      <c r="Y53" s="284"/>
    </row>
    <row r="54" spans="12:25" x14ac:dyDescent="0.25">
      <c r="L54" s="267"/>
      <c r="M54" s="272"/>
      <c r="N54" s="260"/>
      <c r="O54" s="260"/>
      <c r="P54" s="260"/>
      <c r="Q54" s="260"/>
      <c r="R54" s="260"/>
      <c r="S54" s="270"/>
      <c r="T54" s="260"/>
      <c r="U54" s="266"/>
      <c r="W54" s="282"/>
      <c r="X54" s="260"/>
      <c r="Y54" s="284"/>
    </row>
    <row r="55" spans="12:25" x14ac:dyDescent="0.25">
      <c r="L55" s="267"/>
      <c r="M55" s="272"/>
      <c r="N55" s="260"/>
      <c r="O55" s="260"/>
      <c r="P55" s="260"/>
      <c r="Q55" s="260"/>
      <c r="R55" s="260"/>
      <c r="S55" s="270"/>
      <c r="T55" s="260"/>
      <c r="U55" s="266"/>
      <c r="W55" s="282"/>
      <c r="X55" s="260"/>
      <c r="Y55" s="284"/>
    </row>
    <row r="56" spans="12:25" x14ac:dyDescent="0.25">
      <c r="L56" s="267"/>
      <c r="M56" s="272"/>
      <c r="N56" s="260"/>
      <c r="O56" s="260"/>
      <c r="P56" s="260"/>
      <c r="Q56" s="260"/>
      <c r="R56" s="260"/>
      <c r="S56" s="270"/>
      <c r="T56" s="260"/>
      <c r="U56" s="266"/>
      <c r="W56" s="282"/>
      <c r="X56" s="260"/>
      <c r="Y56" s="284"/>
    </row>
    <row r="57" spans="12:25" x14ac:dyDescent="0.25">
      <c r="L57" s="267"/>
      <c r="M57" s="272"/>
      <c r="N57" s="260"/>
      <c r="O57" s="260"/>
      <c r="P57" s="260"/>
      <c r="Q57" s="260"/>
      <c r="R57" s="260"/>
      <c r="S57" s="270"/>
      <c r="T57" s="260"/>
      <c r="U57" s="266"/>
      <c r="W57" s="282"/>
      <c r="X57" s="260"/>
      <c r="Y57" s="284"/>
    </row>
    <row r="58" spans="12:25" x14ac:dyDescent="0.25">
      <c r="L58" s="267"/>
      <c r="M58" s="272"/>
      <c r="N58" s="260"/>
      <c r="O58" s="260"/>
      <c r="P58" s="260"/>
      <c r="Q58" s="260"/>
      <c r="R58" s="260"/>
      <c r="S58" s="270"/>
      <c r="T58" s="260"/>
      <c r="U58" s="266"/>
      <c r="W58" s="282"/>
      <c r="X58" s="260"/>
      <c r="Y58" s="284"/>
    </row>
    <row r="59" spans="12:25" x14ac:dyDescent="0.25">
      <c r="L59" s="267"/>
      <c r="M59" s="272"/>
      <c r="N59" s="260"/>
      <c r="O59" s="260"/>
      <c r="P59" s="260"/>
      <c r="Q59" s="260"/>
      <c r="R59" s="260"/>
      <c r="S59" s="270"/>
      <c r="T59" s="260"/>
      <c r="U59" s="266"/>
      <c r="W59" s="282"/>
      <c r="X59" s="260"/>
      <c r="Y59" s="284"/>
    </row>
    <row r="60" spans="12:25" x14ac:dyDescent="0.25">
      <c r="L60" s="267"/>
      <c r="M60" s="272"/>
      <c r="N60" s="260"/>
      <c r="O60" s="260"/>
      <c r="P60" s="260"/>
      <c r="Q60" s="260"/>
      <c r="R60" s="260"/>
      <c r="S60" s="270"/>
      <c r="T60" s="260"/>
      <c r="U60" s="266"/>
      <c r="W60" s="282"/>
      <c r="X60" s="260"/>
      <c r="Y60" s="284"/>
    </row>
    <row r="61" spans="12:25" x14ac:dyDescent="0.25">
      <c r="L61" s="267"/>
      <c r="M61" s="272"/>
      <c r="N61" s="260"/>
      <c r="O61" s="260"/>
      <c r="P61" s="260"/>
      <c r="Q61" s="260"/>
      <c r="R61" s="260"/>
      <c r="S61" s="270"/>
      <c r="T61" s="260"/>
      <c r="U61" s="266"/>
      <c r="W61" s="282"/>
      <c r="X61" s="260"/>
      <c r="Y61" s="284"/>
    </row>
    <row r="62" spans="12:25" x14ac:dyDescent="0.25">
      <c r="L62" s="267"/>
      <c r="M62" s="272"/>
      <c r="N62" s="260"/>
      <c r="O62" s="260"/>
      <c r="P62" s="260"/>
      <c r="Q62" s="260"/>
      <c r="R62" s="260"/>
      <c r="S62" s="270"/>
      <c r="T62" s="260"/>
      <c r="U62" s="266"/>
      <c r="W62" s="282"/>
      <c r="X62" s="260"/>
      <c r="Y62" s="284"/>
    </row>
    <row r="63" spans="12:25" x14ac:dyDescent="0.25">
      <c r="L63" s="267"/>
      <c r="M63" s="272"/>
      <c r="N63" s="260"/>
      <c r="O63" s="260"/>
      <c r="P63" s="260"/>
      <c r="Q63" s="260"/>
      <c r="R63" s="260"/>
      <c r="S63" s="270"/>
      <c r="T63" s="260"/>
      <c r="U63" s="266"/>
      <c r="W63" s="282"/>
      <c r="X63" s="260"/>
      <c r="Y63" s="284"/>
    </row>
    <row r="64" spans="12:25" x14ac:dyDescent="0.25">
      <c r="L64" s="267"/>
      <c r="M64" s="272"/>
      <c r="N64" s="260"/>
      <c r="O64" s="260"/>
      <c r="P64" s="260"/>
      <c r="Q64" s="260"/>
      <c r="R64" s="260"/>
      <c r="S64" s="270"/>
      <c r="T64" s="260"/>
      <c r="U64" s="266"/>
      <c r="W64" s="282"/>
      <c r="X64" s="260"/>
      <c r="Y64" s="284"/>
    </row>
    <row r="65" spans="12:25" x14ac:dyDescent="0.25">
      <c r="L65" s="267"/>
      <c r="M65" s="272"/>
      <c r="N65" s="260"/>
      <c r="O65" s="260"/>
      <c r="P65" s="260"/>
      <c r="Q65" s="260"/>
      <c r="R65" s="260"/>
      <c r="S65" s="270"/>
      <c r="T65" s="260"/>
      <c r="U65" s="266"/>
      <c r="W65" s="282"/>
      <c r="X65" s="260"/>
      <c r="Y65" s="284"/>
    </row>
    <row r="66" spans="12:25" x14ac:dyDescent="0.25">
      <c r="L66" s="267"/>
      <c r="M66" s="272"/>
      <c r="N66" s="260"/>
      <c r="O66" s="260"/>
      <c r="P66" s="260"/>
      <c r="Q66" s="260"/>
      <c r="R66" s="260"/>
      <c r="S66" s="270"/>
      <c r="T66" s="260"/>
      <c r="U66" s="266"/>
      <c r="W66" s="282"/>
      <c r="X66" s="260"/>
      <c r="Y66" s="284"/>
    </row>
    <row r="67" spans="12:25" x14ac:dyDescent="0.25">
      <c r="L67" s="267"/>
      <c r="M67" s="272"/>
      <c r="N67" s="260"/>
      <c r="O67" s="260"/>
      <c r="P67" s="260"/>
      <c r="Q67" s="260"/>
      <c r="R67" s="260"/>
      <c r="S67" s="270"/>
      <c r="T67" s="260"/>
      <c r="U67" s="266"/>
      <c r="W67" s="282"/>
      <c r="X67" s="260"/>
      <c r="Y67" s="284"/>
    </row>
    <row r="68" spans="12:25" x14ac:dyDescent="0.25">
      <c r="L68" s="267"/>
      <c r="M68" s="272"/>
      <c r="N68" s="260"/>
      <c r="O68" s="260"/>
      <c r="P68" s="260"/>
      <c r="Q68" s="260"/>
      <c r="R68" s="260"/>
      <c r="S68" s="270"/>
      <c r="T68" s="260"/>
      <c r="U68" s="266"/>
      <c r="W68" s="282"/>
      <c r="X68" s="260"/>
      <c r="Y68" s="284"/>
    </row>
    <row r="69" spans="12:25" x14ac:dyDescent="0.25">
      <c r="L69" s="267"/>
      <c r="M69" s="272"/>
      <c r="N69" s="260"/>
      <c r="O69" s="260"/>
      <c r="P69" s="260"/>
      <c r="Q69" s="260"/>
      <c r="R69" s="260"/>
      <c r="S69" s="270"/>
      <c r="T69" s="260"/>
      <c r="U69" s="266"/>
      <c r="W69" s="282"/>
      <c r="X69" s="260"/>
      <c r="Y69" s="284"/>
    </row>
    <row r="70" spans="12:25" x14ac:dyDescent="0.25">
      <c r="L70" s="267"/>
      <c r="M70" s="272"/>
      <c r="N70" s="260"/>
      <c r="O70" s="260"/>
      <c r="P70" s="260"/>
      <c r="Q70" s="260"/>
      <c r="R70" s="260"/>
      <c r="S70" s="270"/>
      <c r="T70" s="260"/>
      <c r="U70" s="266"/>
      <c r="W70" s="282"/>
      <c r="X70" s="260"/>
      <c r="Y70" s="284"/>
    </row>
    <row r="71" spans="12:25" x14ac:dyDescent="0.25">
      <c r="L71" s="267"/>
      <c r="M71" s="272"/>
      <c r="N71" s="260"/>
      <c r="O71" s="260"/>
      <c r="P71" s="260"/>
      <c r="Q71" s="260"/>
      <c r="R71" s="260"/>
      <c r="S71" s="270"/>
      <c r="T71" s="260"/>
      <c r="U71" s="266"/>
      <c r="W71" s="282"/>
      <c r="X71" s="260"/>
      <c r="Y71" s="284"/>
    </row>
    <row r="72" spans="12:25" x14ac:dyDescent="0.25">
      <c r="L72" s="267"/>
      <c r="M72" s="272"/>
      <c r="N72" s="260"/>
      <c r="O72" s="260"/>
      <c r="P72" s="260"/>
      <c r="Q72" s="260"/>
      <c r="R72" s="260"/>
      <c r="S72" s="270"/>
      <c r="T72" s="260"/>
      <c r="U72" s="266"/>
      <c r="W72" s="282"/>
      <c r="X72" s="260"/>
      <c r="Y72" s="284"/>
    </row>
    <row r="73" spans="12:25" x14ac:dyDescent="0.25">
      <c r="L73" s="267"/>
      <c r="M73" s="272"/>
      <c r="N73" s="260"/>
      <c r="O73" s="260"/>
      <c r="P73" s="260"/>
      <c r="Q73" s="260"/>
      <c r="R73" s="260"/>
      <c r="S73" s="270"/>
      <c r="T73" s="260"/>
      <c r="U73" s="266"/>
      <c r="W73" s="282"/>
      <c r="X73" s="260"/>
      <c r="Y73" s="284"/>
    </row>
    <row r="74" spans="12:25" x14ac:dyDescent="0.25">
      <c r="L74" s="267"/>
      <c r="M74" s="272"/>
      <c r="N74" s="260"/>
      <c r="O74" s="260"/>
      <c r="P74" s="260"/>
      <c r="Q74" s="260"/>
      <c r="R74" s="260"/>
      <c r="S74" s="270"/>
      <c r="T74" s="260"/>
      <c r="U74" s="266"/>
      <c r="W74" s="282"/>
      <c r="X74" s="260"/>
      <c r="Y74" s="284"/>
    </row>
    <row r="75" spans="12:25" x14ac:dyDescent="0.25">
      <c r="L75" s="267"/>
      <c r="M75" s="272"/>
      <c r="N75" s="260"/>
      <c r="O75" s="260"/>
      <c r="P75" s="260"/>
      <c r="Q75" s="260"/>
      <c r="R75" s="260"/>
      <c r="S75" s="270"/>
      <c r="T75" s="260"/>
      <c r="U75" s="266"/>
      <c r="W75" s="282"/>
      <c r="X75" s="260"/>
      <c r="Y75" s="284"/>
    </row>
    <row r="76" spans="12:25" x14ac:dyDescent="0.25">
      <c r="L76" s="267"/>
      <c r="M76" s="272"/>
      <c r="N76" s="260"/>
      <c r="O76" s="260"/>
      <c r="P76" s="260"/>
      <c r="Q76" s="260"/>
      <c r="R76" s="260"/>
      <c r="S76" s="270"/>
      <c r="T76" s="260"/>
      <c r="U76" s="266"/>
      <c r="W76" s="282"/>
      <c r="X76" s="260"/>
      <c r="Y76" s="284"/>
    </row>
    <row r="77" spans="12:25" x14ac:dyDescent="0.25">
      <c r="L77" s="267"/>
      <c r="M77" s="272"/>
      <c r="N77" s="260"/>
      <c r="O77" s="260"/>
      <c r="P77" s="260"/>
      <c r="Q77" s="260"/>
      <c r="R77" s="260"/>
      <c r="S77" s="270"/>
      <c r="T77" s="260"/>
      <c r="U77" s="266"/>
      <c r="W77" s="282"/>
      <c r="X77" s="260"/>
      <c r="Y77" s="284"/>
    </row>
    <row r="78" spans="12:25" x14ac:dyDescent="0.25">
      <c r="L78" s="267"/>
      <c r="M78" s="272"/>
      <c r="N78" s="260"/>
      <c r="O78" s="260"/>
      <c r="P78" s="260"/>
      <c r="Q78" s="260"/>
      <c r="R78" s="260"/>
      <c r="S78" s="270"/>
      <c r="T78" s="260"/>
      <c r="U78" s="266"/>
      <c r="W78" s="282"/>
      <c r="X78" s="260"/>
      <c r="Y78" s="284"/>
    </row>
    <row r="79" spans="12:25" x14ac:dyDescent="0.25">
      <c r="L79" s="267"/>
      <c r="M79" s="272"/>
      <c r="N79" s="260"/>
      <c r="O79" s="260"/>
      <c r="P79" s="260"/>
      <c r="Q79" s="260"/>
      <c r="R79" s="260"/>
      <c r="S79" s="270"/>
      <c r="T79" s="260"/>
      <c r="U79" s="266"/>
      <c r="W79" s="282"/>
      <c r="X79" s="260"/>
      <c r="Y79" s="284"/>
    </row>
    <row r="80" spans="12:25" x14ac:dyDescent="0.25">
      <c r="L80" s="267"/>
      <c r="M80" s="272"/>
      <c r="N80" s="260"/>
      <c r="O80" s="260"/>
      <c r="P80" s="260"/>
      <c r="Q80" s="260"/>
      <c r="R80" s="260"/>
      <c r="S80" s="270"/>
      <c r="T80" s="260"/>
      <c r="U80" s="266"/>
      <c r="W80" s="282"/>
      <c r="X80" s="260"/>
      <c r="Y80" s="284"/>
    </row>
    <row r="81" spans="12:25" x14ac:dyDescent="0.25">
      <c r="L81" s="267"/>
      <c r="M81" s="272"/>
      <c r="N81" s="260"/>
      <c r="O81" s="260"/>
      <c r="P81" s="260"/>
      <c r="Q81" s="260"/>
      <c r="R81" s="260"/>
      <c r="S81" s="270"/>
      <c r="T81" s="260"/>
      <c r="U81" s="266"/>
      <c r="W81" s="282"/>
      <c r="X81" s="260"/>
      <c r="Y81" s="284"/>
    </row>
    <row r="82" spans="12:25" x14ac:dyDescent="0.25">
      <c r="L82" s="267"/>
      <c r="M82" s="272"/>
      <c r="N82" s="260"/>
      <c r="O82" s="260"/>
      <c r="P82" s="260"/>
      <c r="Q82" s="260"/>
      <c r="R82" s="260"/>
      <c r="S82" s="270"/>
      <c r="T82" s="260"/>
      <c r="U82" s="266"/>
      <c r="W82" s="282"/>
      <c r="X82" s="260"/>
      <c r="Y82" s="284"/>
    </row>
    <row r="83" spans="12:25" x14ac:dyDescent="0.25">
      <c r="L83" s="267"/>
      <c r="M83" s="272"/>
      <c r="N83" s="260"/>
      <c r="O83" s="260"/>
      <c r="P83" s="260"/>
      <c r="Q83" s="260"/>
      <c r="R83" s="260"/>
      <c r="S83" s="270"/>
      <c r="T83" s="260"/>
      <c r="U83" s="266"/>
      <c r="W83" s="282"/>
      <c r="X83" s="39"/>
      <c r="Y83" s="284"/>
    </row>
    <row r="84" spans="12:25" x14ac:dyDescent="0.25">
      <c r="L84" s="267"/>
      <c r="M84" s="272"/>
      <c r="N84" s="260"/>
      <c r="O84" s="260"/>
      <c r="P84" s="260"/>
      <c r="Q84" s="260"/>
      <c r="R84" s="260"/>
      <c r="S84" s="270"/>
      <c r="T84" s="260"/>
      <c r="U84" s="266"/>
      <c r="W84" s="282"/>
      <c r="X84" s="39"/>
      <c r="Y84" s="284"/>
    </row>
    <row r="85" spans="12:25" x14ac:dyDescent="0.25">
      <c r="L85" s="267"/>
      <c r="M85" s="272"/>
      <c r="N85" s="260"/>
      <c r="O85" s="260"/>
      <c r="P85" s="260"/>
      <c r="Q85" s="260"/>
      <c r="R85" s="260"/>
      <c r="S85" s="270"/>
      <c r="T85" s="260"/>
      <c r="U85" s="266"/>
      <c r="W85" s="282"/>
      <c r="X85" s="39"/>
      <c r="Y85" s="284"/>
    </row>
    <row r="86" spans="12:25" x14ac:dyDescent="0.25">
      <c r="L86" s="267"/>
      <c r="M86" s="272"/>
      <c r="N86" s="260"/>
      <c r="O86" s="260"/>
      <c r="P86" s="260"/>
      <c r="Q86" s="260"/>
      <c r="R86" s="260"/>
      <c r="S86" s="270"/>
      <c r="T86" s="260"/>
      <c r="U86" s="266"/>
      <c r="W86" s="282"/>
      <c r="X86" s="39"/>
      <c r="Y86" s="284"/>
    </row>
    <row r="87" spans="12:25" x14ac:dyDescent="0.25">
      <c r="L87" s="267"/>
      <c r="M87" s="272"/>
      <c r="N87" s="260"/>
      <c r="O87" s="260"/>
      <c r="P87" s="260"/>
      <c r="Q87" s="260"/>
      <c r="R87" s="260"/>
      <c r="S87" s="270"/>
      <c r="T87" s="260"/>
      <c r="U87" s="266"/>
      <c r="W87" s="282"/>
      <c r="X87" s="39"/>
      <c r="Y87" s="284"/>
    </row>
    <row r="88" spans="12:25" x14ac:dyDescent="0.25">
      <c r="L88" s="267"/>
      <c r="M88" s="272"/>
      <c r="N88" s="260"/>
      <c r="O88" s="260"/>
      <c r="P88" s="260"/>
      <c r="Q88" s="260"/>
      <c r="R88" s="260"/>
      <c r="S88" s="270"/>
      <c r="T88" s="260"/>
      <c r="U88" s="266"/>
      <c r="W88" s="282"/>
      <c r="X88" s="39"/>
      <c r="Y88" s="284"/>
    </row>
    <row r="89" spans="12:25" x14ac:dyDescent="0.25">
      <c r="L89" s="267"/>
      <c r="M89" s="272"/>
      <c r="N89" s="260"/>
      <c r="O89" s="260"/>
      <c r="P89" s="260"/>
      <c r="Q89" s="260"/>
      <c r="R89" s="260"/>
      <c r="S89" s="270"/>
      <c r="T89" s="260"/>
      <c r="U89" s="266"/>
      <c r="W89" s="282"/>
      <c r="X89" s="39"/>
      <c r="Y89" s="284"/>
    </row>
    <row r="90" spans="12:25" x14ac:dyDescent="0.25">
      <c r="L90" s="267"/>
      <c r="M90" s="272"/>
      <c r="N90" s="260"/>
      <c r="O90" s="260"/>
      <c r="P90" s="260"/>
      <c r="Q90" s="260"/>
      <c r="R90" s="260"/>
      <c r="S90" s="270"/>
      <c r="T90" s="260"/>
      <c r="U90" s="266"/>
      <c r="W90" s="282"/>
      <c r="X90" s="39"/>
      <c r="Y90" s="284"/>
    </row>
    <row r="91" spans="12:25" x14ac:dyDescent="0.25">
      <c r="L91" s="267"/>
      <c r="M91" s="272"/>
      <c r="N91" s="260"/>
      <c r="O91" s="260"/>
      <c r="P91" s="260"/>
      <c r="Q91" s="260"/>
      <c r="R91" s="260"/>
      <c r="S91" s="270"/>
      <c r="T91" s="260"/>
      <c r="U91" s="266"/>
      <c r="W91" s="282"/>
      <c r="X91" s="39"/>
      <c r="Y91" s="284"/>
    </row>
    <row r="92" spans="12:25" x14ac:dyDescent="0.25">
      <c r="L92" s="267"/>
      <c r="M92" s="272"/>
      <c r="N92" s="260"/>
      <c r="O92" s="260"/>
      <c r="P92" s="260"/>
      <c r="Q92" s="260"/>
      <c r="R92" s="260"/>
      <c r="S92" s="270"/>
      <c r="T92" s="260"/>
      <c r="U92" s="266"/>
      <c r="W92" s="282"/>
      <c r="X92" s="39"/>
      <c r="Y92" s="284"/>
    </row>
    <row r="93" spans="12:25" x14ac:dyDescent="0.25">
      <c r="L93" s="267"/>
      <c r="M93" s="272"/>
      <c r="N93" s="260"/>
      <c r="O93" s="260"/>
      <c r="P93" s="260"/>
      <c r="Q93" s="260"/>
      <c r="R93" s="260"/>
      <c r="S93" s="270"/>
      <c r="T93" s="260"/>
      <c r="U93" s="266"/>
      <c r="W93" s="282"/>
      <c r="X93" s="39"/>
      <c r="Y93" s="284"/>
    </row>
    <row r="94" spans="12:25" x14ac:dyDescent="0.25">
      <c r="L94" s="267"/>
      <c r="M94" s="272"/>
      <c r="N94" s="260"/>
      <c r="O94" s="260"/>
      <c r="P94" s="260"/>
      <c r="Q94" s="260"/>
      <c r="R94" s="260"/>
      <c r="S94" s="270"/>
      <c r="T94" s="260"/>
      <c r="U94" s="266"/>
      <c r="W94" s="285"/>
      <c r="X94" s="39"/>
      <c r="Y94" s="284"/>
    </row>
    <row r="95" spans="12:25" x14ac:dyDescent="0.25">
      <c r="L95" s="267"/>
      <c r="M95" s="272"/>
      <c r="N95" s="260"/>
      <c r="O95" s="260"/>
      <c r="P95" s="260"/>
      <c r="Q95" s="260"/>
      <c r="R95" s="260"/>
      <c r="S95" s="270"/>
      <c r="T95" s="260"/>
      <c r="U95" s="266"/>
      <c r="W95" s="285"/>
      <c r="X95" s="39"/>
      <c r="Y95" s="284"/>
    </row>
    <row r="96" spans="12:25" x14ac:dyDescent="0.25">
      <c r="L96" s="267"/>
      <c r="M96" s="272"/>
      <c r="N96" s="260"/>
      <c r="O96" s="260"/>
      <c r="P96" s="260"/>
      <c r="Q96" s="260"/>
      <c r="R96" s="260"/>
      <c r="S96" s="270"/>
      <c r="T96" s="260"/>
      <c r="U96" s="266"/>
      <c r="W96" s="285"/>
      <c r="X96" s="39"/>
      <c r="Y96" s="284"/>
    </row>
    <row r="97" spans="12:25" x14ac:dyDescent="0.25">
      <c r="L97" s="267"/>
      <c r="M97" s="272"/>
      <c r="N97" s="260"/>
      <c r="O97" s="260"/>
      <c r="P97" s="260"/>
      <c r="Q97" s="260"/>
      <c r="R97" s="260"/>
      <c r="S97" s="270"/>
      <c r="T97" s="260"/>
      <c r="U97" s="266"/>
      <c r="W97" s="285"/>
      <c r="X97" s="39"/>
      <c r="Y97" s="284"/>
    </row>
    <row r="98" spans="12:25" x14ac:dyDescent="0.25">
      <c r="L98" s="267"/>
      <c r="M98" s="272"/>
      <c r="N98" s="260"/>
      <c r="O98" s="260"/>
      <c r="P98" s="260"/>
      <c r="Q98" s="260"/>
      <c r="R98" s="260"/>
      <c r="S98" s="270"/>
      <c r="T98" s="260"/>
      <c r="U98" s="266"/>
      <c r="W98" s="285"/>
      <c r="X98" s="39"/>
      <c r="Y98" s="284"/>
    </row>
    <row r="99" spans="12:25" x14ac:dyDescent="0.25">
      <c r="L99" s="267"/>
      <c r="M99" s="272"/>
      <c r="N99" s="260"/>
      <c r="O99" s="260"/>
      <c r="P99" s="260"/>
      <c r="Q99" s="260"/>
      <c r="R99" s="260"/>
      <c r="S99" s="270"/>
      <c r="T99" s="260"/>
      <c r="U99" s="266"/>
      <c r="W99" s="285"/>
      <c r="X99" s="39"/>
      <c r="Y99" s="284"/>
    </row>
    <row r="100" spans="12:25" x14ac:dyDescent="0.25">
      <c r="L100" s="267"/>
      <c r="M100" s="272"/>
      <c r="N100" s="260"/>
      <c r="O100" s="260"/>
      <c r="P100" s="260"/>
      <c r="Q100" s="260"/>
      <c r="R100" s="260"/>
      <c r="S100" s="270"/>
      <c r="T100" s="260"/>
      <c r="U100" s="266"/>
      <c r="W100" s="285"/>
      <c r="X100" s="39"/>
      <c r="Y100" s="284"/>
    </row>
    <row r="101" spans="12:25" x14ac:dyDescent="0.25">
      <c r="L101" s="267"/>
      <c r="M101" s="272"/>
      <c r="N101" s="260"/>
      <c r="O101" s="260"/>
      <c r="P101" s="260"/>
      <c r="Q101" s="260"/>
      <c r="R101" s="260"/>
      <c r="S101" s="270"/>
      <c r="T101" s="260"/>
      <c r="U101" s="266"/>
      <c r="W101" s="285"/>
      <c r="X101" s="39"/>
      <c r="Y101" s="284"/>
    </row>
    <row r="102" spans="12:25" x14ac:dyDescent="0.25">
      <c r="L102" s="267"/>
      <c r="M102" s="272"/>
      <c r="N102" s="260"/>
      <c r="O102" s="260"/>
      <c r="P102" s="260"/>
      <c r="Q102" s="260"/>
      <c r="R102" s="260"/>
      <c r="S102" s="270"/>
      <c r="T102" s="260"/>
      <c r="U102" s="266"/>
      <c r="W102" s="285"/>
      <c r="X102" s="39"/>
      <c r="Y102" s="284"/>
    </row>
    <row r="103" spans="12:25" x14ac:dyDescent="0.25">
      <c r="L103" s="267"/>
      <c r="M103" s="272"/>
      <c r="N103" s="260"/>
      <c r="O103" s="260"/>
      <c r="P103" s="260"/>
      <c r="Q103" s="260"/>
      <c r="R103" s="260"/>
      <c r="S103" s="270"/>
      <c r="T103" s="260"/>
      <c r="U103" s="266"/>
      <c r="W103" s="285"/>
      <c r="X103" s="39"/>
      <c r="Y103" s="284"/>
    </row>
    <row r="104" spans="12:25" x14ac:dyDescent="0.25">
      <c r="L104" s="267"/>
      <c r="M104" s="272"/>
      <c r="N104" s="260"/>
      <c r="O104" s="260"/>
      <c r="P104" s="260"/>
      <c r="Q104" s="260"/>
      <c r="R104" s="260"/>
      <c r="S104" s="270"/>
      <c r="T104" s="260"/>
      <c r="U104" s="266"/>
      <c r="W104" s="285"/>
      <c r="X104" s="39"/>
      <c r="Y104" s="284"/>
    </row>
    <row r="105" spans="12:25" x14ac:dyDescent="0.25">
      <c r="L105" s="267"/>
      <c r="M105" s="272"/>
      <c r="N105" s="260"/>
      <c r="O105" s="260"/>
      <c r="P105" s="260"/>
      <c r="Q105" s="260"/>
      <c r="R105" s="260"/>
      <c r="S105" s="270"/>
      <c r="T105" s="260"/>
      <c r="U105" s="266"/>
      <c r="W105" s="286"/>
      <c r="X105" s="287"/>
      <c r="Y105" s="288"/>
    </row>
    <row r="106" spans="12:25" x14ac:dyDescent="0.25">
      <c r="L106" s="267"/>
      <c r="M106" s="272"/>
      <c r="N106" s="260"/>
      <c r="O106" s="260"/>
      <c r="P106" s="260"/>
      <c r="Q106" s="260"/>
      <c r="R106" s="260"/>
      <c r="S106" s="270"/>
      <c r="T106" s="260"/>
      <c r="U106" s="266"/>
    </row>
    <row r="107" spans="12:25" x14ac:dyDescent="0.25">
      <c r="L107" s="267"/>
      <c r="M107" s="272"/>
      <c r="N107" s="260"/>
      <c r="O107" s="260"/>
      <c r="P107" s="260"/>
      <c r="Q107" s="260"/>
      <c r="R107" s="260"/>
      <c r="S107" s="270"/>
      <c r="T107" s="260"/>
      <c r="U107" s="266"/>
    </row>
    <row r="108" spans="12:25" x14ac:dyDescent="0.25">
      <c r="L108" s="267"/>
      <c r="M108" s="272"/>
      <c r="N108" s="260"/>
      <c r="O108" s="260"/>
      <c r="P108" s="260"/>
      <c r="Q108" s="260"/>
      <c r="R108" s="260"/>
      <c r="S108" s="270"/>
      <c r="T108" s="260"/>
      <c r="U108" s="266"/>
    </row>
    <row r="109" spans="12:25" x14ac:dyDescent="0.25">
      <c r="L109" s="267"/>
      <c r="M109" s="272"/>
      <c r="N109" s="260"/>
      <c r="O109" s="260"/>
      <c r="P109" s="260"/>
      <c r="Q109" s="260"/>
      <c r="R109" s="260"/>
      <c r="S109" s="270"/>
      <c r="T109" s="260"/>
      <c r="U109" s="266"/>
    </row>
    <row r="110" spans="12:25" x14ac:dyDescent="0.25">
      <c r="L110" s="267"/>
      <c r="M110" s="272"/>
      <c r="N110" s="260"/>
      <c r="O110" s="260"/>
      <c r="P110" s="260"/>
      <c r="Q110" s="260"/>
      <c r="R110" s="260"/>
      <c r="S110" s="270"/>
      <c r="T110" s="260"/>
      <c r="U110" s="266"/>
    </row>
    <row r="111" spans="12:25" x14ac:dyDescent="0.25">
      <c r="L111" s="267"/>
      <c r="M111" s="272"/>
      <c r="N111" s="260"/>
      <c r="O111" s="260"/>
      <c r="P111" s="260"/>
      <c r="Q111" s="260"/>
      <c r="R111" s="260"/>
      <c r="S111" s="270"/>
      <c r="T111" s="260"/>
      <c r="U111" s="266"/>
    </row>
    <row r="112" spans="12:25" x14ac:dyDescent="0.25">
      <c r="L112" s="267"/>
      <c r="M112" s="272"/>
      <c r="N112" s="260"/>
      <c r="O112" s="260"/>
      <c r="P112" s="260"/>
      <c r="Q112" s="260"/>
      <c r="R112" s="260"/>
      <c r="S112" s="270"/>
      <c r="T112" s="260"/>
      <c r="U112" s="266"/>
    </row>
    <row r="113" spans="12:21" x14ac:dyDescent="0.25">
      <c r="L113" s="267"/>
      <c r="M113" s="272"/>
      <c r="N113" s="260"/>
      <c r="O113" s="260"/>
      <c r="P113" s="260"/>
      <c r="Q113" s="260"/>
      <c r="R113" s="260"/>
      <c r="S113" s="270"/>
      <c r="T113" s="260"/>
      <c r="U113" s="266"/>
    </row>
    <row r="114" spans="12:21" x14ac:dyDescent="0.25">
      <c r="L114" s="267"/>
      <c r="M114" s="272"/>
      <c r="N114" s="260"/>
      <c r="O114" s="260"/>
      <c r="P114" s="260"/>
      <c r="Q114" s="260"/>
      <c r="R114" s="260"/>
      <c r="S114" s="270"/>
      <c r="T114" s="260"/>
      <c r="U114" s="266"/>
    </row>
    <row r="115" spans="12:21" x14ac:dyDescent="0.25">
      <c r="L115" s="267"/>
      <c r="M115" s="272"/>
      <c r="N115" s="260"/>
      <c r="O115" s="260"/>
      <c r="P115" s="260"/>
      <c r="Q115" s="260"/>
      <c r="R115" s="260"/>
      <c r="S115" s="270"/>
      <c r="T115" s="260"/>
      <c r="U115" s="266"/>
    </row>
    <row r="116" spans="12:21" x14ac:dyDescent="0.25">
      <c r="L116" s="267"/>
      <c r="M116" s="272"/>
      <c r="N116" s="260"/>
      <c r="O116" s="260"/>
      <c r="P116" s="260"/>
      <c r="Q116" s="260"/>
      <c r="R116" s="260"/>
      <c r="S116" s="270"/>
      <c r="T116" s="260"/>
      <c r="U116" s="266"/>
    </row>
    <row r="117" spans="12:21" x14ac:dyDescent="0.25">
      <c r="L117" s="267"/>
      <c r="M117" s="272"/>
      <c r="N117" s="260"/>
      <c r="O117" s="260"/>
      <c r="P117" s="260"/>
      <c r="Q117" s="260"/>
      <c r="R117" s="260"/>
      <c r="S117" s="270"/>
      <c r="T117" s="260"/>
      <c r="U117" s="266"/>
    </row>
    <row r="118" spans="12:21" x14ac:dyDescent="0.25">
      <c r="L118" s="267"/>
      <c r="M118" s="272"/>
      <c r="N118" s="260"/>
      <c r="O118" s="260"/>
      <c r="P118" s="260"/>
      <c r="Q118" s="260"/>
      <c r="R118" s="260"/>
      <c r="S118" s="270"/>
      <c r="T118" s="260"/>
      <c r="U118" s="266"/>
    </row>
    <row r="119" spans="12:21" x14ac:dyDescent="0.25">
      <c r="L119" s="267"/>
      <c r="M119" s="272"/>
      <c r="N119" s="260"/>
      <c r="O119" s="260"/>
      <c r="P119" s="260"/>
      <c r="Q119" s="260"/>
      <c r="R119" s="260"/>
      <c r="S119" s="270"/>
      <c r="T119" s="260"/>
      <c r="U119" s="266"/>
    </row>
    <row r="120" spans="12:21" x14ac:dyDescent="0.25">
      <c r="L120" s="267"/>
      <c r="M120" s="272"/>
      <c r="N120" s="260"/>
      <c r="O120" s="260"/>
      <c r="P120" s="260"/>
      <c r="Q120" s="260"/>
      <c r="R120" s="260"/>
      <c r="S120" s="270"/>
      <c r="T120" s="260"/>
      <c r="U120" s="266"/>
    </row>
    <row r="121" spans="12:21" x14ac:dyDescent="0.25">
      <c r="L121" s="267"/>
      <c r="M121" s="272"/>
      <c r="N121" s="260"/>
      <c r="O121" s="260"/>
      <c r="P121" s="260"/>
      <c r="Q121" s="260"/>
      <c r="R121" s="260"/>
      <c r="S121" s="270"/>
      <c r="T121" s="260"/>
      <c r="U121" s="266"/>
    </row>
    <row r="122" spans="12:21" x14ac:dyDescent="0.25">
      <c r="L122" s="267"/>
      <c r="M122" s="272"/>
      <c r="N122" s="260"/>
      <c r="O122" s="260"/>
      <c r="P122" s="260"/>
      <c r="Q122" s="260"/>
      <c r="R122" s="260"/>
      <c r="S122" s="270"/>
      <c r="T122" s="260"/>
      <c r="U122" s="266"/>
    </row>
    <row r="123" spans="12:21" x14ac:dyDescent="0.25">
      <c r="L123" s="267"/>
      <c r="M123" s="272"/>
      <c r="N123" s="260"/>
      <c r="O123" s="260"/>
      <c r="P123" s="260"/>
      <c r="Q123" s="260"/>
      <c r="R123" s="260"/>
      <c r="S123" s="270"/>
      <c r="T123" s="260"/>
      <c r="U123" s="266"/>
    </row>
    <row r="124" spans="12:21" x14ac:dyDescent="0.25">
      <c r="L124" s="267"/>
      <c r="M124" s="272"/>
      <c r="N124" s="260"/>
      <c r="O124" s="260"/>
      <c r="P124" s="260"/>
      <c r="Q124" s="260"/>
      <c r="R124" s="260"/>
      <c r="S124" s="270"/>
      <c r="T124" s="260"/>
      <c r="U124" s="266"/>
    </row>
    <row r="125" spans="12:21" x14ac:dyDescent="0.25">
      <c r="L125" s="267"/>
      <c r="M125" s="272"/>
      <c r="N125" s="260"/>
      <c r="O125" s="260"/>
      <c r="P125" s="260"/>
      <c r="Q125" s="260"/>
      <c r="R125" s="260"/>
      <c r="S125" s="270"/>
      <c r="T125" s="260"/>
      <c r="U125" s="266"/>
    </row>
    <row r="126" spans="12:21" x14ac:dyDescent="0.25">
      <c r="L126" s="267"/>
      <c r="M126" s="272"/>
      <c r="N126" s="260"/>
      <c r="O126" s="260"/>
      <c r="P126" s="260"/>
      <c r="Q126" s="260"/>
      <c r="R126" s="260"/>
      <c r="S126" s="270"/>
      <c r="T126" s="260"/>
      <c r="U126" s="266"/>
    </row>
    <row r="127" spans="12:21" x14ac:dyDescent="0.25">
      <c r="L127" s="267"/>
      <c r="M127" s="272"/>
      <c r="N127" s="260"/>
      <c r="O127" s="260"/>
      <c r="P127" s="260"/>
      <c r="Q127" s="260"/>
      <c r="R127" s="260"/>
      <c r="S127" s="270"/>
      <c r="T127" s="260"/>
      <c r="U127" s="266"/>
    </row>
    <row r="128" spans="12:21" x14ac:dyDescent="0.25">
      <c r="L128" s="267"/>
      <c r="M128" s="272"/>
      <c r="N128" s="260"/>
      <c r="O128" s="260"/>
      <c r="P128" s="260"/>
      <c r="Q128" s="260"/>
      <c r="R128" s="260"/>
      <c r="S128" s="270"/>
      <c r="T128" s="260"/>
      <c r="U128" s="266"/>
    </row>
    <row r="129" spans="12:21" x14ac:dyDescent="0.25">
      <c r="L129" s="267"/>
      <c r="M129" s="272"/>
      <c r="N129" s="260"/>
      <c r="O129" s="260"/>
      <c r="P129" s="260"/>
      <c r="Q129" s="260"/>
      <c r="R129" s="260"/>
      <c r="S129" s="270"/>
      <c r="T129" s="260"/>
      <c r="U129" s="266"/>
    </row>
    <row r="130" spans="12:21" x14ac:dyDescent="0.25">
      <c r="L130" s="267"/>
      <c r="M130" s="272"/>
      <c r="N130" s="260"/>
      <c r="O130" s="260"/>
      <c r="P130" s="260"/>
      <c r="Q130" s="260"/>
      <c r="R130" s="260"/>
      <c r="S130" s="270"/>
      <c r="T130" s="260"/>
      <c r="U130" s="266"/>
    </row>
    <row r="131" spans="12:21" x14ac:dyDescent="0.25">
      <c r="L131" s="267"/>
      <c r="M131" s="272"/>
      <c r="N131" s="260"/>
      <c r="O131" s="260"/>
      <c r="P131" s="260"/>
      <c r="Q131" s="260"/>
      <c r="R131" s="260"/>
      <c r="S131" s="270"/>
      <c r="T131" s="260"/>
      <c r="U131" s="266"/>
    </row>
    <row r="132" spans="12:21" x14ac:dyDescent="0.25">
      <c r="L132" s="267"/>
      <c r="M132" s="272"/>
      <c r="N132" s="260"/>
      <c r="O132" s="260"/>
      <c r="P132" s="260"/>
      <c r="Q132" s="260"/>
      <c r="R132" s="260"/>
      <c r="S132" s="270"/>
      <c r="T132" s="260"/>
      <c r="U132" s="266"/>
    </row>
    <row r="133" spans="12:21" x14ac:dyDescent="0.25">
      <c r="L133" s="267"/>
      <c r="M133" s="272"/>
      <c r="N133" s="260"/>
      <c r="O133" s="260"/>
      <c r="P133" s="260"/>
      <c r="Q133" s="260"/>
      <c r="R133" s="260"/>
      <c r="S133" s="270"/>
      <c r="T133" s="260"/>
      <c r="U133" s="266"/>
    </row>
    <row r="134" spans="12:21" x14ac:dyDescent="0.25">
      <c r="L134" s="267"/>
      <c r="M134" s="272"/>
      <c r="N134" s="260"/>
      <c r="O134" s="260"/>
      <c r="P134" s="260"/>
      <c r="Q134" s="260"/>
      <c r="R134" s="260"/>
      <c r="S134" s="270"/>
      <c r="T134" s="260"/>
      <c r="U134" s="266"/>
    </row>
    <row r="135" spans="12:21" x14ac:dyDescent="0.25">
      <c r="L135" s="267"/>
      <c r="M135" s="272"/>
      <c r="N135" s="260"/>
      <c r="O135" s="260"/>
      <c r="P135" s="260"/>
      <c r="Q135" s="260"/>
      <c r="R135" s="260"/>
      <c r="S135" s="270"/>
      <c r="T135" s="260"/>
      <c r="U135" s="266"/>
    </row>
    <row r="136" spans="12:21" x14ac:dyDescent="0.25">
      <c r="L136" s="267"/>
      <c r="M136" s="272"/>
      <c r="N136" s="260"/>
      <c r="O136" s="260"/>
      <c r="P136" s="260"/>
      <c r="Q136" s="260"/>
      <c r="R136" s="260"/>
      <c r="S136" s="270"/>
      <c r="T136" s="260"/>
      <c r="U136" s="266"/>
    </row>
    <row r="137" spans="12:21" x14ac:dyDescent="0.25">
      <c r="L137" s="267"/>
      <c r="M137" s="272"/>
      <c r="N137" s="260"/>
      <c r="O137" s="260"/>
      <c r="P137" s="260"/>
      <c r="Q137" s="260"/>
      <c r="R137" s="260"/>
      <c r="S137" s="270"/>
      <c r="T137" s="260"/>
      <c r="U137" s="266"/>
    </row>
    <row r="138" spans="12:21" x14ac:dyDescent="0.25">
      <c r="L138" s="267"/>
      <c r="M138" s="272"/>
      <c r="N138" s="260"/>
      <c r="O138" s="260"/>
      <c r="P138" s="260"/>
      <c r="Q138" s="260"/>
      <c r="R138" s="260"/>
      <c r="S138" s="270"/>
      <c r="T138" s="260"/>
      <c r="U138" s="266"/>
    </row>
    <row r="139" spans="12:21" x14ac:dyDescent="0.25">
      <c r="L139" s="267"/>
      <c r="M139" s="272"/>
      <c r="N139" s="260"/>
      <c r="O139" s="260"/>
      <c r="P139" s="260"/>
      <c r="Q139" s="260"/>
      <c r="R139" s="260"/>
      <c r="S139" s="270"/>
      <c r="T139" s="260"/>
      <c r="U139" s="266"/>
    </row>
    <row r="140" spans="12:21" x14ac:dyDescent="0.25">
      <c r="L140" s="267"/>
      <c r="M140" s="272"/>
      <c r="N140" s="260"/>
      <c r="O140" s="260"/>
      <c r="P140" s="260"/>
      <c r="Q140" s="260"/>
      <c r="R140" s="260"/>
      <c r="S140" s="270"/>
      <c r="T140" s="260"/>
      <c r="U140" s="266"/>
    </row>
    <row r="141" spans="12:21" x14ac:dyDescent="0.25">
      <c r="L141" s="267"/>
      <c r="M141" s="272"/>
      <c r="N141" s="260"/>
      <c r="O141" s="260"/>
      <c r="P141" s="260"/>
      <c r="Q141" s="260"/>
      <c r="R141" s="260"/>
      <c r="S141" s="270"/>
      <c r="T141" s="260"/>
      <c r="U141" s="266"/>
    </row>
    <row r="142" spans="12:21" x14ac:dyDescent="0.25">
      <c r="L142" s="267"/>
      <c r="M142" s="272"/>
      <c r="N142" s="260"/>
      <c r="O142" s="260"/>
      <c r="P142" s="260"/>
      <c r="Q142" s="260"/>
      <c r="R142" s="260"/>
      <c r="S142" s="270"/>
      <c r="T142" s="260"/>
      <c r="U142" s="266"/>
    </row>
    <row r="143" spans="12:21" x14ac:dyDescent="0.25">
      <c r="L143" s="267"/>
      <c r="M143" s="272"/>
      <c r="N143" s="260"/>
      <c r="O143" s="260"/>
      <c r="P143" s="260"/>
      <c r="Q143" s="260"/>
      <c r="R143" s="260"/>
      <c r="S143" s="270"/>
      <c r="T143" s="260"/>
      <c r="U143" s="266"/>
    </row>
    <row r="144" spans="12:21" x14ac:dyDescent="0.25">
      <c r="L144" s="267"/>
      <c r="M144" s="272"/>
      <c r="N144" s="260"/>
      <c r="O144" s="260"/>
      <c r="P144" s="260"/>
      <c r="Q144" s="260"/>
      <c r="R144" s="260"/>
      <c r="S144" s="270"/>
      <c r="T144" s="260"/>
      <c r="U144" s="266"/>
    </row>
    <row r="145" spans="12:21" x14ac:dyDescent="0.25">
      <c r="L145" s="267"/>
      <c r="M145" s="272"/>
      <c r="N145" s="260"/>
      <c r="O145" s="260"/>
      <c r="P145" s="260"/>
      <c r="Q145" s="260"/>
      <c r="R145" s="260"/>
      <c r="S145" s="270"/>
      <c r="T145" s="260"/>
      <c r="U145" s="266"/>
    </row>
    <row r="146" spans="12:21" x14ac:dyDescent="0.25">
      <c r="L146" s="267"/>
      <c r="M146" s="272"/>
      <c r="N146" s="260"/>
      <c r="O146" s="260"/>
      <c r="P146" s="260"/>
      <c r="Q146" s="260"/>
      <c r="R146" s="260"/>
      <c r="S146" s="270"/>
      <c r="T146" s="260"/>
      <c r="U146" s="266"/>
    </row>
    <row r="147" spans="12:21" x14ac:dyDescent="0.25">
      <c r="L147" s="267"/>
      <c r="M147" s="272"/>
      <c r="N147" s="260"/>
      <c r="O147" s="260"/>
      <c r="P147" s="260"/>
      <c r="Q147" s="260"/>
      <c r="R147" s="260"/>
      <c r="S147" s="270"/>
      <c r="T147" s="260"/>
      <c r="U147" s="266"/>
    </row>
    <row r="148" spans="12:21" x14ac:dyDescent="0.25">
      <c r="L148" s="267"/>
      <c r="M148" s="272"/>
      <c r="N148" s="260"/>
      <c r="O148" s="260"/>
      <c r="P148" s="260"/>
      <c r="Q148" s="260"/>
      <c r="R148" s="260"/>
      <c r="S148" s="270"/>
      <c r="T148" s="260"/>
      <c r="U148" s="266"/>
    </row>
    <row r="149" spans="12:21" x14ac:dyDescent="0.25">
      <c r="L149" s="267"/>
      <c r="M149" s="272"/>
      <c r="N149" s="260"/>
      <c r="O149" s="260"/>
      <c r="P149" s="260"/>
      <c r="Q149" s="260"/>
      <c r="R149" s="260"/>
      <c r="S149" s="270"/>
      <c r="T149" s="260"/>
      <c r="U149" s="266"/>
    </row>
    <row r="150" spans="12:21" x14ac:dyDescent="0.25">
      <c r="L150" s="267"/>
      <c r="M150" s="272"/>
      <c r="N150" s="260"/>
      <c r="O150" s="260"/>
      <c r="P150" s="260"/>
      <c r="Q150" s="260"/>
      <c r="R150" s="260"/>
      <c r="S150" s="270"/>
      <c r="T150" s="260"/>
      <c r="U150" s="266"/>
    </row>
    <row r="151" spans="12:21" x14ac:dyDescent="0.25">
      <c r="L151" s="267"/>
      <c r="M151" s="272"/>
      <c r="N151" s="260"/>
      <c r="O151" s="260"/>
      <c r="P151" s="260"/>
      <c r="Q151" s="260"/>
      <c r="R151" s="260"/>
      <c r="S151" s="270"/>
      <c r="T151" s="260"/>
      <c r="U151" s="266"/>
    </row>
    <row r="152" spans="12:21" x14ac:dyDescent="0.25">
      <c r="L152" s="267"/>
      <c r="M152" s="272"/>
      <c r="N152" s="260"/>
      <c r="O152" s="260"/>
      <c r="P152" s="260"/>
      <c r="Q152" s="260"/>
      <c r="R152" s="260"/>
      <c r="S152" s="270"/>
      <c r="T152" s="260"/>
      <c r="U152" s="266"/>
    </row>
    <row r="153" spans="12:21" x14ac:dyDescent="0.25">
      <c r="L153" s="267"/>
      <c r="M153" s="272"/>
      <c r="N153" s="260"/>
      <c r="O153" s="260"/>
      <c r="P153" s="260"/>
      <c r="Q153" s="260"/>
      <c r="R153" s="260"/>
      <c r="S153" s="270"/>
      <c r="T153" s="260"/>
      <c r="U153" s="266"/>
    </row>
    <row r="154" spans="12:21" x14ac:dyDescent="0.25">
      <c r="L154" s="267"/>
      <c r="M154" s="272"/>
      <c r="N154" s="260"/>
      <c r="O154" s="260"/>
      <c r="P154" s="260"/>
      <c r="Q154" s="260"/>
      <c r="R154" s="260"/>
      <c r="S154" s="270"/>
      <c r="T154" s="260"/>
      <c r="U154" s="266"/>
    </row>
    <row r="155" spans="12:21" x14ac:dyDescent="0.25">
      <c r="L155" s="267"/>
      <c r="M155" s="272"/>
      <c r="N155" s="260"/>
      <c r="O155" s="260"/>
      <c r="P155" s="260"/>
      <c r="Q155" s="260"/>
      <c r="R155" s="260"/>
      <c r="S155" s="270"/>
      <c r="T155" s="260"/>
      <c r="U155" s="266"/>
    </row>
    <row r="156" spans="12:21" x14ac:dyDescent="0.25">
      <c r="L156" s="267"/>
      <c r="M156" s="272"/>
      <c r="N156" s="260"/>
      <c r="O156" s="260"/>
      <c r="P156" s="260"/>
      <c r="Q156" s="260"/>
      <c r="R156" s="260"/>
      <c r="S156" s="270"/>
      <c r="T156" s="260"/>
      <c r="U156" s="266"/>
    </row>
    <row r="157" spans="12:21" x14ac:dyDescent="0.25">
      <c r="L157" s="267"/>
      <c r="M157" s="272"/>
      <c r="N157" s="260"/>
      <c r="O157" s="260"/>
      <c r="P157" s="260"/>
      <c r="Q157" s="260"/>
      <c r="R157" s="260"/>
      <c r="S157" s="270"/>
      <c r="T157" s="260"/>
      <c r="U157" s="266"/>
    </row>
    <row r="158" spans="12:21" x14ac:dyDescent="0.25">
      <c r="L158" s="267"/>
      <c r="M158" s="272"/>
      <c r="N158" s="260"/>
      <c r="O158" s="260"/>
      <c r="P158" s="260"/>
      <c r="Q158" s="260"/>
      <c r="R158" s="260"/>
      <c r="S158" s="270"/>
      <c r="T158" s="260"/>
      <c r="U158" s="266"/>
    </row>
    <row r="159" spans="12:21" x14ac:dyDescent="0.25">
      <c r="L159" s="267"/>
      <c r="M159" s="272"/>
      <c r="N159" s="260"/>
      <c r="O159" s="260"/>
      <c r="P159" s="260"/>
      <c r="Q159" s="260"/>
      <c r="R159" s="260"/>
      <c r="S159" s="270"/>
      <c r="T159" s="260"/>
      <c r="U159" s="266"/>
    </row>
    <row r="160" spans="12:21" x14ac:dyDescent="0.25">
      <c r="L160" s="267"/>
      <c r="M160" s="272"/>
      <c r="N160" s="260"/>
      <c r="O160" s="260"/>
      <c r="P160" s="260"/>
      <c r="Q160" s="260"/>
      <c r="R160" s="260"/>
      <c r="S160" s="270"/>
      <c r="T160" s="260"/>
      <c r="U160" s="266"/>
    </row>
    <row r="161" spans="12:21" x14ac:dyDescent="0.25">
      <c r="L161" s="267"/>
      <c r="M161" s="272"/>
      <c r="N161" s="260"/>
      <c r="O161" s="260"/>
      <c r="P161" s="260"/>
      <c r="Q161" s="260"/>
      <c r="R161" s="260"/>
      <c r="S161" s="270"/>
      <c r="T161" s="260"/>
      <c r="U161" s="266"/>
    </row>
    <row r="162" spans="12:21" x14ac:dyDescent="0.25">
      <c r="L162" s="267"/>
      <c r="M162" s="272"/>
      <c r="N162" s="260"/>
      <c r="O162" s="260"/>
      <c r="P162" s="260"/>
      <c r="Q162" s="260"/>
      <c r="R162" s="260"/>
      <c r="S162" s="270"/>
      <c r="T162" s="260"/>
      <c r="U162" s="266"/>
    </row>
    <row r="163" spans="12:21" x14ac:dyDescent="0.25">
      <c r="L163" s="267"/>
      <c r="M163" s="272"/>
      <c r="N163" s="260"/>
      <c r="O163" s="260"/>
      <c r="P163" s="260"/>
      <c r="Q163" s="260"/>
      <c r="R163" s="260"/>
      <c r="S163" s="270"/>
      <c r="T163" s="260"/>
      <c r="U163" s="266"/>
    </row>
    <row r="164" spans="12:21" x14ac:dyDescent="0.25">
      <c r="L164" s="267"/>
      <c r="M164" s="272"/>
      <c r="N164" s="260"/>
      <c r="O164" s="260"/>
      <c r="P164" s="260"/>
      <c r="Q164" s="260"/>
      <c r="R164" s="260"/>
      <c r="S164" s="270"/>
      <c r="T164" s="260"/>
      <c r="U164" s="266"/>
    </row>
    <row r="165" spans="12:21" x14ac:dyDescent="0.25">
      <c r="L165" s="267"/>
      <c r="M165" s="272"/>
      <c r="N165" s="260"/>
      <c r="O165" s="260"/>
      <c r="P165" s="260"/>
      <c r="Q165" s="260"/>
      <c r="R165" s="260"/>
      <c r="S165" s="270"/>
      <c r="T165" s="260"/>
      <c r="U165" s="266"/>
    </row>
    <row r="166" spans="12:21" x14ac:dyDescent="0.25">
      <c r="L166" s="267"/>
      <c r="M166" s="272"/>
      <c r="N166" s="260"/>
      <c r="O166" s="260"/>
      <c r="P166" s="260"/>
      <c r="Q166" s="260"/>
      <c r="R166" s="260"/>
      <c r="S166" s="270"/>
      <c r="T166" s="260"/>
      <c r="U166" s="266"/>
    </row>
    <row r="167" spans="12:21" x14ac:dyDescent="0.25">
      <c r="L167" s="267"/>
      <c r="M167" s="272"/>
      <c r="N167" s="260"/>
      <c r="O167" s="260"/>
      <c r="P167" s="260"/>
      <c r="Q167" s="260"/>
      <c r="R167" s="260"/>
      <c r="S167" s="270"/>
      <c r="T167" s="260"/>
      <c r="U167" s="266"/>
    </row>
    <row r="168" spans="12:21" x14ac:dyDescent="0.25">
      <c r="L168" s="267"/>
      <c r="M168" s="272"/>
      <c r="N168" s="260"/>
      <c r="O168" s="260"/>
      <c r="P168" s="260"/>
      <c r="Q168" s="260"/>
      <c r="R168" s="260"/>
      <c r="S168" s="270"/>
      <c r="T168" s="260"/>
      <c r="U168" s="266"/>
    </row>
    <row r="169" spans="12:21" x14ac:dyDescent="0.25">
      <c r="L169" s="267"/>
      <c r="M169" s="272"/>
      <c r="N169" s="260"/>
      <c r="O169" s="260"/>
      <c r="P169" s="260"/>
      <c r="Q169" s="260"/>
      <c r="R169" s="260"/>
      <c r="S169" s="270"/>
      <c r="T169" s="260"/>
      <c r="U169" s="266"/>
    </row>
    <row r="170" spans="12:21" x14ac:dyDescent="0.25">
      <c r="L170" s="267"/>
      <c r="M170" s="272"/>
      <c r="N170" s="260"/>
      <c r="O170" s="260"/>
      <c r="P170" s="260"/>
      <c r="Q170" s="260"/>
      <c r="R170" s="260"/>
      <c r="S170" s="270"/>
      <c r="T170" s="260"/>
      <c r="U170" s="266"/>
    </row>
    <row r="171" spans="12:21" x14ac:dyDescent="0.25">
      <c r="L171" s="267"/>
      <c r="M171" s="272"/>
      <c r="N171" s="260"/>
      <c r="O171" s="260"/>
      <c r="P171" s="260"/>
      <c r="Q171" s="260"/>
      <c r="R171" s="260"/>
      <c r="S171" s="270"/>
      <c r="T171" s="260"/>
      <c r="U171" s="266"/>
    </row>
    <row r="172" spans="12:21" x14ac:dyDescent="0.25">
      <c r="L172" s="267"/>
      <c r="M172" s="272"/>
      <c r="N172" s="260"/>
      <c r="O172" s="260"/>
      <c r="P172" s="260"/>
      <c r="Q172" s="260"/>
      <c r="R172" s="260"/>
      <c r="S172" s="270"/>
      <c r="T172" s="260"/>
      <c r="U172" s="266"/>
    </row>
    <row r="173" spans="12:21" x14ac:dyDescent="0.25">
      <c r="L173" s="267"/>
      <c r="M173" s="272"/>
      <c r="N173" s="260"/>
      <c r="O173" s="260"/>
      <c r="P173" s="260"/>
      <c r="Q173" s="260"/>
      <c r="R173" s="260"/>
      <c r="S173" s="270"/>
      <c r="T173" s="260"/>
      <c r="U173" s="266"/>
    </row>
    <row r="174" spans="12:21" x14ac:dyDescent="0.25">
      <c r="L174" s="267"/>
      <c r="M174" s="272"/>
      <c r="N174" s="260"/>
      <c r="O174" s="260"/>
      <c r="P174" s="260"/>
      <c r="Q174" s="260"/>
      <c r="R174" s="260"/>
      <c r="S174" s="270"/>
      <c r="T174" s="260"/>
      <c r="U174" s="266"/>
    </row>
    <row r="175" spans="12:21" x14ac:dyDescent="0.25">
      <c r="L175" s="267"/>
      <c r="M175" s="272"/>
      <c r="N175" s="260"/>
      <c r="O175" s="260"/>
      <c r="P175" s="260"/>
      <c r="Q175" s="260"/>
      <c r="R175" s="260"/>
      <c r="S175" s="270"/>
      <c r="T175" s="260"/>
      <c r="U175" s="266"/>
    </row>
    <row r="176" spans="12:21" x14ac:dyDescent="0.25">
      <c r="L176" s="267"/>
      <c r="M176" s="272"/>
      <c r="N176" s="260"/>
      <c r="O176" s="260"/>
      <c r="P176" s="260"/>
      <c r="Q176" s="260"/>
      <c r="R176" s="260"/>
      <c r="S176" s="270"/>
      <c r="T176" s="260"/>
      <c r="U176" s="266"/>
    </row>
    <row r="177" spans="12:21" x14ac:dyDescent="0.25">
      <c r="L177" s="267"/>
      <c r="M177" s="272"/>
      <c r="N177" s="260"/>
      <c r="O177" s="260"/>
      <c r="P177" s="260"/>
      <c r="Q177" s="260"/>
      <c r="R177" s="260"/>
      <c r="S177" s="270"/>
      <c r="T177" s="260"/>
      <c r="U177" s="266"/>
    </row>
    <row r="178" spans="12:21" x14ac:dyDescent="0.25">
      <c r="L178" s="267"/>
      <c r="M178" s="272"/>
      <c r="N178" s="260"/>
      <c r="O178" s="260"/>
      <c r="P178" s="260"/>
      <c r="Q178" s="260"/>
      <c r="R178" s="260"/>
      <c r="S178" s="270"/>
      <c r="T178" s="260"/>
      <c r="U178" s="266"/>
    </row>
    <row r="179" spans="12:21" x14ac:dyDescent="0.25">
      <c r="L179" s="267"/>
      <c r="M179" s="272"/>
      <c r="N179" s="260"/>
      <c r="O179" s="260"/>
      <c r="P179" s="260"/>
      <c r="Q179" s="260"/>
      <c r="R179" s="260"/>
      <c r="S179" s="270"/>
      <c r="T179" s="260"/>
      <c r="U179" s="266"/>
    </row>
    <row r="180" spans="12:21" x14ac:dyDescent="0.25">
      <c r="L180" s="267"/>
      <c r="M180" s="272"/>
      <c r="N180" s="260"/>
      <c r="O180" s="260"/>
      <c r="P180" s="260"/>
      <c r="Q180" s="260"/>
      <c r="R180" s="260"/>
      <c r="S180" s="270"/>
      <c r="T180" s="260"/>
      <c r="U180" s="266"/>
    </row>
    <row r="181" spans="12:21" x14ac:dyDescent="0.25">
      <c r="L181" s="267"/>
      <c r="M181" s="272"/>
      <c r="N181" s="260"/>
      <c r="O181" s="260"/>
      <c r="P181" s="260"/>
      <c r="Q181" s="260"/>
      <c r="R181" s="260"/>
      <c r="S181" s="270"/>
      <c r="T181" s="260"/>
      <c r="U181" s="266"/>
    </row>
    <row r="182" spans="12:21" x14ac:dyDescent="0.25">
      <c r="L182" s="267"/>
      <c r="M182" s="272"/>
      <c r="N182" s="260"/>
      <c r="O182" s="260"/>
      <c r="P182" s="260"/>
      <c r="Q182" s="260"/>
      <c r="R182" s="260"/>
      <c r="S182" s="270"/>
      <c r="T182" s="260"/>
      <c r="U182" s="266"/>
    </row>
    <row r="183" spans="12:21" x14ac:dyDescent="0.25">
      <c r="L183" s="267"/>
      <c r="M183" s="272"/>
      <c r="N183" s="260"/>
      <c r="O183" s="260"/>
      <c r="P183" s="260"/>
      <c r="Q183" s="260"/>
      <c r="R183" s="260"/>
      <c r="S183" s="270"/>
      <c r="T183" s="260"/>
      <c r="U183" s="266"/>
    </row>
    <row r="184" spans="12:21" x14ac:dyDescent="0.25">
      <c r="L184" s="267"/>
      <c r="M184" s="272"/>
      <c r="N184" s="260"/>
      <c r="O184" s="260"/>
      <c r="P184" s="260"/>
      <c r="Q184" s="260"/>
      <c r="R184" s="260"/>
      <c r="S184" s="270"/>
      <c r="T184" s="260"/>
      <c r="U184" s="266"/>
    </row>
    <row r="185" spans="12:21" x14ac:dyDescent="0.25">
      <c r="L185" s="267"/>
      <c r="M185" s="272"/>
      <c r="N185" s="260"/>
      <c r="O185" s="260"/>
      <c r="P185" s="260"/>
      <c r="Q185" s="260"/>
      <c r="R185" s="260"/>
      <c r="S185" s="270"/>
      <c r="T185" s="260"/>
      <c r="U185" s="266"/>
    </row>
    <row r="186" spans="12:21" x14ac:dyDescent="0.25">
      <c r="L186" s="267"/>
      <c r="M186" s="272"/>
      <c r="N186" s="260"/>
      <c r="O186" s="260"/>
      <c r="P186" s="260"/>
      <c r="Q186" s="260"/>
      <c r="R186" s="260"/>
      <c r="S186" s="270"/>
      <c r="T186" s="260"/>
      <c r="U186" s="266"/>
    </row>
    <row r="187" spans="12:21" x14ac:dyDescent="0.25">
      <c r="L187" s="267"/>
      <c r="M187" s="272"/>
      <c r="N187" s="260"/>
      <c r="O187" s="260"/>
      <c r="P187" s="260"/>
      <c r="Q187" s="260"/>
      <c r="R187" s="260"/>
      <c r="S187" s="270"/>
      <c r="T187" s="260"/>
      <c r="U187" s="266"/>
    </row>
    <row r="188" spans="12:21" x14ac:dyDescent="0.25">
      <c r="L188" s="267"/>
      <c r="M188" s="272"/>
      <c r="N188" s="260"/>
      <c r="O188" s="260"/>
      <c r="P188" s="260"/>
      <c r="Q188" s="260"/>
      <c r="R188" s="260"/>
      <c r="S188" s="270"/>
      <c r="T188" s="260"/>
      <c r="U188" s="266"/>
    </row>
    <row r="189" spans="12:21" x14ac:dyDescent="0.25">
      <c r="L189" s="267"/>
      <c r="M189" s="272"/>
      <c r="N189" s="260"/>
      <c r="O189" s="260"/>
      <c r="P189" s="260"/>
      <c r="Q189" s="260"/>
      <c r="R189" s="260"/>
      <c r="S189" s="270"/>
      <c r="T189" s="260"/>
      <c r="U189" s="266"/>
    </row>
    <row r="190" spans="12:21" x14ac:dyDescent="0.25">
      <c r="L190" s="267"/>
      <c r="M190" s="272"/>
      <c r="N190" s="260"/>
      <c r="O190" s="260"/>
      <c r="P190" s="260"/>
      <c r="Q190" s="260"/>
      <c r="R190" s="260"/>
      <c r="S190" s="270"/>
      <c r="T190" s="260"/>
      <c r="U190" s="266"/>
    </row>
    <row r="191" spans="12:21" x14ac:dyDescent="0.25">
      <c r="L191" s="267"/>
      <c r="M191" s="272"/>
      <c r="N191" s="260"/>
      <c r="O191" s="260"/>
      <c r="P191" s="260"/>
      <c r="Q191" s="260"/>
      <c r="R191" s="260"/>
      <c r="S191" s="270"/>
      <c r="T191" s="260"/>
      <c r="U191" s="266"/>
    </row>
    <row r="192" spans="12:21" x14ac:dyDescent="0.25">
      <c r="L192" s="267"/>
      <c r="M192" s="272"/>
      <c r="N192" s="260"/>
      <c r="O192" s="260"/>
      <c r="P192" s="260"/>
      <c r="Q192" s="260"/>
      <c r="R192" s="260"/>
      <c r="S192" s="270"/>
      <c r="T192" s="260"/>
      <c r="U192" s="266"/>
    </row>
    <row r="193" spans="12:21" x14ac:dyDescent="0.25">
      <c r="L193" s="267"/>
      <c r="M193" s="272"/>
      <c r="N193" s="260"/>
      <c r="O193" s="260"/>
      <c r="P193" s="260"/>
      <c r="Q193" s="260"/>
      <c r="R193" s="260"/>
      <c r="S193" s="270"/>
      <c r="T193" s="260"/>
      <c r="U193" s="266"/>
    </row>
    <row r="194" spans="12:21" x14ac:dyDescent="0.25">
      <c r="L194" s="267"/>
      <c r="M194" s="272"/>
      <c r="N194" s="260"/>
      <c r="O194" s="260"/>
      <c r="P194" s="260"/>
      <c r="Q194" s="260"/>
      <c r="R194" s="260"/>
      <c r="S194" s="270"/>
      <c r="T194" s="260"/>
      <c r="U194" s="266"/>
    </row>
    <row r="195" spans="12:21" x14ac:dyDescent="0.25">
      <c r="L195" s="267"/>
      <c r="M195" s="272"/>
      <c r="N195" s="260"/>
      <c r="O195" s="260"/>
      <c r="P195" s="260"/>
      <c r="Q195" s="260"/>
      <c r="R195" s="260"/>
      <c r="S195" s="270"/>
      <c r="T195" s="260"/>
      <c r="U195" s="266"/>
    </row>
    <row r="196" spans="12:21" x14ac:dyDescent="0.25">
      <c r="L196" s="267"/>
      <c r="M196" s="272"/>
      <c r="N196" s="260"/>
      <c r="O196" s="260"/>
      <c r="P196" s="260"/>
      <c r="Q196" s="260"/>
      <c r="R196" s="260"/>
      <c r="S196" s="270"/>
      <c r="T196" s="260"/>
      <c r="U196" s="266"/>
    </row>
    <row r="197" spans="12:21" x14ac:dyDescent="0.25">
      <c r="L197" s="267"/>
      <c r="M197" s="272"/>
      <c r="N197" s="260"/>
      <c r="O197" s="260"/>
      <c r="P197" s="260"/>
      <c r="Q197" s="260"/>
      <c r="R197" s="260"/>
      <c r="S197" s="270"/>
      <c r="T197" s="260"/>
      <c r="U197" s="266"/>
    </row>
    <row r="198" spans="12:21" x14ac:dyDescent="0.25">
      <c r="L198" s="267"/>
      <c r="M198" s="272"/>
      <c r="N198" s="260"/>
      <c r="O198" s="260"/>
      <c r="P198" s="260"/>
      <c r="Q198" s="260"/>
      <c r="R198" s="260"/>
      <c r="S198" s="270"/>
      <c r="T198" s="260"/>
      <c r="U198" s="266"/>
    </row>
    <row r="199" spans="12:21" x14ac:dyDescent="0.25">
      <c r="L199" s="267"/>
      <c r="M199" s="272"/>
      <c r="N199" s="260"/>
      <c r="O199" s="260"/>
      <c r="P199" s="260"/>
      <c r="Q199" s="260"/>
      <c r="R199" s="260"/>
      <c r="S199" s="270"/>
      <c r="T199" s="260"/>
      <c r="U199" s="266"/>
    </row>
    <row r="200" spans="12:21" x14ac:dyDescent="0.25">
      <c r="L200" s="267"/>
      <c r="M200" s="272"/>
      <c r="N200" s="260"/>
      <c r="O200" s="260"/>
      <c r="P200" s="260"/>
      <c r="Q200" s="260"/>
      <c r="R200" s="260"/>
      <c r="S200" s="270"/>
      <c r="T200" s="260"/>
      <c r="U200" s="266"/>
    </row>
    <row r="201" spans="12:21" x14ac:dyDescent="0.25">
      <c r="L201" s="267"/>
      <c r="M201" s="272"/>
      <c r="N201" s="260"/>
      <c r="O201" s="260"/>
      <c r="P201" s="260"/>
      <c r="Q201" s="260"/>
      <c r="R201" s="260"/>
      <c r="S201" s="270"/>
      <c r="T201" s="260"/>
      <c r="U201" s="266"/>
    </row>
    <row r="202" spans="12:21" x14ac:dyDescent="0.25">
      <c r="L202" s="267"/>
      <c r="M202" s="272"/>
      <c r="N202" s="260"/>
      <c r="O202" s="260"/>
      <c r="P202" s="260"/>
      <c r="Q202" s="260"/>
      <c r="R202" s="260"/>
      <c r="S202" s="270"/>
      <c r="T202" s="260"/>
      <c r="U202" s="266"/>
    </row>
    <row r="203" spans="12:21" x14ac:dyDescent="0.25">
      <c r="L203" s="267"/>
      <c r="M203" s="272"/>
      <c r="N203" s="260"/>
      <c r="O203" s="260"/>
      <c r="P203" s="260"/>
      <c r="Q203" s="260"/>
      <c r="R203" s="260"/>
      <c r="S203" s="270"/>
      <c r="T203" s="260"/>
      <c r="U203" s="266"/>
    </row>
    <row r="204" spans="12:21" x14ac:dyDescent="0.25">
      <c r="L204" s="267"/>
      <c r="M204" s="272"/>
      <c r="N204" s="260"/>
      <c r="O204" s="260"/>
      <c r="P204" s="260"/>
      <c r="Q204" s="260"/>
      <c r="R204" s="260"/>
      <c r="S204" s="270"/>
      <c r="T204" s="260"/>
      <c r="U204" s="266"/>
    </row>
    <row r="205" spans="12:21" x14ac:dyDescent="0.25">
      <c r="L205" s="267"/>
      <c r="M205" s="272"/>
      <c r="N205" s="260"/>
      <c r="O205" s="260"/>
      <c r="P205" s="260"/>
      <c r="Q205" s="260"/>
      <c r="R205" s="260"/>
      <c r="S205" s="270"/>
      <c r="T205" s="260"/>
      <c r="U205" s="266"/>
    </row>
    <row r="206" spans="12:21" x14ac:dyDescent="0.25">
      <c r="L206" s="267"/>
      <c r="M206" s="272"/>
      <c r="N206" s="260"/>
      <c r="O206" s="260"/>
      <c r="P206" s="260"/>
      <c r="Q206" s="260"/>
      <c r="R206" s="260"/>
      <c r="S206" s="270"/>
      <c r="T206" s="260"/>
      <c r="U206" s="266"/>
    </row>
    <row r="207" spans="12:21" x14ac:dyDescent="0.25">
      <c r="L207" s="267"/>
      <c r="M207" s="272"/>
      <c r="N207" s="260"/>
      <c r="O207" s="260"/>
      <c r="P207" s="260"/>
      <c r="Q207" s="260"/>
      <c r="R207" s="260"/>
      <c r="S207" s="270"/>
      <c r="T207" s="260"/>
      <c r="U207" s="266"/>
    </row>
    <row r="208" spans="12:21" x14ac:dyDescent="0.25">
      <c r="L208" s="267"/>
      <c r="M208" s="272"/>
      <c r="N208" s="260"/>
      <c r="O208" s="260"/>
      <c r="P208" s="260"/>
      <c r="Q208" s="260"/>
      <c r="R208" s="260"/>
      <c r="S208" s="270"/>
      <c r="T208" s="260"/>
      <c r="U208" s="266"/>
    </row>
    <row r="209" spans="12:21" x14ac:dyDescent="0.25">
      <c r="L209" s="267"/>
      <c r="M209" s="272"/>
      <c r="N209" s="260"/>
      <c r="O209" s="260"/>
      <c r="P209" s="260"/>
      <c r="Q209" s="260"/>
      <c r="R209" s="260"/>
      <c r="S209" s="270"/>
      <c r="T209" s="260"/>
      <c r="U209" s="266"/>
    </row>
    <row r="210" spans="12:21" x14ac:dyDescent="0.25">
      <c r="L210" s="267"/>
      <c r="M210" s="272"/>
      <c r="N210" s="260"/>
      <c r="O210" s="260"/>
      <c r="P210" s="260"/>
      <c r="Q210" s="260"/>
      <c r="R210" s="260"/>
      <c r="S210" s="270"/>
      <c r="T210" s="260"/>
      <c r="U210" s="266"/>
    </row>
    <row r="211" spans="12:21" x14ac:dyDescent="0.25">
      <c r="L211" s="267"/>
      <c r="M211" s="272"/>
      <c r="N211" s="260"/>
      <c r="O211" s="260"/>
      <c r="P211" s="260"/>
      <c r="Q211" s="260"/>
      <c r="R211" s="260"/>
      <c r="S211" s="270"/>
      <c r="T211" s="260"/>
      <c r="U211" s="266"/>
    </row>
    <row r="212" spans="12:21" x14ac:dyDescent="0.25">
      <c r="L212" s="267"/>
      <c r="M212" s="272"/>
      <c r="N212" s="260"/>
      <c r="O212" s="260"/>
      <c r="P212" s="260"/>
      <c r="Q212" s="260"/>
      <c r="R212" s="260"/>
      <c r="S212" s="270"/>
      <c r="T212" s="260"/>
      <c r="U212" s="266"/>
    </row>
    <row r="213" spans="12:21" x14ac:dyDescent="0.25">
      <c r="L213" s="267"/>
      <c r="M213" s="272"/>
      <c r="N213" s="260"/>
      <c r="O213" s="260"/>
      <c r="P213" s="260"/>
      <c r="Q213" s="260"/>
      <c r="R213" s="260"/>
      <c r="S213" s="270"/>
      <c r="T213" s="260"/>
      <c r="U213" s="266"/>
    </row>
    <row r="214" spans="12:21" x14ac:dyDescent="0.25">
      <c r="L214" s="267"/>
      <c r="M214" s="272"/>
      <c r="N214" s="260"/>
      <c r="O214" s="260"/>
      <c r="P214" s="260"/>
      <c r="Q214" s="260"/>
      <c r="R214" s="260"/>
      <c r="S214" s="270"/>
      <c r="T214" s="260"/>
      <c r="U214" s="266"/>
    </row>
    <row r="215" spans="12:21" x14ac:dyDescent="0.25">
      <c r="L215" s="267"/>
      <c r="M215" s="272"/>
      <c r="N215" s="260"/>
      <c r="O215" s="260"/>
      <c r="P215" s="260"/>
      <c r="Q215" s="260"/>
      <c r="R215" s="260"/>
      <c r="S215" s="270"/>
      <c r="T215" s="260"/>
      <c r="U215" s="266"/>
    </row>
    <row r="216" spans="12:21" x14ac:dyDescent="0.25">
      <c r="L216" s="267"/>
      <c r="M216" s="272"/>
      <c r="N216" s="260"/>
      <c r="O216" s="260"/>
      <c r="P216" s="260"/>
      <c r="Q216" s="260"/>
      <c r="R216" s="260"/>
      <c r="S216" s="270"/>
      <c r="T216" s="260"/>
      <c r="U216" s="266"/>
    </row>
    <row r="217" spans="12:21" x14ac:dyDescent="0.25">
      <c r="L217" s="267"/>
      <c r="M217" s="272"/>
      <c r="N217" s="260"/>
      <c r="O217" s="260"/>
      <c r="P217" s="260"/>
      <c r="Q217" s="260"/>
      <c r="R217" s="260"/>
      <c r="S217" s="270"/>
      <c r="T217" s="260"/>
      <c r="U217" s="266"/>
    </row>
    <row r="218" spans="12:21" x14ac:dyDescent="0.25">
      <c r="L218" s="267"/>
      <c r="M218" s="272"/>
      <c r="N218" s="260"/>
      <c r="O218" s="260"/>
      <c r="P218" s="260"/>
      <c r="Q218" s="260"/>
      <c r="R218" s="260"/>
      <c r="S218" s="270"/>
      <c r="T218" s="260"/>
      <c r="U218" s="266"/>
    </row>
    <row r="219" spans="12:21" x14ac:dyDescent="0.25">
      <c r="L219" s="267"/>
      <c r="M219" s="272"/>
      <c r="N219" s="260"/>
      <c r="O219" s="260"/>
      <c r="P219" s="260"/>
      <c r="Q219" s="260"/>
      <c r="R219" s="260"/>
      <c r="S219" s="270"/>
      <c r="T219" s="260"/>
      <c r="U219" s="266"/>
    </row>
    <row r="220" spans="12:21" x14ac:dyDescent="0.25">
      <c r="L220" s="267"/>
      <c r="M220" s="272"/>
      <c r="N220" s="260"/>
      <c r="O220" s="260"/>
      <c r="P220" s="260"/>
      <c r="Q220" s="260"/>
      <c r="R220" s="260"/>
      <c r="S220" s="270"/>
      <c r="T220" s="260"/>
      <c r="U220" s="266"/>
    </row>
    <row r="221" spans="12:21" x14ac:dyDescent="0.25">
      <c r="L221" s="267"/>
      <c r="M221" s="272"/>
      <c r="N221" s="260"/>
      <c r="O221" s="260"/>
      <c r="P221" s="260"/>
      <c r="Q221" s="260"/>
      <c r="R221" s="260"/>
      <c r="S221" s="270"/>
      <c r="T221" s="260"/>
      <c r="U221" s="266"/>
    </row>
    <row r="222" spans="12:21" x14ac:dyDescent="0.25">
      <c r="L222" s="267"/>
      <c r="M222" s="272"/>
      <c r="N222" s="260"/>
      <c r="O222" s="260"/>
      <c r="P222" s="260"/>
      <c r="Q222" s="260"/>
      <c r="R222" s="260"/>
      <c r="S222" s="270"/>
      <c r="T222" s="260"/>
      <c r="U222" s="266"/>
    </row>
    <row r="223" spans="12:21" x14ac:dyDescent="0.25">
      <c r="L223" s="267"/>
      <c r="M223" s="272"/>
      <c r="N223" s="260"/>
      <c r="O223" s="260"/>
      <c r="P223" s="260"/>
      <c r="Q223" s="260"/>
      <c r="R223" s="260"/>
      <c r="S223" s="270"/>
      <c r="T223" s="260"/>
      <c r="U223" s="266"/>
    </row>
    <row r="224" spans="12:21" x14ac:dyDescent="0.25">
      <c r="L224" s="267"/>
      <c r="M224" s="272"/>
      <c r="N224" s="260"/>
      <c r="O224" s="260"/>
      <c r="P224" s="260"/>
      <c r="Q224" s="260"/>
      <c r="R224" s="260"/>
      <c r="S224" s="270"/>
      <c r="T224" s="260"/>
      <c r="U224" s="266"/>
    </row>
    <row r="225" spans="12:21" x14ac:dyDescent="0.25">
      <c r="L225" s="267"/>
      <c r="M225" s="272"/>
      <c r="N225" s="260"/>
      <c r="O225" s="260"/>
      <c r="P225" s="260"/>
      <c r="Q225" s="260"/>
      <c r="R225" s="260"/>
      <c r="S225" s="270"/>
      <c r="T225" s="260"/>
      <c r="U225" s="266"/>
    </row>
    <row r="226" spans="12:21" x14ac:dyDescent="0.25">
      <c r="L226" s="267"/>
      <c r="M226" s="272"/>
      <c r="N226" s="260"/>
      <c r="O226" s="260"/>
      <c r="P226" s="260"/>
      <c r="Q226" s="260"/>
      <c r="R226" s="260"/>
      <c r="S226" s="270"/>
      <c r="T226" s="260"/>
      <c r="U226" s="266"/>
    </row>
    <row r="227" spans="12:21" x14ac:dyDescent="0.25">
      <c r="L227" s="267"/>
      <c r="M227" s="272"/>
      <c r="N227" s="260"/>
      <c r="O227" s="260"/>
      <c r="P227" s="260"/>
      <c r="Q227" s="260"/>
      <c r="R227" s="260"/>
      <c r="S227" s="270"/>
      <c r="T227" s="260"/>
      <c r="U227" s="266"/>
    </row>
    <row r="228" spans="12:21" x14ac:dyDescent="0.25">
      <c r="L228" s="267"/>
      <c r="M228" s="272"/>
      <c r="N228" s="260"/>
      <c r="O228" s="260"/>
      <c r="P228" s="260"/>
      <c r="Q228" s="260"/>
      <c r="R228" s="260"/>
      <c r="S228" s="270"/>
      <c r="T228" s="260"/>
      <c r="U228" s="266"/>
    </row>
    <row r="229" spans="12:21" x14ac:dyDescent="0.25">
      <c r="L229" s="267"/>
      <c r="M229" s="272"/>
      <c r="N229" s="260"/>
      <c r="O229" s="260"/>
      <c r="P229" s="260"/>
      <c r="Q229" s="260"/>
      <c r="R229" s="260"/>
      <c r="S229" s="270"/>
      <c r="T229" s="260"/>
      <c r="U229" s="266"/>
    </row>
    <row r="230" spans="12:21" x14ac:dyDescent="0.25">
      <c r="L230" s="267"/>
      <c r="M230" s="272"/>
      <c r="N230" s="260"/>
      <c r="O230" s="260"/>
      <c r="P230" s="260"/>
      <c r="Q230" s="260"/>
      <c r="R230" s="260"/>
      <c r="S230" s="270"/>
      <c r="T230" s="260"/>
      <c r="U230" s="266"/>
    </row>
    <row r="231" spans="12:21" x14ac:dyDescent="0.25">
      <c r="L231" s="267"/>
      <c r="M231" s="272"/>
      <c r="N231" s="260"/>
      <c r="O231" s="260"/>
      <c r="P231" s="260"/>
      <c r="Q231" s="260"/>
      <c r="R231" s="260"/>
      <c r="S231" s="270"/>
      <c r="T231" s="260"/>
      <c r="U231" s="266"/>
    </row>
    <row r="232" spans="12:21" x14ac:dyDescent="0.25">
      <c r="L232" s="267"/>
      <c r="M232" s="272"/>
      <c r="N232" s="260"/>
      <c r="O232" s="260"/>
      <c r="P232" s="260"/>
      <c r="Q232" s="260"/>
      <c r="R232" s="260"/>
      <c r="S232" s="270"/>
      <c r="T232" s="260"/>
      <c r="U232" s="266"/>
    </row>
    <row r="233" spans="12:21" x14ac:dyDescent="0.25">
      <c r="L233" s="267"/>
      <c r="M233" s="272"/>
      <c r="N233" s="260"/>
      <c r="O233" s="260"/>
      <c r="P233" s="260"/>
      <c r="Q233" s="260"/>
      <c r="R233" s="260"/>
      <c r="S233" s="270"/>
      <c r="T233" s="260"/>
      <c r="U233" s="266"/>
    </row>
    <row r="234" spans="12:21" x14ac:dyDescent="0.25">
      <c r="L234" s="267"/>
      <c r="M234" s="272"/>
      <c r="N234" s="260"/>
      <c r="O234" s="260"/>
      <c r="P234" s="260"/>
      <c r="Q234" s="260"/>
      <c r="R234" s="260"/>
      <c r="S234" s="270"/>
      <c r="T234" s="260"/>
      <c r="U234" s="266"/>
    </row>
    <row r="235" spans="12:21" x14ac:dyDescent="0.25">
      <c r="L235" s="267"/>
      <c r="M235" s="272"/>
      <c r="N235" s="260"/>
      <c r="O235" s="260"/>
      <c r="P235" s="260"/>
      <c r="Q235" s="260"/>
      <c r="R235" s="260"/>
      <c r="S235" s="270"/>
      <c r="T235" s="260"/>
      <c r="U235" s="266"/>
    </row>
    <row r="236" spans="12:21" x14ac:dyDescent="0.25">
      <c r="L236" s="267"/>
      <c r="M236" s="272"/>
      <c r="N236" s="260"/>
      <c r="O236" s="260"/>
      <c r="P236" s="260"/>
      <c r="Q236" s="260"/>
      <c r="R236" s="260"/>
      <c r="S236" s="270"/>
      <c r="T236" s="260"/>
      <c r="U236" s="266"/>
    </row>
    <row r="237" spans="12:21" x14ac:dyDescent="0.25">
      <c r="L237" s="267"/>
      <c r="M237" s="272"/>
      <c r="N237" s="260"/>
      <c r="O237" s="260"/>
      <c r="P237" s="260"/>
      <c r="Q237" s="260"/>
      <c r="R237" s="260"/>
      <c r="S237" s="270"/>
      <c r="T237" s="260"/>
      <c r="U237" s="266"/>
    </row>
    <row r="238" spans="12:21" x14ac:dyDescent="0.25">
      <c r="L238" s="267"/>
      <c r="M238" s="272"/>
      <c r="N238" s="260"/>
      <c r="O238" s="260"/>
      <c r="P238" s="260"/>
      <c r="Q238" s="260"/>
      <c r="R238" s="260"/>
      <c r="S238" s="270"/>
      <c r="T238" s="260"/>
      <c r="U238" s="266"/>
    </row>
    <row r="239" spans="12:21" x14ac:dyDescent="0.25">
      <c r="L239" s="267"/>
      <c r="M239" s="272"/>
      <c r="N239" s="260"/>
      <c r="O239" s="260"/>
      <c r="P239" s="260"/>
      <c r="Q239" s="260"/>
      <c r="R239" s="260"/>
      <c r="S239" s="270"/>
      <c r="T239" s="260"/>
      <c r="U239" s="266"/>
    </row>
    <row r="240" spans="12:21" x14ac:dyDescent="0.25">
      <c r="L240" s="267"/>
      <c r="M240" s="272"/>
      <c r="N240" s="260"/>
      <c r="O240" s="260"/>
      <c r="P240" s="260"/>
      <c r="Q240" s="260"/>
      <c r="R240" s="260"/>
      <c r="S240" s="270"/>
      <c r="T240" s="260"/>
      <c r="U240" s="266"/>
    </row>
    <row r="241" spans="12:21" x14ac:dyDescent="0.25">
      <c r="L241" s="267"/>
      <c r="M241" s="272"/>
      <c r="N241" s="260"/>
      <c r="O241" s="260"/>
      <c r="P241" s="260"/>
      <c r="Q241" s="260"/>
      <c r="R241" s="260"/>
      <c r="S241" s="270"/>
      <c r="T241" s="260"/>
      <c r="U241" s="266"/>
    </row>
    <row r="242" spans="12:21" x14ac:dyDescent="0.25">
      <c r="L242" s="267"/>
      <c r="M242" s="272"/>
      <c r="N242" s="260"/>
      <c r="O242" s="260"/>
      <c r="P242" s="260"/>
      <c r="Q242" s="260"/>
      <c r="R242" s="260"/>
      <c r="S242" s="270"/>
      <c r="T242" s="260"/>
      <c r="U242" s="266"/>
    </row>
    <row r="243" spans="12:21" x14ac:dyDescent="0.25">
      <c r="L243" s="267"/>
      <c r="M243" s="272"/>
      <c r="N243" s="260"/>
      <c r="O243" s="260"/>
      <c r="P243" s="260"/>
      <c r="Q243" s="260"/>
      <c r="R243" s="260"/>
      <c r="S243" s="270"/>
      <c r="T243" s="260"/>
      <c r="U243" s="266"/>
    </row>
    <row r="244" spans="12:21" x14ac:dyDescent="0.25">
      <c r="L244" s="267"/>
      <c r="M244" s="272"/>
      <c r="N244" s="260"/>
      <c r="O244" s="260"/>
      <c r="P244" s="260"/>
      <c r="Q244" s="260"/>
      <c r="R244" s="260"/>
      <c r="S244" s="270"/>
      <c r="T244" s="260"/>
      <c r="U244" s="266"/>
    </row>
    <row r="245" spans="12:21" x14ac:dyDescent="0.25">
      <c r="L245" s="267"/>
      <c r="M245" s="272"/>
      <c r="N245" s="260"/>
      <c r="O245" s="260"/>
      <c r="P245" s="260"/>
      <c r="Q245" s="260"/>
      <c r="R245" s="260"/>
      <c r="S245" s="270"/>
      <c r="T245" s="260"/>
      <c r="U245" s="266"/>
    </row>
    <row r="246" spans="12:21" x14ac:dyDescent="0.25">
      <c r="L246" s="267"/>
      <c r="M246" s="272"/>
      <c r="N246" s="260"/>
      <c r="O246" s="260"/>
      <c r="P246" s="260"/>
      <c r="Q246" s="260"/>
      <c r="R246" s="260"/>
      <c r="S246" s="270"/>
      <c r="T246" s="260"/>
      <c r="U246" s="266"/>
    </row>
    <row r="247" spans="12:21" x14ac:dyDescent="0.25">
      <c r="L247" s="267"/>
      <c r="M247" s="272"/>
      <c r="N247" s="260"/>
      <c r="O247" s="260"/>
      <c r="P247" s="260"/>
      <c r="Q247" s="260"/>
      <c r="R247" s="260"/>
      <c r="S247" s="270"/>
      <c r="T247" s="260"/>
      <c r="U247" s="266"/>
    </row>
    <row r="248" spans="12:21" x14ac:dyDescent="0.25">
      <c r="L248" s="267"/>
      <c r="M248" s="272"/>
      <c r="N248" s="260"/>
      <c r="O248" s="260"/>
      <c r="P248" s="260"/>
      <c r="Q248" s="260"/>
      <c r="R248" s="260"/>
      <c r="S248" s="270"/>
      <c r="T248" s="260"/>
      <c r="U248" s="266"/>
    </row>
    <row r="249" spans="12:21" x14ac:dyDescent="0.25">
      <c r="L249" s="267"/>
      <c r="M249" s="272"/>
      <c r="N249" s="260"/>
      <c r="O249" s="260"/>
      <c r="P249" s="260"/>
      <c r="Q249" s="260"/>
      <c r="R249" s="260"/>
      <c r="S249" s="270"/>
      <c r="T249" s="260"/>
      <c r="U249" s="266"/>
    </row>
    <row r="250" spans="12:21" x14ac:dyDescent="0.25">
      <c r="L250" s="267"/>
      <c r="M250" s="272"/>
      <c r="N250" s="260"/>
      <c r="O250" s="260"/>
      <c r="P250" s="260"/>
      <c r="Q250" s="260"/>
      <c r="R250" s="260"/>
      <c r="S250" s="270"/>
      <c r="T250" s="260"/>
      <c r="U250" s="266"/>
    </row>
    <row r="251" spans="12:21" x14ac:dyDescent="0.25">
      <c r="L251" s="267"/>
      <c r="M251" s="272"/>
      <c r="N251" s="260"/>
      <c r="O251" s="260"/>
      <c r="P251" s="260"/>
      <c r="Q251" s="260"/>
      <c r="R251" s="260"/>
      <c r="S251" s="270"/>
      <c r="T251" s="260"/>
      <c r="U251" s="266"/>
    </row>
    <row r="252" spans="12:21" x14ac:dyDescent="0.25">
      <c r="L252" s="267"/>
      <c r="M252" s="272"/>
      <c r="N252" s="260"/>
      <c r="O252" s="260"/>
      <c r="P252" s="260"/>
      <c r="Q252" s="260"/>
      <c r="R252" s="260"/>
      <c r="S252" s="270"/>
      <c r="T252" s="260"/>
      <c r="U252" s="266"/>
    </row>
    <row r="253" spans="12:21" x14ac:dyDescent="0.25">
      <c r="L253" s="267"/>
      <c r="M253" s="272"/>
      <c r="N253" s="260"/>
      <c r="O253" s="260"/>
      <c r="P253" s="260"/>
      <c r="Q253" s="260"/>
      <c r="R253" s="260"/>
      <c r="S253" s="270"/>
      <c r="T253" s="260"/>
      <c r="U253" s="266"/>
    </row>
    <row r="254" spans="12:21" x14ac:dyDescent="0.25">
      <c r="L254" s="267"/>
      <c r="M254" s="272"/>
      <c r="N254" s="260"/>
      <c r="O254" s="260"/>
      <c r="P254" s="260"/>
      <c r="Q254" s="260"/>
      <c r="R254" s="260"/>
      <c r="S254" s="270"/>
      <c r="T254" s="260"/>
      <c r="U254" s="266"/>
    </row>
    <row r="255" spans="12:21" x14ac:dyDescent="0.25">
      <c r="L255" s="267"/>
      <c r="M255" s="272"/>
      <c r="N255" s="260"/>
      <c r="O255" s="260"/>
      <c r="P255" s="260"/>
      <c r="Q255" s="260"/>
      <c r="R255" s="260"/>
      <c r="S255" s="270"/>
      <c r="T255" s="260"/>
      <c r="U255" s="266"/>
    </row>
    <row r="256" spans="12:21" x14ac:dyDescent="0.25">
      <c r="L256" s="267"/>
      <c r="M256" s="272"/>
      <c r="N256" s="260"/>
      <c r="O256" s="260"/>
      <c r="P256" s="260"/>
      <c r="Q256" s="260"/>
      <c r="R256" s="260"/>
      <c r="S256" s="270"/>
      <c r="T256" s="260"/>
      <c r="U256" s="266"/>
    </row>
    <row r="257" spans="12:21" x14ac:dyDescent="0.25">
      <c r="L257" s="267"/>
      <c r="M257" s="272"/>
      <c r="N257" s="260"/>
      <c r="O257" s="260"/>
      <c r="P257" s="260"/>
      <c r="Q257" s="260"/>
      <c r="R257" s="260"/>
      <c r="S257" s="270"/>
      <c r="T257" s="260"/>
      <c r="U257" s="266"/>
    </row>
    <row r="258" spans="12:21" x14ac:dyDescent="0.25">
      <c r="L258" s="267"/>
      <c r="M258" s="272"/>
      <c r="N258" s="260"/>
      <c r="O258" s="260"/>
      <c r="P258" s="260"/>
      <c r="Q258" s="260"/>
      <c r="R258" s="260"/>
      <c r="S258" s="270"/>
      <c r="T258" s="260"/>
      <c r="U258" s="266"/>
    </row>
    <row r="259" spans="12:21" x14ac:dyDescent="0.25">
      <c r="L259" s="267"/>
      <c r="M259" s="272"/>
      <c r="N259" s="260"/>
      <c r="O259" s="260"/>
      <c r="P259" s="260"/>
      <c r="Q259" s="260"/>
      <c r="R259" s="260"/>
      <c r="S259" s="270"/>
      <c r="T259" s="260"/>
      <c r="U259" s="266"/>
    </row>
    <row r="260" spans="12:21" x14ac:dyDescent="0.25">
      <c r="L260" s="267"/>
      <c r="M260" s="272"/>
      <c r="N260" s="260"/>
      <c r="O260" s="260"/>
      <c r="P260" s="260"/>
      <c r="Q260" s="260"/>
      <c r="R260" s="260"/>
      <c r="S260" s="270"/>
      <c r="T260" s="260"/>
      <c r="U260" s="266"/>
    </row>
    <row r="261" spans="12:21" x14ac:dyDescent="0.25">
      <c r="L261" s="267"/>
      <c r="M261" s="272"/>
      <c r="N261" s="260"/>
      <c r="O261" s="260"/>
      <c r="P261" s="260"/>
      <c r="Q261" s="260"/>
      <c r="R261" s="260"/>
      <c r="S261" s="270"/>
      <c r="T261" s="260"/>
      <c r="U261" s="266"/>
    </row>
    <row r="262" spans="12:21" x14ac:dyDescent="0.25">
      <c r="L262" s="267"/>
      <c r="M262" s="272"/>
      <c r="N262" s="260"/>
      <c r="O262" s="260"/>
      <c r="P262" s="260"/>
      <c r="Q262" s="260"/>
      <c r="R262" s="260"/>
      <c r="S262" s="270"/>
      <c r="T262" s="260"/>
      <c r="U262" s="266"/>
    </row>
    <row r="263" spans="12:21" x14ac:dyDescent="0.25">
      <c r="L263" s="267"/>
      <c r="M263" s="272"/>
      <c r="N263" s="260"/>
      <c r="O263" s="260"/>
      <c r="P263" s="260"/>
      <c r="Q263" s="260"/>
      <c r="R263" s="260"/>
      <c r="S263" s="270"/>
      <c r="T263" s="260"/>
      <c r="U263" s="266"/>
    </row>
    <row r="264" spans="12:21" x14ac:dyDescent="0.25">
      <c r="L264" s="267"/>
      <c r="M264" s="272"/>
      <c r="N264" s="260"/>
      <c r="O264" s="260"/>
      <c r="P264" s="260"/>
      <c r="Q264" s="260"/>
      <c r="R264" s="260"/>
      <c r="S264" s="270"/>
      <c r="T264" s="260"/>
      <c r="U264" s="266"/>
    </row>
    <row r="265" spans="12:21" x14ac:dyDescent="0.25">
      <c r="L265" s="267"/>
      <c r="M265" s="272"/>
      <c r="N265" s="260"/>
      <c r="O265" s="260"/>
      <c r="P265" s="260"/>
      <c r="Q265" s="260"/>
      <c r="R265" s="260"/>
      <c r="S265" s="270"/>
      <c r="T265" s="260"/>
      <c r="U265" s="266"/>
    </row>
    <row r="266" spans="12:21" x14ac:dyDescent="0.25">
      <c r="L266" s="267"/>
      <c r="M266" s="272"/>
      <c r="N266" s="260"/>
      <c r="O266" s="260"/>
      <c r="P266" s="260"/>
      <c r="Q266" s="260"/>
      <c r="R266" s="260"/>
      <c r="S266" s="270"/>
      <c r="T266" s="260"/>
      <c r="U266" s="266"/>
    </row>
    <row r="267" spans="12:21" x14ac:dyDescent="0.25">
      <c r="L267" s="267"/>
      <c r="M267" s="272"/>
      <c r="N267" s="260"/>
      <c r="O267" s="260"/>
      <c r="P267" s="260"/>
      <c r="Q267" s="260"/>
      <c r="R267" s="260"/>
      <c r="S267" s="270"/>
      <c r="T267" s="260"/>
      <c r="U267" s="266"/>
    </row>
    <row r="268" spans="12:21" x14ac:dyDescent="0.25">
      <c r="L268" s="267"/>
      <c r="M268" s="272"/>
      <c r="N268" s="260"/>
      <c r="O268" s="260"/>
      <c r="P268" s="260"/>
      <c r="Q268" s="260"/>
      <c r="R268" s="260"/>
      <c r="S268" s="270"/>
      <c r="T268" s="260"/>
      <c r="U268" s="266"/>
    </row>
    <row r="269" spans="12:21" x14ac:dyDescent="0.25">
      <c r="L269" s="267"/>
      <c r="M269" s="272"/>
      <c r="N269" s="260"/>
      <c r="O269" s="260"/>
      <c r="P269" s="260"/>
      <c r="Q269" s="260"/>
      <c r="R269" s="260"/>
      <c r="S269" s="270"/>
      <c r="T269" s="260"/>
      <c r="U269" s="266"/>
    </row>
    <row r="270" spans="12:21" x14ac:dyDescent="0.25">
      <c r="L270" s="267"/>
      <c r="M270" s="272"/>
      <c r="N270" s="260"/>
      <c r="O270" s="260"/>
      <c r="P270" s="260"/>
      <c r="Q270" s="260"/>
      <c r="R270" s="260"/>
      <c r="S270" s="270"/>
      <c r="T270" s="260"/>
      <c r="U270" s="266"/>
    </row>
    <row r="271" spans="12:21" x14ac:dyDescent="0.25">
      <c r="L271" s="267"/>
      <c r="M271" s="272"/>
      <c r="N271" s="260"/>
      <c r="O271" s="260"/>
      <c r="P271" s="260"/>
      <c r="Q271" s="260"/>
      <c r="R271" s="260"/>
      <c r="S271" s="270"/>
      <c r="T271" s="260"/>
      <c r="U271" s="266"/>
    </row>
    <row r="272" spans="12:21" x14ac:dyDescent="0.25">
      <c r="L272" s="267"/>
      <c r="M272" s="272"/>
      <c r="N272" s="260"/>
      <c r="O272" s="260"/>
      <c r="P272" s="260"/>
      <c r="Q272" s="260"/>
      <c r="R272" s="260"/>
      <c r="S272" s="270"/>
      <c r="T272" s="260"/>
      <c r="U272" s="266"/>
    </row>
    <row r="273" spans="12:21" x14ac:dyDescent="0.25">
      <c r="L273" s="267"/>
      <c r="M273" s="272"/>
      <c r="N273" s="260"/>
      <c r="O273" s="260"/>
      <c r="P273" s="260"/>
      <c r="Q273" s="260"/>
      <c r="R273" s="260"/>
      <c r="S273" s="270"/>
      <c r="T273" s="260"/>
      <c r="U273" s="266"/>
    </row>
    <row r="274" spans="12:21" x14ac:dyDescent="0.25">
      <c r="L274" s="267"/>
      <c r="M274" s="272"/>
      <c r="N274" s="260"/>
      <c r="O274" s="260"/>
      <c r="P274" s="260"/>
      <c r="Q274" s="260"/>
      <c r="R274" s="260"/>
      <c r="S274" s="270"/>
      <c r="T274" s="260"/>
      <c r="U274" s="266"/>
    </row>
    <row r="275" spans="12:21" x14ac:dyDescent="0.25">
      <c r="L275" s="267"/>
      <c r="M275" s="272"/>
      <c r="N275" s="260"/>
      <c r="O275" s="260"/>
      <c r="P275" s="260"/>
      <c r="Q275" s="260"/>
      <c r="R275" s="260"/>
      <c r="S275" s="270"/>
      <c r="T275" s="260"/>
      <c r="U275" s="266"/>
    </row>
    <row r="276" spans="12:21" x14ac:dyDescent="0.25">
      <c r="L276" s="267"/>
      <c r="M276" s="272"/>
      <c r="N276" s="260"/>
      <c r="O276" s="260"/>
      <c r="P276" s="260"/>
      <c r="Q276" s="260"/>
      <c r="R276" s="260"/>
      <c r="S276" s="270"/>
      <c r="T276" s="260"/>
      <c r="U276" s="266"/>
    </row>
    <row r="277" spans="12:21" x14ac:dyDescent="0.25">
      <c r="L277" s="267"/>
      <c r="M277" s="272"/>
      <c r="N277" s="260"/>
      <c r="O277" s="260"/>
      <c r="P277" s="260"/>
      <c r="Q277" s="260"/>
      <c r="R277" s="260"/>
      <c r="S277" s="270"/>
      <c r="T277" s="260"/>
      <c r="U277" s="266"/>
    </row>
    <row r="278" spans="12:21" x14ac:dyDescent="0.25">
      <c r="L278" s="267"/>
      <c r="M278" s="272"/>
      <c r="N278" s="260"/>
      <c r="O278" s="260"/>
      <c r="P278" s="260"/>
      <c r="Q278" s="260"/>
      <c r="R278" s="260"/>
      <c r="S278" s="270"/>
      <c r="T278" s="260"/>
      <c r="U278" s="266"/>
    </row>
    <row r="279" spans="12:21" x14ac:dyDescent="0.25">
      <c r="L279" s="267"/>
      <c r="M279" s="272"/>
      <c r="N279" s="260"/>
      <c r="O279" s="260"/>
      <c r="P279" s="260"/>
      <c r="Q279" s="260"/>
      <c r="R279" s="260"/>
      <c r="S279" s="270"/>
      <c r="T279" s="260"/>
      <c r="U279" s="266"/>
    </row>
    <row r="280" spans="12:21" x14ac:dyDescent="0.25">
      <c r="L280" s="267"/>
      <c r="M280" s="272"/>
      <c r="N280" s="260"/>
      <c r="O280" s="260"/>
      <c r="P280" s="260"/>
      <c r="Q280" s="260"/>
      <c r="R280" s="260"/>
      <c r="S280" s="270"/>
      <c r="T280" s="260"/>
      <c r="U280" s="266"/>
    </row>
    <row r="281" spans="12:21" x14ac:dyDescent="0.25">
      <c r="L281" s="267"/>
      <c r="M281" s="272"/>
      <c r="N281" s="260"/>
      <c r="O281" s="260"/>
      <c r="P281" s="260"/>
      <c r="Q281" s="260"/>
      <c r="R281" s="260"/>
      <c r="S281" s="270"/>
      <c r="T281" s="260"/>
      <c r="U281" s="266"/>
    </row>
    <row r="282" spans="12:21" x14ac:dyDescent="0.25">
      <c r="L282" s="267"/>
      <c r="M282" s="272"/>
      <c r="N282" s="260"/>
      <c r="O282" s="260"/>
      <c r="P282" s="260"/>
      <c r="Q282" s="260"/>
      <c r="R282" s="260"/>
      <c r="S282" s="270"/>
      <c r="T282" s="260"/>
      <c r="U282" s="266"/>
    </row>
    <row r="283" spans="12:21" x14ac:dyDescent="0.25">
      <c r="L283" s="267"/>
      <c r="M283" s="272"/>
      <c r="N283" s="260"/>
      <c r="O283" s="260"/>
      <c r="P283" s="260"/>
      <c r="Q283" s="260"/>
      <c r="R283" s="260"/>
      <c r="S283" s="270"/>
      <c r="T283" s="260"/>
      <c r="U283" s="266"/>
    </row>
    <row r="284" spans="12:21" x14ac:dyDescent="0.25">
      <c r="L284" s="267"/>
      <c r="M284" s="272"/>
      <c r="N284" s="260"/>
      <c r="O284" s="260"/>
      <c r="P284" s="260"/>
      <c r="Q284" s="260"/>
      <c r="R284" s="260"/>
      <c r="S284" s="270"/>
      <c r="T284" s="260"/>
      <c r="U284" s="266"/>
    </row>
    <row r="285" spans="12:21" x14ac:dyDescent="0.25">
      <c r="L285" s="267"/>
      <c r="M285" s="272"/>
      <c r="N285" s="260"/>
      <c r="O285" s="260"/>
      <c r="P285" s="260"/>
      <c r="Q285" s="260"/>
      <c r="R285" s="260"/>
      <c r="S285" s="270"/>
      <c r="T285" s="260"/>
      <c r="U285" s="266"/>
    </row>
    <row r="286" spans="12:21" x14ac:dyDescent="0.25">
      <c r="L286" s="267"/>
      <c r="M286" s="272"/>
      <c r="N286" s="260"/>
      <c r="O286" s="260"/>
      <c r="P286" s="260"/>
      <c r="Q286" s="260"/>
      <c r="R286" s="260"/>
      <c r="S286" s="270"/>
      <c r="T286" s="260"/>
      <c r="U286" s="266"/>
    </row>
    <row r="287" spans="12:21" x14ac:dyDescent="0.25">
      <c r="L287" s="267"/>
      <c r="M287" s="272"/>
      <c r="N287" s="260"/>
      <c r="O287" s="260"/>
      <c r="P287" s="260"/>
      <c r="Q287" s="260"/>
      <c r="R287" s="260"/>
      <c r="S287" s="270"/>
      <c r="T287" s="260"/>
      <c r="U287" s="266"/>
    </row>
    <row r="288" spans="12:21" x14ac:dyDescent="0.25">
      <c r="L288" s="267"/>
      <c r="M288" s="272"/>
      <c r="N288" s="260"/>
      <c r="O288" s="260"/>
      <c r="P288" s="260"/>
      <c r="Q288" s="260"/>
      <c r="R288" s="260"/>
      <c r="S288" s="270"/>
      <c r="T288" s="260"/>
      <c r="U288" s="266"/>
    </row>
    <row r="289" spans="12:21" x14ac:dyDescent="0.25">
      <c r="L289" s="267"/>
      <c r="M289" s="272"/>
      <c r="N289" s="260"/>
      <c r="O289" s="260"/>
      <c r="P289" s="260"/>
      <c r="Q289" s="260"/>
      <c r="R289" s="260"/>
      <c r="S289" s="270"/>
      <c r="T289" s="260"/>
      <c r="U289" s="266"/>
    </row>
    <row r="290" spans="12:21" x14ac:dyDescent="0.25">
      <c r="L290" s="267"/>
      <c r="M290" s="272"/>
      <c r="N290" s="260"/>
      <c r="O290" s="260"/>
      <c r="P290" s="260"/>
      <c r="Q290" s="260"/>
      <c r="R290" s="260"/>
      <c r="S290" s="270"/>
      <c r="T290" s="260"/>
      <c r="U290" s="266"/>
    </row>
    <row r="291" spans="12:21" x14ac:dyDescent="0.25">
      <c r="L291" s="267"/>
      <c r="M291" s="272"/>
      <c r="N291" s="260"/>
      <c r="O291" s="260"/>
      <c r="P291" s="260"/>
      <c r="Q291" s="260"/>
      <c r="R291" s="260"/>
      <c r="S291" s="270"/>
      <c r="T291" s="260"/>
      <c r="U291" s="266"/>
    </row>
    <row r="292" spans="12:21" x14ac:dyDescent="0.25">
      <c r="L292" s="267"/>
      <c r="M292" s="272"/>
      <c r="N292" s="260"/>
      <c r="O292" s="260"/>
      <c r="P292" s="260"/>
      <c r="Q292" s="260"/>
      <c r="R292" s="260"/>
      <c r="S292" s="270"/>
      <c r="T292" s="260"/>
      <c r="U292" s="266"/>
    </row>
    <row r="293" spans="12:21" x14ac:dyDescent="0.25">
      <c r="L293" s="267"/>
      <c r="M293" s="272"/>
      <c r="N293" s="260"/>
      <c r="O293" s="260"/>
      <c r="P293" s="260"/>
      <c r="Q293" s="260"/>
      <c r="R293" s="260"/>
      <c r="S293" s="270"/>
      <c r="T293" s="260"/>
      <c r="U293" s="266"/>
    </row>
    <row r="294" spans="12:21" x14ac:dyDescent="0.25">
      <c r="L294" s="267"/>
      <c r="M294" s="272"/>
      <c r="N294" s="260"/>
      <c r="O294" s="260"/>
      <c r="P294" s="260"/>
      <c r="Q294" s="260"/>
      <c r="R294" s="260"/>
      <c r="S294" s="270"/>
      <c r="T294" s="260"/>
      <c r="U294" s="266"/>
    </row>
    <row r="295" spans="12:21" x14ac:dyDescent="0.25">
      <c r="L295" s="267"/>
      <c r="M295" s="272"/>
      <c r="N295" s="260"/>
      <c r="O295" s="260"/>
      <c r="P295" s="260"/>
      <c r="Q295" s="260"/>
      <c r="R295" s="260"/>
      <c r="S295" s="270"/>
      <c r="T295" s="260"/>
      <c r="U295" s="266"/>
    </row>
    <row r="296" spans="12:21" x14ac:dyDescent="0.25">
      <c r="L296" s="267"/>
      <c r="M296" s="272"/>
      <c r="N296" s="260"/>
      <c r="O296" s="260"/>
      <c r="P296" s="260"/>
      <c r="Q296" s="260"/>
      <c r="R296" s="260"/>
      <c r="S296" s="270"/>
      <c r="T296" s="260"/>
      <c r="U296" s="266"/>
    </row>
    <row r="297" spans="12:21" x14ac:dyDescent="0.25">
      <c r="L297" s="267"/>
      <c r="M297" s="272"/>
      <c r="N297" s="260"/>
      <c r="O297" s="260"/>
      <c r="P297" s="260"/>
      <c r="Q297" s="260"/>
      <c r="R297" s="260"/>
      <c r="S297" s="270"/>
      <c r="T297" s="260"/>
      <c r="U297" s="266"/>
    </row>
    <row r="298" spans="12:21" x14ac:dyDescent="0.25">
      <c r="L298" s="267"/>
      <c r="M298" s="272"/>
      <c r="N298" s="260"/>
      <c r="O298" s="260"/>
      <c r="P298" s="260"/>
      <c r="Q298" s="260"/>
      <c r="R298" s="260"/>
      <c r="S298" s="270"/>
      <c r="T298" s="260"/>
      <c r="U298" s="266"/>
    </row>
    <row r="299" spans="12:21" x14ac:dyDescent="0.25">
      <c r="L299" s="267"/>
      <c r="M299" s="272"/>
      <c r="N299" s="260"/>
      <c r="O299" s="260"/>
      <c r="P299" s="260"/>
      <c r="Q299" s="260"/>
      <c r="R299" s="260"/>
      <c r="S299" s="270"/>
      <c r="T299" s="260"/>
      <c r="U299" s="266"/>
    </row>
    <row r="300" spans="12:21" x14ac:dyDescent="0.25">
      <c r="L300" s="267"/>
      <c r="M300" s="272"/>
      <c r="N300" s="260"/>
      <c r="O300" s="260"/>
      <c r="P300" s="260"/>
      <c r="Q300" s="260"/>
      <c r="R300" s="260"/>
      <c r="S300" s="270"/>
      <c r="T300" s="260"/>
      <c r="U300" s="266"/>
    </row>
    <row r="301" spans="12:21" x14ac:dyDescent="0.25">
      <c r="L301" s="267"/>
      <c r="M301" s="272"/>
      <c r="N301" s="260"/>
      <c r="O301" s="260"/>
      <c r="P301" s="260"/>
      <c r="Q301" s="260"/>
      <c r="R301" s="260"/>
      <c r="S301" s="270"/>
      <c r="T301" s="260"/>
      <c r="U301" s="266"/>
    </row>
    <row r="302" spans="12:21" x14ac:dyDescent="0.25">
      <c r="L302" s="267"/>
      <c r="M302" s="272"/>
      <c r="N302" s="260"/>
      <c r="O302" s="260"/>
      <c r="P302" s="260"/>
      <c r="Q302" s="260"/>
      <c r="R302" s="260"/>
      <c r="S302" s="270"/>
      <c r="T302" s="260"/>
      <c r="U302" s="266"/>
    </row>
    <row r="303" spans="12:21" x14ac:dyDescent="0.25">
      <c r="L303" s="267"/>
      <c r="M303" s="272"/>
      <c r="N303" s="260"/>
      <c r="O303" s="260"/>
      <c r="P303" s="260"/>
      <c r="Q303" s="260"/>
      <c r="R303" s="260"/>
      <c r="S303" s="270"/>
      <c r="T303" s="260"/>
      <c r="U303" s="266"/>
    </row>
    <row r="304" spans="12:21" x14ac:dyDescent="0.25">
      <c r="L304" s="267"/>
      <c r="M304" s="272"/>
      <c r="N304" s="260"/>
      <c r="O304" s="260"/>
      <c r="P304" s="260"/>
      <c r="Q304" s="260"/>
      <c r="R304" s="260"/>
      <c r="S304" s="270"/>
      <c r="T304" s="260"/>
      <c r="U304" s="266"/>
    </row>
    <row r="305" spans="12:21" x14ac:dyDescent="0.25">
      <c r="L305" s="267"/>
      <c r="M305" s="272"/>
      <c r="N305" s="260"/>
      <c r="O305" s="260"/>
      <c r="P305" s="260"/>
      <c r="Q305" s="260"/>
      <c r="R305" s="260"/>
      <c r="S305" s="270"/>
      <c r="T305" s="260"/>
      <c r="U305" s="266"/>
    </row>
    <row r="306" spans="12:21" x14ac:dyDescent="0.25">
      <c r="L306" s="267"/>
      <c r="M306" s="272"/>
      <c r="N306" s="260"/>
      <c r="O306" s="260"/>
      <c r="P306" s="260"/>
      <c r="Q306" s="260"/>
      <c r="R306" s="260"/>
      <c r="S306" s="270"/>
      <c r="T306" s="260"/>
      <c r="U306" s="266"/>
    </row>
    <row r="307" spans="12:21" x14ac:dyDescent="0.25">
      <c r="L307" s="267"/>
      <c r="M307" s="272"/>
      <c r="N307" s="260"/>
      <c r="O307" s="260"/>
      <c r="P307" s="260"/>
      <c r="Q307" s="260"/>
      <c r="R307" s="260"/>
      <c r="S307" s="270"/>
      <c r="T307" s="260"/>
      <c r="U307" s="266"/>
    </row>
    <row r="308" spans="12:21" x14ac:dyDescent="0.25">
      <c r="L308" s="267"/>
      <c r="M308" s="272"/>
      <c r="N308" s="260"/>
      <c r="O308" s="260"/>
      <c r="P308" s="260"/>
      <c r="Q308" s="260"/>
      <c r="R308" s="260"/>
      <c r="S308" s="270"/>
      <c r="T308" s="260"/>
      <c r="U308" s="266"/>
    </row>
    <row r="309" spans="12:21" x14ac:dyDescent="0.25">
      <c r="L309" s="267"/>
      <c r="M309" s="272"/>
      <c r="N309" s="260"/>
      <c r="O309" s="260"/>
      <c r="P309" s="260"/>
      <c r="Q309" s="260"/>
      <c r="R309" s="260"/>
      <c r="S309" s="270"/>
      <c r="T309" s="260"/>
      <c r="U309" s="266"/>
    </row>
    <row r="310" spans="12:21" x14ac:dyDescent="0.25">
      <c r="L310" s="267"/>
      <c r="M310" s="272"/>
      <c r="N310" s="260"/>
      <c r="O310" s="260"/>
      <c r="P310" s="260"/>
      <c r="Q310" s="260"/>
      <c r="R310" s="260"/>
      <c r="S310" s="270"/>
      <c r="T310" s="260"/>
      <c r="U310" s="266"/>
    </row>
    <row r="311" spans="12:21" x14ac:dyDescent="0.25">
      <c r="L311" s="267"/>
      <c r="M311" s="272"/>
      <c r="N311" s="260"/>
      <c r="O311" s="260"/>
      <c r="P311" s="260"/>
      <c r="Q311" s="260"/>
      <c r="R311" s="260"/>
      <c r="S311" s="270"/>
      <c r="T311" s="260"/>
      <c r="U311" s="266"/>
    </row>
    <row r="312" spans="12:21" x14ac:dyDescent="0.25">
      <c r="L312" s="267"/>
      <c r="M312" s="272"/>
      <c r="N312" s="260"/>
      <c r="O312" s="260"/>
      <c r="P312" s="260"/>
      <c r="Q312" s="260"/>
      <c r="R312" s="260"/>
      <c r="S312" s="270"/>
      <c r="T312" s="260"/>
      <c r="U312" s="266"/>
    </row>
    <row r="313" spans="12:21" x14ac:dyDescent="0.25">
      <c r="L313" s="267"/>
      <c r="M313" s="272"/>
      <c r="N313" s="260"/>
      <c r="O313" s="260"/>
      <c r="P313" s="260"/>
      <c r="Q313" s="260"/>
      <c r="R313" s="260"/>
      <c r="S313" s="270"/>
      <c r="T313" s="260"/>
      <c r="U313" s="266"/>
    </row>
    <row r="314" spans="12:21" x14ac:dyDescent="0.25">
      <c r="L314" s="267"/>
      <c r="M314" s="272"/>
      <c r="N314" s="260"/>
      <c r="O314" s="260"/>
      <c r="P314" s="260"/>
      <c r="Q314" s="260"/>
      <c r="R314" s="260"/>
      <c r="S314" s="270"/>
      <c r="T314" s="260"/>
      <c r="U314" s="266"/>
    </row>
    <row r="315" spans="12:21" x14ac:dyDescent="0.25">
      <c r="L315" s="267"/>
      <c r="M315" s="272"/>
      <c r="N315" s="260"/>
      <c r="O315" s="260"/>
      <c r="P315" s="260"/>
      <c r="Q315" s="260"/>
      <c r="R315" s="260"/>
      <c r="S315" s="270"/>
      <c r="T315" s="260"/>
      <c r="U315" s="266"/>
    </row>
    <row r="316" spans="12:21" x14ac:dyDescent="0.25">
      <c r="L316" s="267"/>
      <c r="M316" s="272"/>
      <c r="N316" s="260"/>
      <c r="O316" s="260"/>
      <c r="P316" s="260"/>
      <c r="Q316" s="260"/>
      <c r="R316" s="260"/>
      <c r="S316" s="270"/>
      <c r="T316" s="260"/>
      <c r="U316" s="266"/>
    </row>
    <row r="317" spans="12:21" x14ac:dyDescent="0.25">
      <c r="L317" s="267"/>
      <c r="M317" s="272"/>
      <c r="N317" s="260"/>
      <c r="O317" s="260"/>
      <c r="P317" s="260"/>
      <c r="Q317" s="260"/>
      <c r="R317" s="260"/>
      <c r="S317" s="270"/>
      <c r="T317" s="260"/>
      <c r="U317" s="266"/>
    </row>
    <row r="318" spans="12:21" x14ac:dyDescent="0.25">
      <c r="L318" s="267"/>
      <c r="M318" s="272"/>
      <c r="N318" s="260"/>
      <c r="O318" s="260"/>
      <c r="P318" s="260"/>
      <c r="Q318" s="260"/>
      <c r="R318" s="260"/>
      <c r="S318" s="270"/>
      <c r="T318" s="260"/>
      <c r="U318" s="266"/>
    </row>
    <row r="319" spans="12:21" x14ac:dyDescent="0.25">
      <c r="L319" s="267"/>
      <c r="M319" s="272"/>
      <c r="N319" s="260"/>
      <c r="O319" s="260"/>
      <c r="P319" s="260"/>
      <c r="Q319" s="260"/>
      <c r="R319" s="260"/>
      <c r="S319" s="270"/>
      <c r="T319" s="260"/>
      <c r="U319" s="266"/>
    </row>
    <row r="320" spans="12:21" x14ac:dyDescent="0.25">
      <c r="L320" s="267"/>
      <c r="M320" s="272"/>
      <c r="N320" s="260"/>
      <c r="O320" s="260"/>
      <c r="P320" s="260"/>
      <c r="Q320" s="260"/>
      <c r="R320" s="260"/>
      <c r="S320" s="270"/>
      <c r="T320" s="260"/>
      <c r="U320" s="266"/>
    </row>
    <row r="321" spans="12:21" x14ac:dyDescent="0.25">
      <c r="L321" s="267"/>
      <c r="M321" s="272"/>
      <c r="N321" s="260"/>
      <c r="O321" s="260"/>
      <c r="P321" s="260"/>
      <c r="Q321" s="260"/>
      <c r="R321" s="260"/>
      <c r="S321" s="270"/>
      <c r="T321" s="260"/>
      <c r="U321" s="266"/>
    </row>
    <row r="322" spans="12:21" x14ac:dyDescent="0.25">
      <c r="L322" s="267"/>
      <c r="M322" s="272"/>
      <c r="N322" s="260"/>
      <c r="O322" s="260"/>
      <c r="P322" s="260"/>
      <c r="Q322" s="260"/>
      <c r="R322" s="260"/>
      <c r="S322" s="270"/>
      <c r="T322" s="260"/>
      <c r="U322" s="266"/>
    </row>
    <row r="323" spans="12:21" x14ac:dyDescent="0.25">
      <c r="L323" s="267"/>
      <c r="M323" s="272"/>
      <c r="N323" s="260"/>
      <c r="O323" s="260"/>
      <c r="P323" s="260"/>
      <c r="Q323" s="260"/>
      <c r="R323" s="260"/>
      <c r="S323" s="270"/>
      <c r="T323" s="260"/>
      <c r="U323" s="266"/>
    </row>
    <row r="324" spans="12:21" x14ac:dyDescent="0.25">
      <c r="L324" s="267"/>
      <c r="M324" s="272"/>
      <c r="N324" s="260"/>
      <c r="O324" s="260"/>
      <c r="P324" s="260"/>
      <c r="Q324" s="260"/>
      <c r="R324" s="260"/>
      <c r="S324" s="270"/>
      <c r="T324" s="260"/>
      <c r="U324" s="266"/>
    </row>
    <row r="325" spans="12:21" x14ac:dyDescent="0.25">
      <c r="L325" s="267"/>
      <c r="M325" s="272"/>
      <c r="N325" s="260"/>
      <c r="O325" s="260"/>
      <c r="P325" s="260"/>
      <c r="Q325" s="260"/>
      <c r="R325" s="260"/>
      <c r="S325" s="270"/>
      <c r="T325" s="260"/>
      <c r="U325" s="266"/>
    </row>
    <row r="326" spans="12:21" x14ac:dyDescent="0.25">
      <c r="L326" s="267"/>
      <c r="M326" s="272"/>
      <c r="N326" s="260"/>
      <c r="O326" s="260"/>
      <c r="P326" s="260"/>
      <c r="Q326" s="260"/>
      <c r="R326" s="260"/>
      <c r="S326" s="270"/>
      <c r="T326" s="260"/>
      <c r="U326" s="266"/>
    </row>
    <row r="327" spans="12:21" x14ac:dyDescent="0.25">
      <c r="L327" s="267"/>
      <c r="M327" s="272"/>
      <c r="N327" s="260"/>
      <c r="O327" s="260"/>
      <c r="P327" s="260"/>
      <c r="Q327" s="260"/>
      <c r="R327" s="260"/>
      <c r="S327" s="270"/>
      <c r="T327" s="260"/>
      <c r="U327" s="266"/>
    </row>
    <row r="328" spans="12:21" x14ac:dyDescent="0.25">
      <c r="L328" s="267"/>
      <c r="M328" s="272"/>
      <c r="N328" s="260"/>
      <c r="O328" s="260"/>
      <c r="P328" s="260"/>
      <c r="Q328" s="260"/>
      <c r="R328" s="260"/>
      <c r="S328" s="270"/>
      <c r="T328" s="260"/>
      <c r="U328" s="266"/>
    </row>
    <row r="329" spans="12:21" x14ac:dyDescent="0.25">
      <c r="L329" s="267"/>
      <c r="M329" s="272"/>
      <c r="N329" s="260"/>
      <c r="O329" s="260"/>
      <c r="P329" s="260"/>
      <c r="Q329" s="260"/>
      <c r="R329" s="260"/>
      <c r="S329" s="270"/>
      <c r="T329" s="260"/>
      <c r="U329" s="266"/>
    </row>
    <row r="330" spans="12:21" x14ac:dyDescent="0.25">
      <c r="L330" s="267"/>
      <c r="M330" s="272"/>
      <c r="N330" s="260"/>
      <c r="O330" s="260"/>
      <c r="P330" s="260"/>
      <c r="Q330" s="260"/>
      <c r="R330" s="260"/>
      <c r="S330" s="270"/>
      <c r="T330" s="260"/>
      <c r="U330" s="266"/>
    </row>
    <row r="331" spans="12:21" x14ac:dyDescent="0.25">
      <c r="L331" s="267"/>
      <c r="M331" s="272"/>
      <c r="N331" s="260"/>
      <c r="O331" s="260"/>
      <c r="P331" s="260"/>
      <c r="Q331" s="260"/>
      <c r="R331" s="260"/>
      <c r="S331" s="270"/>
      <c r="T331" s="260"/>
      <c r="U331" s="266"/>
    </row>
    <row r="332" spans="12:21" x14ac:dyDescent="0.25">
      <c r="L332" s="267"/>
      <c r="M332" s="272"/>
      <c r="N332" s="260"/>
      <c r="O332" s="260"/>
      <c r="P332" s="260"/>
      <c r="Q332" s="260"/>
      <c r="R332" s="260"/>
      <c r="S332" s="270"/>
      <c r="T332" s="260"/>
      <c r="U332" s="266"/>
    </row>
    <row r="333" spans="12:21" x14ac:dyDescent="0.25">
      <c r="L333" s="267"/>
      <c r="M333" s="272"/>
      <c r="N333" s="260"/>
      <c r="O333" s="260"/>
      <c r="P333" s="260"/>
      <c r="Q333" s="260"/>
      <c r="R333" s="260"/>
      <c r="S333" s="270"/>
      <c r="T333" s="260"/>
      <c r="U333" s="266"/>
    </row>
    <row r="334" spans="12:21" x14ac:dyDescent="0.25">
      <c r="L334" s="267"/>
      <c r="M334" s="272"/>
      <c r="N334" s="260"/>
      <c r="O334" s="260"/>
      <c r="P334" s="260"/>
      <c r="Q334" s="260"/>
      <c r="R334" s="260"/>
      <c r="S334" s="270"/>
      <c r="T334" s="260"/>
      <c r="U334" s="266"/>
    </row>
    <row r="335" spans="12:21" x14ac:dyDescent="0.25">
      <c r="L335" s="267"/>
      <c r="M335" s="272"/>
      <c r="N335" s="260"/>
      <c r="O335" s="260"/>
      <c r="P335" s="260"/>
      <c r="Q335" s="260"/>
      <c r="R335" s="260"/>
      <c r="S335" s="270"/>
      <c r="T335" s="260"/>
      <c r="U335" s="266"/>
    </row>
    <row r="336" spans="12:21" x14ac:dyDescent="0.25">
      <c r="L336" s="267"/>
      <c r="M336" s="272"/>
      <c r="N336" s="260"/>
      <c r="O336" s="260"/>
      <c r="P336" s="260"/>
      <c r="Q336" s="260"/>
      <c r="R336" s="260"/>
      <c r="S336" s="270"/>
      <c r="T336" s="260"/>
      <c r="U336" s="266"/>
    </row>
    <row r="337" spans="12:21" x14ac:dyDescent="0.25">
      <c r="L337" s="267"/>
      <c r="M337" s="272"/>
      <c r="N337" s="260"/>
      <c r="O337" s="260"/>
      <c r="P337" s="260"/>
      <c r="Q337" s="260"/>
      <c r="R337" s="260"/>
      <c r="S337" s="270"/>
      <c r="T337" s="260"/>
      <c r="U337" s="266"/>
    </row>
    <row r="338" spans="12:21" x14ac:dyDescent="0.25">
      <c r="L338" s="267"/>
      <c r="M338" s="272"/>
      <c r="N338" s="260"/>
      <c r="O338" s="260"/>
      <c r="P338" s="260"/>
      <c r="Q338" s="260"/>
      <c r="R338" s="260"/>
      <c r="S338" s="270"/>
      <c r="T338" s="260"/>
      <c r="U338" s="266"/>
    </row>
    <row r="339" spans="12:21" x14ac:dyDescent="0.25">
      <c r="L339" s="267"/>
      <c r="M339" s="272"/>
      <c r="N339" s="260"/>
      <c r="O339" s="260"/>
      <c r="P339" s="260"/>
      <c r="Q339" s="260"/>
      <c r="R339" s="260"/>
      <c r="S339" s="270"/>
      <c r="T339" s="260"/>
      <c r="U339" s="266"/>
    </row>
    <row r="340" spans="12:21" x14ac:dyDescent="0.25">
      <c r="L340" s="267"/>
      <c r="M340" s="272"/>
      <c r="N340" s="260"/>
      <c r="O340" s="260"/>
      <c r="P340" s="260"/>
      <c r="Q340" s="260"/>
      <c r="R340" s="260"/>
      <c r="S340" s="270"/>
      <c r="T340" s="260"/>
      <c r="U340" s="266"/>
    </row>
    <row r="341" spans="12:21" x14ac:dyDescent="0.25">
      <c r="L341" s="267"/>
      <c r="M341" s="272"/>
      <c r="N341" s="260"/>
      <c r="O341" s="260"/>
      <c r="P341" s="260"/>
      <c r="Q341" s="260"/>
      <c r="R341" s="260"/>
      <c r="S341" s="270"/>
      <c r="T341" s="260"/>
      <c r="U341" s="266"/>
    </row>
    <row r="342" spans="12:21" x14ac:dyDescent="0.25">
      <c r="L342" s="267"/>
      <c r="M342" s="272"/>
      <c r="N342" s="260"/>
      <c r="O342" s="260"/>
      <c r="P342" s="260"/>
      <c r="Q342" s="260"/>
      <c r="R342" s="260"/>
      <c r="S342" s="270"/>
      <c r="T342" s="260"/>
      <c r="U342" s="266"/>
    </row>
    <row r="343" spans="12:21" x14ac:dyDescent="0.25">
      <c r="L343" s="267"/>
      <c r="M343" s="272"/>
      <c r="N343" s="260"/>
      <c r="O343" s="260"/>
      <c r="P343" s="260"/>
      <c r="Q343" s="260"/>
      <c r="R343" s="260"/>
      <c r="S343" s="270"/>
      <c r="T343" s="260"/>
      <c r="U343" s="266"/>
    </row>
    <row r="344" spans="12:21" x14ac:dyDescent="0.25">
      <c r="L344" s="267"/>
      <c r="M344" s="272"/>
      <c r="N344" s="260"/>
      <c r="O344" s="260"/>
      <c r="P344" s="260"/>
      <c r="Q344" s="260"/>
      <c r="R344" s="260"/>
      <c r="S344" s="270"/>
      <c r="T344" s="260"/>
      <c r="U344" s="266"/>
    </row>
    <row r="345" spans="12:21" x14ac:dyDescent="0.25">
      <c r="L345" s="267"/>
      <c r="M345" s="272"/>
      <c r="N345" s="260"/>
      <c r="O345" s="260"/>
      <c r="P345" s="260"/>
      <c r="Q345" s="260"/>
      <c r="R345" s="260"/>
      <c r="S345" s="270"/>
      <c r="T345" s="260"/>
      <c r="U345" s="266"/>
    </row>
    <row r="346" spans="12:21" x14ac:dyDescent="0.25">
      <c r="L346" s="267"/>
      <c r="M346" s="272"/>
      <c r="N346" s="260"/>
      <c r="O346" s="260"/>
      <c r="P346" s="260"/>
      <c r="Q346" s="260"/>
      <c r="R346" s="260"/>
      <c r="S346" s="270"/>
      <c r="T346" s="260"/>
      <c r="U346" s="266"/>
    </row>
    <row r="347" spans="12:21" x14ac:dyDescent="0.25">
      <c r="L347" s="267"/>
      <c r="M347" s="272"/>
      <c r="N347" s="260"/>
      <c r="O347" s="260"/>
      <c r="P347" s="260"/>
      <c r="Q347" s="260"/>
      <c r="R347" s="260"/>
      <c r="S347" s="270"/>
      <c r="T347" s="260"/>
      <c r="U347" s="266"/>
    </row>
    <row r="348" spans="12:21" x14ac:dyDescent="0.25">
      <c r="L348" s="267"/>
      <c r="M348" s="272"/>
      <c r="N348" s="260"/>
      <c r="O348" s="260"/>
      <c r="P348" s="260"/>
      <c r="Q348" s="260"/>
      <c r="R348" s="260"/>
      <c r="S348" s="270"/>
      <c r="T348" s="260"/>
      <c r="U348" s="266"/>
    </row>
    <row r="349" spans="12:21" x14ac:dyDescent="0.25">
      <c r="L349" s="267"/>
      <c r="M349" s="272"/>
      <c r="N349" s="260"/>
      <c r="O349" s="260"/>
      <c r="P349" s="260"/>
      <c r="Q349" s="260"/>
      <c r="R349" s="260"/>
      <c r="S349" s="270"/>
      <c r="T349" s="260"/>
      <c r="U349" s="266"/>
    </row>
    <row r="350" spans="12:21" x14ac:dyDescent="0.25">
      <c r="L350" s="267"/>
      <c r="M350" s="272"/>
      <c r="N350" s="260"/>
      <c r="O350" s="260"/>
      <c r="P350" s="260"/>
      <c r="Q350" s="260"/>
      <c r="R350" s="260"/>
      <c r="S350" s="270"/>
      <c r="T350" s="260"/>
      <c r="U350" s="266"/>
    </row>
    <row r="351" spans="12:21" x14ac:dyDescent="0.25">
      <c r="L351" s="267"/>
      <c r="M351" s="272"/>
      <c r="N351" s="260"/>
      <c r="O351" s="260"/>
      <c r="P351" s="260"/>
      <c r="Q351" s="260"/>
      <c r="R351" s="260"/>
      <c r="S351" s="270"/>
      <c r="T351" s="260"/>
      <c r="U351" s="266"/>
    </row>
    <row r="352" spans="12:21" x14ac:dyDescent="0.25">
      <c r="L352" s="267"/>
      <c r="M352" s="272"/>
      <c r="N352" s="260"/>
      <c r="O352" s="260"/>
      <c r="P352" s="260"/>
      <c r="Q352" s="260"/>
      <c r="R352" s="260"/>
      <c r="S352" s="270"/>
      <c r="T352" s="260"/>
      <c r="U352" s="266"/>
    </row>
    <row r="353" spans="12:21" x14ac:dyDescent="0.25">
      <c r="L353" s="267"/>
      <c r="M353" s="272"/>
      <c r="N353" s="260"/>
      <c r="O353" s="260"/>
      <c r="P353" s="260"/>
      <c r="Q353" s="260"/>
      <c r="R353" s="260"/>
      <c r="S353" s="270"/>
      <c r="T353" s="260"/>
      <c r="U353" s="266"/>
    </row>
    <row r="354" spans="12:21" x14ac:dyDescent="0.25">
      <c r="L354" s="267"/>
      <c r="M354" s="272"/>
      <c r="N354" s="260"/>
      <c r="O354" s="260"/>
      <c r="P354" s="260"/>
      <c r="Q354" s="260"/>
      <c r="R354" s="260"/>
      <c r="S354" s="270"/>
      <c r="T354" s="260"/>
      <c r="U354" s="266"/>
    </row>
    <row r="355" spans="12:21" x14ac:dyDescent="0.25">
      <c r="L355" s="267"/>
      <c r="M355" s="272"/>
      <c r="N355" s="260"/>
      <c r="O355" s="260"/>
      <c r="P355" s="260"/>
      <c r="Q355" s="260"/>
      <c r="R355" s="260"/>
      <c r="S355" s="270"/>
      <c r="T355" s="260"/>
      <c r="U355" s="266"/>
    </row>
    <row r="356" spans="12:21" x14ac:dyDescent="0.25">
      <c r="L356" s="267"/>
      <c r="M356" s="272"/>
      <c r="N356" s="260"/>
      <c r="O356" s="260"/>
      <c r="P356" s="260"/>
      <c r="Q356" s="260"/>
      <c r="R356" s="260"/>
      <c r="S356" s="270"/>
      <c r="T356" s="260"/>
      <c r="U356" s="266"/>
    </row>
    <row r="357" spans="12:21" x14ac:dyDescent="0.25">
      <c r="L357" s="267"/>
      <c r="M357" s="272"/>
      <c r="N357" s="260"/>
      <c r="O357" s="260"/>
      <c r="P357" s="260"/>
      <c r="Q357" s="260"/>
      <c r="R357" s="260"/>
      <c r="S357" s="270"/>
      <c r="T357" s="260"/>
      <c r="U357" s="266"/>
    </row>
    <row r="358" spans="12:21" x14ac:dyDescent="0.25">
      <c r="L358" s="267"/>
      <c r="M358" s="272"/>
      <c r="N358" s="260"/>
      <c r="O358" s="260"/>
      <c r="P358" s="260"/>
      <c r="Q358" s="260"/>
      <c r="R358" s="260"/>
      <c r="S358" s="270"/>
      <c r="T358" s="260"/>
      <c r="U358" s="266"/>
    </row>
    <row r="359" spans="12:21" x14ac:dyDescent="0.25">
      <c r="L359" s="267"/>
      <c r="M359" s="272"/>
      <c r="N359" s="260"/>
      <c r="O359" s="260"/>
      <c r="P359" s="260"/>
      <c r="Q359" s="260"/>
      <c r="R359" s="260"/>
      <c r="S359" s="270"/>
      <c r="T359" s="260"/>
      <c r="U359" s="266"/>
    </row>
    <row r="360" spans="12:21" x14ac:dyDescent="0.25">
      <c r="L360" s="267"/>
      <c r="M360" s="272"/>
      <c r="N360" s="260"/>
      <c r="O360" s="260"/>
      <c r="P360" s="260"/>
      <c r="Q360" s="260"/>
      <c r="R360" s="260"/>
      <c r="S360" s="270"/>
      <c r="T360" s="260"/>
      <c r="U360" s="266"/>
    </row>
    <row r="361" spans="12:21" x14ac:dyDescent="0.25">
      <c r="L361" s="267"/>
      <c r="M361" s="272"/>
      <c r="N361" s="260"/>
      <c r="O361" s="260"/>
      <c r="P361" s="260"/>
      <c r="Q361" s="260"/>
      <c r="R361" s="260"/>
      <c r="S361" s="270"/>
      <c r="T361" s="260"/>
      <c r="U361" s="266"/>
    </row>
    <row r="362" spans="12:21" x14ac:dyDescent="0.25">
      <c r="L362" s="267"/>
      <c r="M362" s="272"/>
      <c r="N362" s="260"/>
      <c r="O362" s="260"/>
      <c r="P362" s="260"/>
      <c r="Q362" s="260"/>
      <c r="R362" s="260"/>
      <c r="S362" s="270"/>
      <c r="T362" s="260"/>
      <c r="U362" s="266"/>
    </row>
    <row r="363" spans="12:21" x14ac:dyDescent="0.25">
      <c r="L363" s="267"/>
      <c r="M363" s="272"/>
      <c r="N363" s="260"/>
      <c r="O363" s="260"/>
      <c r="P363" s="260"/>
      <c r="Q363" s="260"/>
      <c r="R363" s="260"/>
      <c r="S363" s="270"/>
      <c r="T363" s="260"/>
      <c r="U363" s="266"/>
    </row>
    <row r="364" spans="12:21" x14ac:dyDescent="0.25">
      <c r="L364" s="267"/>
      <c r="M364" s="272"/>
      <c r="N364" s="260"/>
      <c r="O364" s="260"/>
      <c r="P364" s="260"/>
      <c r="Q364" s="260"/>
      <c r="R364" s="260"/>
      <c r="S364" s="270"/>
      <c r="T364" s="260"/>
      <c r="U364" s="266"/>
    </row>
    <row r="365" spans="12:21" x14ac:dyDescent="0.25">
      <c r="L365" s="267"/>
      <c r="M365" s="272"/>
      <c r="N365" s="260"/>
      <c r="O365" s="260"/>
      <c r="P365" s="260"/>
      <c r="Q365" s="260"/>
      <c r="R365" s="260"/>
      <c r="S365" s="270"/>
      <c r="T365" s="260"/>
      <c r="U365" s="266"/>
    </row>
    <row r="366" spans="12:21" x14ac:dyDescent="0.25">
      <c r="L366" s="267"/>
      <c r="M366" s="272"/>
      <c r="N366" s="260"/>
      <c r="O366" s="260"/>
      <c r="P366" s="260"/>
      <c r="Q366" s="260"/>
      <c r="R366" s="260"/>
      <c r="S366" s="270"/>
      <c r="T366" s="260"/>
      <c r="U366" s="266"/>
    </row>
    <row r="367" spans="12:21" x14ac:dyDescent="0.25">
      <c r="L367" s="267"/>
      <c r="M367" s="272"/>
      <c r="N367" s="260"/>
      <c r="O367" s="260"/>
      <c r="P367" s="260"/>
      <c r="Q367" s="260"/>
      <c r="R367" s="260"/>
      <c r="S367" s="270"/>
      <c r="T367" s="260"/>
      <c r="U367" s="266"/>
    </row>
    <row r="368" spans="12:21" x14ac:dyDescent="0.25">
      <c r="L368" s="267"/>
      <c r="M368" s="272"/>
      <c r="N368" s="260"/>
      <c r="O368" s="260"/>
      <c r="P368" s="260"/>
      <c r="Q368" s="260"/>
      <c r="R368" s="260"/>
      <c r="S368" s="270"/>
      <c r="T368" s="260"/>
      <c r="U368" s="266"/>
    </row>
    <row r="369" spans="12:21" x14ac:dyDescent="0.25">
      <c r="L369" s="267"/>
      <c r="M369" s="272"/>
      <c r="N369" s="260"/>
      <c r="O369" s="260"/>
      <c r="P369" s="260"/>
      <c r="Q369" s="260"/>
      <c r="R369" s="260"/>
      <c r="S369" s="270"/>
      <c r="T369" s="260"/>
      <c r="U369" s="266"/>
    </row>
    <row r="370" spans="12:21" x14ac:dyDescent="0.25">
      <c r="L370" s="267"/>
      <c r="M370" s="272"/>
      <c r="N370" s="260"/>
      <c r="O370" s="260"/>
      <c r="P370" s="260"/>
      <c r="Q370" s="260"/>
      <c r="R370" s="260"/>
      <c r="S370" s="270"/>
      <c r="T370" s="260"/>
      <c r="U370" s="266"/>
    </row>
    <row r="371" spans="12:21" x14ac:dyDescent="0.25">
      <c r="L371" s="267"/>
      <c r="M371" s="272"/>
      <c r="N371" s="260"/>
      <c r="O371" s="260"/>
      <c r="P371" s="260"/>
      <c r="Q371" s="260"/>
      <c r="R371" s="260"/>
      <c r="S371" s="270"/>
      <c r="T371" s="260"/>
      <c r="U371" s="266"/>
    </row>
    <row r="372" spans="12:21" x14ac:dyDescent="0.25">
      <c r="L372" s="267"/>
      <c r="M372" s="272"/>
      <c r="N372" s="260"/>
      <c r="O372" s="260"/>
      <c r="P372" s="260"/>
      <c r="Q372" s="260"/>
      <c r="R372" s="260"/>
      <c r="S372" s="270"/>
      <c r="T372" s="260"/>
      <c r="U372" s="266"/>
    </row>
    <row r="373" spans="12:21" x14ac:dyDescent="0.25">
      <c r="L373" s="267"/>
      <c r="M373" s="272"/>
      <c r="N373" s="260"/>
      <c r="O373" s="260"/>
      <c r="P373" s="260"/>
      <c r="Q373" s="260"/>
      <c r="R373" s="260"/>
      <c r="S373" s="270"/>
      <c r="T373" s="260"/>
      <c r="U373" s="266"/>
    </row>
    <row r="374" spans="12:21" x14ac:dyDescent="0.25">
      <c r="L374" s="267"/>
      <c r="M374" s="272"/>
      <c r="N374" s="260"/>
      <c r="O374" s="260"/>
      <c r="P374" s="260"/>
      <c r="Q374" s="260"/>
      <c r="R374" s="260"/>
      <c r="S374" s="270"/>
      <c r="T374" s="260"/>
      <c r="U374" s="266"/>
    </row>
    <row r="375" spans="12:21" x14ac:dyDescent="0.25">
      <c r="L375" s="267"/>
      <c r="M375" s="272"/>
      <c r="N375" s="260"/>
      <c r="O375" s="260"/>
      <c r="P375" s="260"/>
      <c r="Q375" s="260"/>
      <c r="R375" s="260"/>
      <c r="S375" s="270"/>
      <c r="T375" s="260"/>
      <c r="U375" s="266"/>
    </row>
    <row r="376" spans="12:21" x14ac:dyDescent="0.25">
      <c r="L376" s="267"/>
      <c r="M376" s="272"/>
      <c r="N376" s="260"/>
      <c r="O376" s="260"/>
      <c r="P376" s="260"/>
      <c r="Q376" s="260"/>
      <c r="R376" s="260"/>
      <c r="S376" s="270"/>
      <c r="T376" s="260"/>
      <c r="U376" s="266"/>
    </row>
    <row r="377" spans="12:21" x14ac:dyDescent="0.25">
      <c r="L377" s="267"/>
      <c r="M377" s="272"/>
      <c r="N377" s="260"/>
      <c r="O377" s="260"/>
      <c r="P377" s="260"/>
      <c r="Q377" s="260"/>
      <c r="R377" s="260"/>
      <c r="S377" s="270"/>
      <c r="T377" s="260"/>
      <c r="U377" s="266"/>
    </row>
    <row r="378" spans="12:21" x14ac:dyDescent="0.25">
      <c r="L378" s="267"/>
      <c r="M378" s="272"/>
      <c r="N378" s="260"/>
      <c r="O378" s="260"/>
      <c r="P378" s="260"/>
      <c r="Q378" s="260"/>
      <c r="R378" s="260"/>
      <c r="S378" s="270"/>
      <c r="T378" s="260"/>
      <c r="U378" s="266"/>
    </row>
    <row r="379" spans="12:21" x14ac:dyDescent="0.25">
      <c r="L379" s="267"/>
      <c r="M379" s="272"/>
      <c r="N379" s="260"/>
      <c r="O379" s="260"/>
      <c r="P379" s="260"/>
      <c r="Q379" s="260"/>
      <c r="R379" s="260"/>
      <c r="S379" s="270"/>
      <c r="T379" s="260"/>
      <c r="U379" s="266"/>
    </row>
    <row r="380" spans="12:21" x14ac:dyDescent="0.25">
      <c r="L380" s="267"/>
      <c r="M380" s="272"/>
      <c r="N380" s="260"/>
      <c r="O380" s="260"/>
      <c r="P380" s="260"/>
      <c r="Q380" s="260"/>
      <c r="R380" s="260"/>
      <c r="S380" s="270"/>
      <c r="T380" s="260"/>
      <c r="U380" s="266"/>
    </row>
    <row r="381" spans="12:21" x14ac:dyDescent="0.25">
      <c r="L381" s="267"/>
      <c r="M381" s="272"/>
      <c r="N381" s="260"/>
      <c r="O381" s="260"/>
      <c r="P381" s="260"/>
      <c r="Q381" s="260"/>
      <c r="R381" s="260"/>
      <c r="S381" s="270"/>
      <c r="T381" s="260"/>
      <c r="U381" s="266"/>
    </row>
    <row r="382" spans="12:21" x14ac:dyDescent="0.25">
      <c r="L382" s="267"/>
      <c r="M382" s="272"/>
      <c r="N382" s="260"/>
      <c r="O382" s="260"/>
      <c r="P382" s="260"/>
      <c r="Q382" s="260"/>
      <c r="R382" s="260"/>
      <c r="S382" s="270"/>
      <c r="T382" s="260"/>
      <c r="U382" s="266"/>
    </row>
    <row r="383" spans="12:21" x14ac:dyDescent="0.25">
      <c r="L383" s="267"/>
      <c r="M383" s="272"/>
      <c r="N383" s="260"/>
      <c r="O383" s="260"/>
      <c r="P383" s="260"/>
      <c r="Q383" s="260"/>
      <c r="R383" s="260"/>
      <c r="S383" s="270"/>
      <c r="T383" s="260"/>
      <c r="U383" s="266"/>
    </row>
    <row r="384" spans="12:21" x14ac:dyDescent="0.25">
      <c r="L384" s="267"/>
      <c r="M384" s="272"/>
      <c r="N384" s="260"/>
      <c r="O384" s="260"/>
      <c r="P384" s="260"/>
      <c r="Q384" s="260"/>
      <c r="R384" s="260"/>
      <c r="S384" s="270"/>
      <c r="T384" s="260"/>
      <c r="U384" s="266"/>
    </row>
    <row r="385" spans="12:21" x14ac:dyDescent="0.25">
      <c r="L385" s="267"/>
      <c r="M385" s="272"/>
      <c r="N385" s="260"/>
      <c r="O385" s="260"/>
      <c r="P385" s="260"/>
      <c r="Q385" s="260"/>
      <c r="R385" s="260"/>
      <c r="S385" s="270"/>
      <c r="T385" s="260"/>
      <c r="U385" s="266"/>
    </row>
    <row r="386" spans="12:21" x14ac:dyDescent="0.25">
      <c r="L386" s="267"/>
      <c r="M386" s="272"/>
      <c r="N386" s="260"/>
      <c r="O386" s="260"/>
      <c r="P386" s="260"/>
      <c r="Q386" s="260"/>
      <c r="R386" s="260"/>
      <c r="S386" s="270"/>
      <c r="T386" s="260"/>
      <c r="U386" s="266"/>
    </row>
    <row r="387" spans="12:21" x14ac:dyDescent="0.25">
      <c r="L387" s="267"/>
      <c r="M387" s="272"/>
      <c r="N387" s="260"/>
      <c r="O387" s="260"/>
      <c r="P387" s="260"/>
      <c r="Q387" s="260"/>
      <c r="R387" s="260"/>
      <c r="S387" s="270"/>
      <c r="T387" s="260"/>
      <c r="U387" s="266"/>
    </row>
    <row r="388" spans="12:21" x14ac:dyDescent="0.25">
      <c r="L388" s="267"/>
      <c r="M388" s="272"/>
      <c r="N388" s="260"/>
      <c r="O388" s="260"/>
      <c r="P388" s="260"/>
      <c r="Q388" s="260"/>
      <c r="R388" s="260"/>
      <c r="S388" s="270"/>
      <c r="T388" s="260"/>
      <c r="U388" s="266"/>
    </row>
    <row r="389" spans="12:21" x14ac:dyDescent="0.25">
      <c r="L389" s="267"/>
      <c r="M389" s="272"/>
      <c r="N389" s="260"/>
      <c r="O389" s="260"/>
      <c r="P389" s="260"/>
      <c r="Q389" s="260"/>
      <c r="R389" s="260"/>
      <c r="S389" s="270"/>
      <c r="T389" s="260"/>
      <c r="U389" s="266"/>
    </row>
    <row r="390" spans="12:21" x14ac:dyDescent="0.25">
      <c r="L390" s="267"/>
      <c r="M390" s="272"/>
      <c r="N390" s="260"/>
      <c r="O390" s="260"/>
      <c r="P390" s="260"/>
      <c r="Q390" s="260"/>
      <c r="R390" s="260"/>
      <c r="S390" s="270"/>
      <c r="T390" s="260"/>
      <c r="U390" s="266"/>
    </row>
    <row r="391" spans="12:21" x14ac:dyDescent="0.25">
      <c r="L391" s="267"/>
      <c r="M391" s="272"/>
      <c r="N391" s="260"/>
      <c r="O391" s="260"/>
      <c r="P391" s="260"/>
      <c r="Q391" s="260"/>
      <c r="R391" s="260"/>
      <c r="S391" s="270"/>
      <c r="T391" s="260"/>
      <c r="U391" s="266"/>
    </row>
    <row r="392" spans="12:21" x14ac:dyDescent="0.25">
      <c r="L392" s="267"/>
      <c r="M392" s="272"/>
      <c r="N392" s="260"/>
      <c r="O392" s="260"/>
      <c r="P392" s="260"/>
      <c r="Q392" s="260"/>
      <c r="R392" s="260"/>
      <c r="S392" s="270"/>
      <c r="T392" s="260"/>
      <c r="U392" s="266"/>
    </row>
    <row r="393" spans="12:21" x14ac:dyDescent="0.25">
      <c r="L393" s="267"/>
      <c r="M393" s="272"/>
      <c r="N393" s="260"/>
      <c r="O393" s="260"/>
      <c r="P393" s="260"/>
      <c r="Q393" s="260"/>
      <c r="R393" s="260"/>
      <c r="S393" s="270"/>
      <c r="T393" s="260"/>
      <c r="U393" s="266"/>
    </row>
    <row r="394" spans="12:21" x14ac:dyDescent="0.25">
      <c r="L394" s="267"/>
      <c r="M394" s="272"/>
      <c r="N394" s="260"/>
      <c r="O394" s="260"/>
      <c r="P394" s="260"/>
      <c r="Q394" s="260"/>
      <c r="R394" s="260"/>
      <c r="S394" s="270"/>
      <c r="T394" s="260"/>
      <c r="U394" s="266"/>
    </row>
    <row r="395" spans="12:21" x14ac:dyDescent="0.25">
      <c r="L395" s="267"/>
      <c r="M395" s="272"/>
      <c r="N395" s="260"/>
      <c r="O395" s="260"/>
      <c r="P395" s="260"/>
      <c r="Q395" s="260"/>
      <c r="R395" s="260"/>
      <c r="S395" s="270"/>
      <c r="T395" s="260"/>
      <c r="U395" s="266"/>
    </row>
    <row r="396" spans="12:21" x14ac:dyDescent="0.25">
      <c r="L396" s="267"/>
      <c r="M396" s="272"/>
      <c r="N396" s="260"/>
      <c r="O396" s="260"/>
      <c r="P396" s="260"/>
      <c r="Q396" s="260"/>
      <c r="R396" s="260"/>
      <c r="S396" s="270"/>
      <c r="T396" s="260"/>
      <c r="U396" s="266"/>
    </row>
    <row r="397" spans="12:21" x14ac:dyDescent="0.25">
      <c r="L397" s="267"/>
      <c r="M397" s="272"/>
      <c r="N397" s="260"/>
      <c r="O397" s="260"/>
      <c r="P397" s="260"/>
      <c r="Q397" s="260"/>
      <c r="R397" s="260"/>
      <c r="S397" s="270"/>
      <c r="T397" s="260"/>
      <c r="U397" s="266"/>
    </row>
    <row r="398" spans="12:21" x14ac:dyDescent="0.25">
      <c r="L398" s="267"/>
      <c r="M398" s="272"/>
      <c r="N398" s="260"/>
      <c r="O398" s="260"/>
      <c r="P398" s="260"/>
      <c r="Q398" s="260"/>
      <c r="R398" s="260"/>
      <c r="S398" s="270"/>
      <c r="T398" s="260"/>
      <c r="U398" s="266"/>
    </row>
    <row r="399" spans="12:21" x14ac:dyDescent="0.25">
      <c r="L399" s="267"/>
      <c r="M399" s="272"/>
      <c r="N399" s="260"/>
      <c r="O399" s="260"/>
      <c r="P399" s="260"/>
      <c r="Q399" s="260"/>
      <c r="R399" s="260"/>
      <c r="S399" s="270"/>
      <c r="T399" s="260"/>
      <c r="U399" s="266"/>
    </row>
    <row r="400" spans="12:21" x14ac:dyDescent="0.25">
      <c r="L400" s="267"/>
      <c r="M400" s="272"/>
      <c r="N400" s="260"/>
      <c r="O400" s="260"/>
      <c r="P400" s="260"/>
      <c r="Q400" s="260"/>
      <c r="R400" s="260"/>
      <c r="S400" s="270"/>
      <c r="T400" s="260"/>
      <c r="U400" s="266"/>
    </row>
    <row r="401" spans="12:21" x14ac:dyDescent="0.25">
      <c r="L401" s="267"/>
      <c r="M401" s="272"/>
      <c r="N401" s="260"/>
      <c r="O401" s="260"/>
      <c r="P401" s="260"/>
      <c r="Q401" s="260"/>
      <c r="R401" s="260"/>
      <c r="S401" s="270"/>
      <c r="T401" s="260"/>
      <c r="U401" s="266"/>
    </row>
    <row r="402" spans="12:21" x14ac:dyDescent="0.25">
      <c r="L402" s="267"/>
      <c r="M402" s="272"/>
      <c r="N402" s="260"/>
      <c r="O402" s="260"/>
      <c r="P402" s="260"/>
      <c r="Q402" s="260"/>
      <c r="R402" s="260"/>
      <c r="S402" s="270"/>
      <c r="T402" s="260"/>
      <c r="U402" s="266"/>
    </row>
    <row r="403" spans="12:21" x14ac:dyDescent="0.25">
      <c r="L403" s="267"/>
      <c r="M403" s="272"/>
      <c r="N403" s="260"/>
      <c r="O403" s="260"/>
      <c r="P403" s="260"/>
      <c r="Q403" s="260"/>
      <c r="R403" s="260"/>
      <c r="S403" s="270"/>
      <c r="T403" s="260"/>
      <c r="U403" s="266"/>
    </row>
    <row r="404" spans="12:21" x14ac:dyDescent="0.25">
      <c r="L404" s="267"/>
      <c r="M404" s="272"/>
      <c r="N404" s="260"/>
      <c r="O404" s="260"/>
      <c r="P404" s="260"/>
      <c r="Q404" s="260"/>
      <c r="R404" s="260"/>
      <c r="S404" s="270"/>
      <c r="T404" s="260"/>
      <c r="U404" s="266"/>
    </row>
    <row r="405" spans="12:21" x14ac:dyDescent="0.25">
      <c r="L405" s="267"/>
      <c r="M405" s="272"/>
      <c r="N405" s="260"/>
      <c r="O405" s="260"/>
      <c r="P405" s="260"/>
      <c r="Q405" s="260"/>
      <c r="R405" s="260"/>
      <c r="S405" s="270"/>
      <c r="T405" s="260"/>
      <c r="U405" s="266"/>
    </row>
    <row r="406" spans="12:21" x14ac:dyDescent="0.25">
      <c r="L406" s="267"/>
      <c r="M406" s="272"/>
      <c r="N406" s="260"/>
      <c r="O406" s="260"/>
      <c r="P406" s="260"/>
      <c r="Q406" s="260"/>
      <c r="R406" s="260"/>
      <c r="S406" s="270"/>
      <c r="T406" s="260"/>
      <c r="U406" s="266"/>
    </row>
    <row r="407" spans="12:21" x14ac:dyDescent="0.25">
      <c r="L407" s="267"/>
      <c r="M407" s="272"/>
      <c r="N407" s="260"/>
      <c r="O407" s="260"/>
      <c r="P407" s="260"/>
      <c r="Q407" s="260"/>
      <c r="R407" s="260"/>
      <c r="S407" s="270"/>
      <c r="T407" s="260"/>
      <c r="U407" s="266"/>
    </row>
    <row r="408" spans="12:21" x14ac:dyDescent="0.25">
      <c r="L408" s="267"/>
      <c r="M408" s="272"/>
      <c r="N408" s="260"/>
      <c r="O408" s="260"/>
      <c r="P408" s="260"/>
      <c r="Q408" s="260"/>
      <c r="R408" s="260"/>
      <c r="S408" s="270"/>
      <c r="T408" s="260"/>
      <c r="U408" s="266"/>
    </row>
    <row r="409" spans="12:21" x14ac:dyDescent="0.25">
      <c r="L409" s="267"/>
      <c r="M409" s="272"/>
      <c r="N409" s="260"/>
      <c r="O409" s="260"/>
      <c r="P409" s="260"/>
      <c r="Q409" s="260"/>
      <c r="R409" s="260"/>
      <c r="S409" s="270"/>
      <c r="T409" s="260"/>
      <c r="U409" s="266"/>
    </row>
    <row r="410" spans="12:21" x14ac:dyDescent="0.25">
      <c r="L410" s="267"/>
      <c r="M410" s="272"/>
      <c r="N410" s="260"/>
      <c r="O410" s="260"/>
      <c r="P410" s="260"/>
      <c r="Q410" s="260"/>
      <c r="R410" s="260"/>
      <c r="S410" s="270"/>
      <c r="T410" s="260"/>
      <c r="U410" s="266"/>
    </row>
    <row r="411" spans="12:21" x14ac:dyDescent="0.25">
      <c r="L411" s="267"/>
      <c r="M411" s="272"/>
      <c r="N411" s="260"/>
      <c r="O411" s="260"/>
      <c r="P411" s="260"/>
      <c r="Q411" s="260"/>
      <c r="R411" s="260"/>
      <c r="S411" s="270"/>
      <c r="T411" s="260"/>
      <c r="U411" s="266"/>
    </row>
    <row r="412" spans="12:21" x14ac:dyDescent="0.25">
      <c r="L412" s="267"/>
      <c r="M412" s="272"/>
      <c r="N412" s="260"/>
      <c r="O412" s="260"/>
      <c r="P412" s="260"/>
      <c r="Q412" s="260"/>
      <c r="R412" s="260"/>
      <c r="S412" s="270"/>
      <c r="T412" s="260"/>
      <c r="U412" s="266"/>
    </row>
    <row r="413" spans="12:21" x14ac:dyDescent="0.25">
      <c r="L413" s="267"/>
      <c r="M413" s="272"/>
      <c r="N413" s="260"/>
      <c r="O413" s="260"/>
      <c r="P413" s="260"/>
      <c r="Q413" s="260"/>
      <c r="R413" s="260"/>
      <c r="S413" s="270"/>
      <c r="T413" s="260"/>
      <c r="U413" s="266"/>
    </row>
    <row r="414" spans="12:21" x14ac:dyDescent="0.25">
      <c r="L414" s="267"/>
      <c r="M414" s="272"/>
      <c r="N414" s="260"/>
      <c r="O414" s="260"/>
      <c r="P414" s="260"/>
      <c r="Q414" s="260"/>
      <c r="R414" s="260"/>
      <c r="S414" s="270"/>
      <c r="T414" s="260"/>
      <c r="U414" s="266"/>
    </row>
    <row r="415" spans="12:21" x14ac:dyDescent="0.25">
      <c r="L415" s="267"/>
      <c r="M415" s="272"/>
      <c r="N415" s="260"/>
      <c r="O415" s="260"/>
      <c r="P415" s="260"/>
      <c r="Q415" s="260"/>
      <c r="R415" s="260"/>
      <c r="S415" s="270"/>
      <c r="T415" s="260"/>
      <c r="U415" s="266"/>
    </row>
    <row r="416" spans="12:21" x14ac:dyDescent="0.25">
      <c r="L416" s="267"/>
      <c r="M416" s="272"/>
      <c r="N416" s="260"/>
      <c r="O416" s="260"/>
      <c r="P416" s="260"/>
      <c r="Q416" s="260"/>
      <c r="R416" s="260"/>
      <c r="S416" s="270"/>
      <c r="T416" s="260"/>
      <c r="U416" s="266"/>
    </row>
    <row r="417" spans="12:21" x14ac:dyDescent="0.25">
      <c r="L417" s="267"/>
      <c r="M417" s="272"/>
      <c r="N417" s="260"/>
      <c r="O417" s="260"/>
      <c r="P417" s="260"/>
      <c r="Q417" s="260"/>
      <c r="R417" s="260"/>
      <c r="S417" s="270"/>
      <c r="T417" s="260"/>
      <c r="U417" s="266"/>
    </row>
    <row r="418" spans="12:21" x14ac:dyDescent="0.25">
      <c r="L418" s="267"/>
      <c r="M418" s="272"/>
      <c r="N418" s="260"/>
      <c r="O418" s="260"/>
      <c r="P418" s="260"/>
      <c r="Q418" s="260"/>
      <c r="R418" s="260"/>
      <c r="S418" s="270"/>
      <c r="T418" s="260"/>
      <c r="U418" s="266"/>
    </row>
    <row r="419" spans="12:21" x14ac:dyDescent="0.25">
      <c r="L419" s="267"/>
      <c r="M419" s="272"/>
      <c r="N419" s="260"/>
      <c r="O419" s="260"/>
      <c r="P419" s="260"/>
      <c r="Q419" s="260"/>
      <c r="R419" s="260"/>
      <c r="S419" s="270"/>
      <c r="T419" s="260"/>
      <c r="U419" s="266"/>
    </row>
    <row r="420" spans="12:21" x14ac:dyDescent="0.25">
      <c r="L420" s="267"/>
      <c r="M420" s="272"/>
      <c r="N420" s="260"/>
      <c r="O420" s="260"/>
      <c r="P420" s="260"/>
      <c r="Q420" s="260"/>
      <c r="R420" s="260"/>
      <c r="S420" s="270"/>
      <c r="T420" s="260"/>
      <c r="U420" s="266"/>
    </row>
    <row r="421" spans="12:21" x14ac:dyDescent="0.25">
      <c r="L421" s="267"/>
      <c r="M421" s="272"/>
      <c r="N421" s="260"/>
      <c r="O421" s="260"/>
      <c r="P421" s="260"/>
      <c r="Q421" s="260"/>
      <c r="R421" s="260"/>
      <c r="S421" s="270"/>
      <c r="T421" s="260"/>
      <c r="U421" s="266"/>
    </row>
    <row r="422" spans="12:21" x14ac:dyDescent="0.25">
      <c r="L422" s="267"/>
      <c r="M422" s="272"/>
      <c r="N422" s="260"/>
      <c r="O422" s="260"/>
      <c r="P422" s="260"/>
      <c r="Q422" s="260"/>
      <c r="R422" s="260"/>
      <c r="S422" s="270"/>
      <c r="T422" s="260"/>
      <c r="U422" s="266"/>
    </row>
    <row r="423" spans="12:21" x14ac:dyDescent="0.25">
      <c r="L423" s="267"/>
      <c r="M423" s="272"/>
      <c r="N423" s="260"/>
      <c r="O423" s="260"/>
      <c r="P423" s="260"/>
      <c r="Q423" s="260"/>
      <c r="R423" s="260"/>
      <c r="S423" s="270"/>
      <c r="T423" s="260"/>
      <c r="U423" s="266"/>
    </row>
    <row r="424" spans="12:21" x14ac:dyDescent="0.25">
      <c r="L424" s="267"/>
      <c r="M424" s="272"/>
      <c r="N424" s="260"/>
      <c r="O424" s="260"/>
      <c r="P424" s="260"/>
      <c r="Q424" s="260"/>
      <c r="R424" s="260"/>
      <c r="S424" s="270"/>
      <c r="T424" s="260"/>
      <c r="U424" s="266"/>
    </row>
    <row r="425" spans="12:21" x14ac:dyDescent="0.25">
      <c r="L425" s="267"/>
      <c r="M425" s="272"/>
      <c r="N425" s="260"/>
      <c r="O425" s="260"/>
      <c r="P425" s="260"/>
      <c r="Q425" s="260"/>
      <c r="R425" s="260"/>
      <c r="S425" s="270"/>
      <c r="T425" s="260"/>
      <c r="U425" s="266"/>
    </row>
    <row r="426" spans="12:21" x14ac:dyDescent="0.25">
      <c r="L426" s="267"/>
      <c r="M426" s="272"/>
      <c r="N426" s="260"/>
      <c r="O426" s="260"/>
      <c r="P426" s="260"/>
      <c r="Q426" s="260"/>
      <c r="R426" s="260"/>
      <c r="S426" s="270"/>
      <c r="T426" s="260"/>
      <c r="U426" s="266"/>
    </row>
    <row r="427" spans="12:21" x14ac:dyDescent="0.25">
      <c r="L427" s="267"/>
      <c r="M427" s="272"/>
      <c r="N427" s="260"/>
      <c r="O427" s="260"/>
      <c r="P427" s="260"/>
      <c r="Q427" s="260"/>
      <c r="R427" s="260"/>
      <c r="S427" s="270"/>
      <c r="T427" s="260"/>
      <c r="U427" s="266"/>
    </row>
    <row r="428" spans="12:21" x14ac:dyDescent="0.25">
      <c r="L428" s="267"/>
      <c r="M428" s="272"/>
      <c r="N428" s="260"/>
      <c r="O428" s="260"/>
      <c r="P428" s="260"/>
      <c r="Q428" s="260"/>
      <c r="R428" s="260"/>
      <c r="S428" s="270"/>
      <c r="T428" s="260"/>
      <c r="U428" s="266"/>
    </row>
    <row r="429" spans="12:21" x14ac:dyDescent="0.25">
      <c r="L429" s="267"/>
      <c r="M429" s="272"/>
      <c r="N429" s="260"/>
      <c r="O429" s="260"/>
      <c r="P429" s="260"/>
      <c r="Q429" s="260"/>
      <c r="R429" s="260"/>
      <c r="S429" s="270"/>
      <c r="T429" s="260"/>
      <c r="U429" s="266"/>
    </row>
    <row r="430" spans="12:21" x14ac:dyDescent="0.25">
      <c r="L430" s="267"/>
      <c r="M430" s="272"/>
      <c r="N430" s="260"/>
      <c r="O430" s="260"/>
      <c r="P430" s="260"/>
      <c r="Q430" s="260"/>
      <c r="R430" s="260"/>
      <c r="S430" s="270"/>
      <c r="T430" s="260"/>
      <c r="U430" s="266"/>
    </row>
    <row r="431" spans="12:21" x14ac:dyDescent="0.25">
      <c r="L431" s="267"/>
      <c r="M431" s="272"/>
      <c r="N431" s="260"/>
      <c r="O431" s="260"/>
      <c r="P431" s="260"/>
      <c r="Q431" s="260"/>
      <c r="R431" s="260"/>
      <c r="S431" s="270"/>
      <c r="T431" s="260"/>
      <c r="U431" s="266"/>
    </row>
    <row r="432" spans="12:21" x14ac:dyDescent="0.25">
      <c r="L432" s="267"/>
      <c r="M432" s="272"/>
      <c r="N432" s="260"/>
      <c r="O432" s="260"/>
      <c r="P432" s="260"/>
      <c r="Q432" s="260"/>
      <c r="R432" s="260"/>
      <c r="S432" s="270"/>
      <c r="T432" s="260"/>
      <c r="U432" s="266"/>
    </row>
    <row r="433" spans="12:21" x14ac:dyDescent="0.25">
      <c r="L433" s="267"/>
      <c r="M433" s="272"/>
      <c r="N433" s="260"/>
      <c r="O433" s="260"/>
      <c r="P433" s="260"/>
      <c r="Q433" s="260"/>
      <c r="R433" s="260"/>
      <c r="S433" s="270"/>
      <c r="T433" s="260"/>
      <c r="U433" s="266"/>
    </row>
    <row r="434" spans="12:21" x14ac:dyDescent="0.25">
      <c r="L434" s="267"/>
      <c r="M434" s="272"/>
      <c r="N434" s="260"/>
      <c r="O434" s="260"/>
      <c r="P434" s="260"/>
      <c r="Q434" s="260"/>
      <c r="R434" s="260"/>
      <c r="S434" s="270"/>
      <c r="T434" s="260"/>
      <c r="U434" s="266"/>
    </row>
    <row r="435" spans="12:21" x14ac:dyDescent="0.25">
      <c r="L435" s="267"/>
      <c r="M435" s="272"/>
      <c r="N435" s="260"/>
      <c r="O435" s="260"/>
      <c r="P435" s="260"/>
      <c r="Q435" s="260"/>
      <c r="R435" s="260"/>
      <c r="S435" s="270"/>
      <c r="T435" s="260"/>
      <c r="U435" s="266"/>
    </row>
    <row r="436" spans="12:21" x14ac:dyDescent="0.25">
      <c r="L436" s="267"/>
      <c r="M436" s="272"/>
      <c r="N436" s="260"/>
      <c r="O436" s="260"/>
      <c r="P436" s="260"/>
      <c r="Q436" s="260"/>
      <c r="R436" s="260"/>
      <c r="S436" s="270"/>
      <c r="T436" s="260"/>
      <c r="U436" s="266"/>
    </row>
    <row r="437" spans="12:21" x14ac:dyDescent="0.25">
      <c r="L437" s="267"/>
      <c r="M437" s="272"/>
      <c r="N437" s="260"/>
      <c r="O437" s="260"/>
      <c r="P437" s="260"/>
      <c r="Q437" s="260"/>
      <c r="R437" s="260"/>
      <c r="S437" s="270"/>
      <c r="T437" s="260"/>
      <c r="U437" s="266"/>
    </row>
    <row r="438" spans="12:21" x14ac:dyDescent="0.25">
      <c r="L438" s="267"/>
      <c r="M438" s="272"/>
      <c r="N438" s="260"/>
      <c r="O438" s="260"/>
      <c r="P438" s="260"/>
      <c r="Q438" s="260"/>
      <c r="R438" s="260"/>
      <c r="S438" s="270"/>
      <c r="T438" s="260"/>
      <c r="U438" s="266"/>
    </row>
    <row r="439" spans="12:21" x14ac:dyDescent="0.25">
      <c r="L439" s="267"/>
      <c r="M439" s="272"/>
      <c r="N439" s="260"/>
      <c r="O439" s="260"/>
      <c r="P439" s="260"/>
      <c r="Q439" s="260"/>
      <c r="R439" s="260"/>
      <c r="S439" s="270"/>
      <c r="T439" s="260"/>
      <c r="U439" s="266"/>
    </row>
    <row r="440" spans="12:21" x14ac:dyDescent="0.25">
      <c r="L440" s="267"/>
      <c r="M440" s="272"/>
      <c r="N440" s="260"/>
      <c r="O440" s="260"/>
      <c r="P440" s="260"/>
      <c r="Q440" s="260"/>
      <c r="R440" s="260"/>
      <c r="S440" s="270"/>
      <c r="T440" s="260"/>
      <c r="U440" s="266"/>
    </row>
    <row r="441" spans="12:21" x14ac:dyDescent="0.25">
      <c r="L441" s="267"/>
      <c r="M441" s="272"/>
      <c r="N441" s="260"/>
      <c r="O441" s="260"/>
      <c r="P441" s="260"/>
      <c r="Q441" s="260"/>
      <c r="R441" s="260"/>
      <c r="S441" s="270"/>
      <c r="T441" s="260"/>
      <c r="U441" s="266"/>
    </row>
    <row r="442" spans="12:21" x14ac:dyDescent="0.25">
      <c r="L442" s="267"/>
      <c r="M442" s="272"/>
      <c r="N442" s="260"/>
      <c r="O442" s="260"/>
      <c r="P442" s="260"/>
      <c r="Q442" s="260"/>
      <c r="R442" s="260"/>
      <c r="S442" s="270"/>
      <c r="T442" s="260"/>
      <c r="U442" s="266"/>
    </row>
    <row r="443" spans="12:21" x14ac:dyDescent="0.25">
      <c r="L443" s="267"/>
      <c r="M443" s="272"/>
      <c r="N443" s="260"/>
      <c r="O443" s="260"/>
      <c r="P443" s="260"/>
      <c r="Q443" s="260"/>
      <c r="R443" s="260"/>
      <c r="S443" s="270"/>
      <c r="T443" s="260"/>
      <c r="U443" s="266"/>
    </row>
    <row r="444" spans="12:21" x14ac:dyDescent="0.25">
      <c r="L444" s="267"/>
      <c r="M444" s="272"/>
      <c r="N444" s="260"/>
      <c r="O444" s="260"/>
      <c r="P444" s="260"/>
      <c r="Q444" s="260"/>
      <c r="R444" s="260"/>
      <c r="S444" s="270"/>
      <c r="T444" s="260"/>
      <c r="U444" s="266"/>
    </row>
    <row r="445" spans="12:21" x14ac:dyDescent="0.25">
      <c r="L445" s="267"/>
      <c r="M445" s="272"/>
      <c r="N445" s="260"/>
      <c r="O445" s="260"/>
      <c r="P445" s="260"/>
      <c r="Q445" s="260"/>
      <c r="R445" s="260"/>
      <c r="S445" s="270"/>
      <c r="T445" s="260"/>
      <c r="U445" s="266"/>
    </row>
    <row r="446" spans="12:21" x14ac:dyDescent="0.25">
      <c r="L446" s="267"/>
      <c r="M446" s="272"/>
      <c r="N446" s="260"/>
      <c r="O446" s="260"/>
      <c r="P446" s="260"/>
      <c r="Q446" s="260"/>
      <c r="R446" s="260"/>
      <c r="S446" s="270"/>
      <c r="T446" s="260"/>
      <c r="U446" s="266"/>
    </row>
    <row r="447" spans="12:21" x14ac:dyDescent="0.25">
      <c r="L447" s="267"/>
      <c r="M447" s="272"/>
      <c r="N447" s="260"/>
      <c r="O447" s="260"/>
      <c r="P447" s="260"/>
      <c r="Q447" s="260"/>
      <c r="R447" s="260"/>
      <c r="S447" s="270"/>
      <c r="T447" s="260"/>
      <c r="U447" s="266"/>
    </row>
    <row r="448" spans="12:21" x14ac:dyDescent="0.25">
      <c r="L448" s="267"/>
      <c r="M448" s="272"/>
      <c r="N448" s="260"/>
      <c r="O448" s="260"/>
      <c r="P448" s="260"/>
      <c r="Q448" s="260"/>
      <c r="R448" s="260"/>
      <c r="S448" s="270"/>
      <c r="T448" s="260"/>
      <c r="U448" s="266"/>
    </row>
    <row r="449" spans="12:21" x14ac:dyDescent="0.25">
      <c r="L449" s="267"/>
      <c r="M449" s="272"/>
      <c r="N449" s="260"/>
      <c r="O449" s="260"/>
      <c r="P449" s="260"/>
      <c r="Q449" s="260"/>
      <c r="R449" s="260"/>
      <c r="S449" s="270"/>
      <c r="T449" s="260"/>
      <c r="U449" s="266"/>
    </row>
    <row r="450" spans="12:21" x14ac:dyDescent="0.25">
      <c r="L450" s="267"/>
      <c r="M450" s="272"/>
      <c r="N450" s="260"/>
      <c r="O450" s="260"/>
      <c r="P450" s="260"/>
      <c r="Q450" s="260"/>
      <c r="R450" s="260"/>
      <c r="S450" s="270"/>
      <c r="T450" s="260"/>
      <c r="U450" s="266"/>
    </row>
    <row r="451" spans="12:21" x14ac:dyDescent="0.25">
      <c r="L451" s="267"/>
      <c r="M451" s="272"/>
      <c r="N451" s="260"/>
      <c r="O451" s="260"/>
      <c r="P451" s="260"/>
      <c r="Q451" s="260"/>
      <c r="R451" s="260"/>
      <c r="S451" s="270"/>
      <c r="T451" s="260"/>
      <c r="U451" s="266"/>
    </row>
    <row r="452" spans="12:21" x14ac:dyDescent="0.25">
      <c r="L452" s="267"/>
      <c r="M452" s="272"/>
      <c r="N452" s="260"/>
      <c r="O452" s="260"/>
      <c r="P452" s="260"/>
      <c r="Q452" s="260"/>
      <c r="R452" s="260"/>
      <c r="S452" s="270"/>
      <c r="T452" s="260"/>
      <c r="U452" s="266"/>
    </row>
    <row r="453" spans="12:21" x14ac:dyDescent="0.25">
      <c r="L453" s="267"/>
      <c r="M453" s="272"/>
      <c r="N453" s="260"/>
      <c r="O453" s="260"/>
      <c r="P453" s="260"/>
      <c r="Q453" s="260"/>
      <c r="R453" s="260"/>
      <c r="S453" s="270"/>
      <c r="T453" s="260"/>
      <c r="U453" s="266"/>
    </row>
    <row r="454" spans="12:21" x14ac:dyDescent="0.25">
      <c r="L454" s="267"/>
      <c r="M454" s="272"/>
      <c r="N454" s="260"/>
      <c r="O454" s="260"/>
      <c r="P454" s="260"/>
      <c r="Q454" s="260"/>
      <c r="R454" s="260"/>
      <c r="S454" s="270"/>
      <c r="T454" s="260"/>
      <c r="U454" s="266"/>
    </row>
    <row r="455" spans="12:21" x14ac:dyDescent="0.25">
      <c r="L455" s="267"/>
      <c r="M455" s="272"/>
      <c r="N455" s="260"/>
      <c r="O455" s="260"/>
      <c r="P455" s="260"/>
      <c r="Q455" s="260"/>
      <c r="R455" s="260"/>
      <c r="S455" s="270"/>
      <c r="T455" s="260"/>
      <c r="U455" s="266"/>
    </row>
    <row r="456" spans="12:21" x14ac:dyDescent="0.25">
      <c r="L456" s="267"/>
      <c r="M456" s="272"/>
      <c r="N456" s="260"/>
      <c r="O456" s="260"/>
      <c r="P456" s="260"/>
      <c r="Q456" s="260"/>
      <c r="R456" s="260"/>
      <c r="S456" s="270"/>
      <c r="T456" s="260"/>
      <c r="U456" s="266"/>
    </row>
    <row r="457" spans="12:21" x14ac:dyDescent="0.25">
      <c r="L457" s="267"/>
      <c r="M457" s="272"/>
      <c r="N457" s="260"/>
      <c r="O457" s="260"/>
      <c r="P457" s="260"/>
      <c r="Q457" s="260"/>
      <c r="R457" s="260"/>
      <c r="S457" s="270"/>
      <c r="T457" s="260"/>
      <c r="U457" s="266"/>
    </row>
    <row r="458" spans="12:21" x14ac:dyDescent="0.25">
      <c r="L458" s="267"/>
      <c r="M458" s="272"/>
      <c r="N458" s="260"/>
      <c r="O458" s="260"/>
      <c r="P458" s="260"/>
      <c r="Q458" s="260"/>
      <c r="R458" s="260"/>
      <c r="S458" s="270"/>
      <c r="T458" s="260"/>
      <c r="U458" s="266"/>
    </row>
    <row r="459" spans="12:21" x14ac:dyDescent="0.25">
      <c r="L459" s="267"/>
      <c r="M459" s="272"/>
      <c r="N459" s="260"/>
      <c r="O459" s="260"/>
      <c r="P459" s="260"/>
      <c r="Q459" s="260"/>
      <c r="R459" s="260"/>
      <c r="S459" s="270"/>
      <c r="T459" s="260"/>
      <c r="U459" s="266"/>
    </row>
    <row r="460" spans="12:21" x14ac:dyDescent="0.25">
      <c r="L460" s="267"/>
      <c r="M460" s="272"/>
      <c r="N460" s="260"/>
      <c r="O460" s="260"/>
      <c r="P460" s="260"/>
      <c r="Q460" s="260"/>
      <c r="R460" s="260"/>
      <c r="S460" s="270"/>
      <c r="T460" s="260"/>
      <c r="U460" s="266"/>
    </row>
    <row r="461" spans="12:21" x14ac:dyDescent="0.25">
      <c r="L461" s="267"/>
      <c r="M461" s="272"/>
      <c r="N461" s="260"/>
      <c r="O461" s="260"/>
      <c r="P461" s="260"/>
      <c r="Q461" s="260"/>
      <c r="R461" s="260"/>
      <c r="S461" s="270"/>
      <c r="T461" s="260"/>
      <c r="U461" s="266"/>
    </row>
    <row r="462" spans="12:21" x14ac:dyDescent="0.25">
      <c r="L462" s="267"/>
      <c r="M462" s="272"/>
      <c r="N462" s="260"/>
      <c r="O462" s="260"/>
      <c r="P462" s="260"/>
      <c r="Q462" s="260"/>
      <c r="R462" s="260"/>
      <c r="S462" s="270"/>
      <c r="T462" s="260"/>
      <c r="U462" s="266"/>
    </row>
    <row r="463" spans="12:21" x14ac:dyDescent="0.25">
      <c r="L463" s="267"/>
      <c r="M463" s="272"/>
      <c r="N463" s="260"/>
      <c r="O463" s="260"/>
      <c r="P463" s="260"/>
      <c r="Q463" s="260"/>
      <c r="R463" s="260"/>
      <c r="S463" s="270"/>
      <c r="T463" s="260"/>
      <c r="U463" s="266"/>
    </row>
    <row r="464" spans="12:21" x14ac:dyDescent="0.25">
      <c r="L464" s="267"/>
      <c r="M464" s="272"/>
      <c r="N464" s="260"/>
      <c r="O464" s="260"/>
      <c r="P464" s="260"/>
      <c r="Q464" s="260"/>
      <c r="R464" s="260"/>
      <c r="S464" s="270"/>
      <c r="T464" s="260"/>
      <c r="U464" s="266"/>
    </row>
    <row r="465" spans="12:21" x14ac:dyDescent="0.25">
      <c r="L465" s="267"/>
      <c r="M465" s="272"/>
      <c r="N465" s="260"/>
      <c r="O465" s="260"/>
      <c r="P465" s="260"/>
      <c r="Q465" s="260"/>
      <c r="R465" s="260"/>
      <c r="S465" s="270"/>
      <c r="T465" s="260"/>
      <c r="U465" s="266"/>
    </row>
    <row r="466" spans="12:21" x14ac:dyDescent="0.25">
      <c r="L466" s="267"/>
      <c r="M466" s="272"/>
      <c r="N466" s="260"/>
      <c r="O466" s="260"/>
      <c r="P466" s="260"/>
      <c r="Q466" s="260"/>
      <c r="R466" s="260"/>
      <c r="S466" s="270"/>
      <c r="T466" s="260"/>
      <c r="U466" s="266"/>
    </row>
    <row r="467" spans="12:21" x14ac:dyDescent="0.25">
      <c r="L467" s="267"/>
      <c r="M467" s="272"/>
      <c r="N467" s="260"/>
      <c r="O467" s="260"/>
      <c r="P467" s="260"/>
      <c r="Q467" s="260"/>
      <c r="R467" s="260"/>
      <c r="S467" s="270"/>
      <c r="T467" s="260"/>
      <c r="U467" s="266"/>
    </row>
    <row r="468" spans="12:21" x14ac:dyDescent="0.25">
      <c r="L468" s="267"/>
      <c r="M468" s="272"/>
      <c r="N468" s="260"/>
      <c r="O468" s="260"/>
      <c r="P468" s="260"/>
      <c r="Q468" s="260"/>
      <c r="R468" s="260"/>
      <c r="S468" s="270"/>
      <c r="T468" s="260"/>
      <c r="U468" s="266"/>
    </row>
    <row r="469" spans="12:21" x14ac:dyDescent="0.25">
      <c r="L469" s="267"/>
      <c r="M469" s="272"/>
      <c r="N469" s="260"/>
      <c r="O469" s="260"/>
      <c r="P469" s="260"/>
      <c r="Q469" s="260"/>
      <c r="R469" s="260"/>
      <c r="S469" s="270"/>
      <c r="T469" s="260"/>
      <c r="U469" s="266"/>
    </row>
    <row r="470" spans="12:21" x14ac:dyDescent="0.25">
      <c r="L470" s="267"/>
      <c r="M470" s="272"/>
      <c r="N470" s="260"/>
      <c r="O470" s="260"/>
      <c r="P470" s="260"/>
      <c r="Q470" s="260"/>
      <c r="R470" s="260"/>
      <c r="S470" s="270"/>
      <c r="T470" s="260"/>
      <c r="U470" s="266"/>
    </row>
    <row r="471" spans="12:21" x14ac:dyDescent="0.25">
      <c r="L471" s="267"/>
      <c r="M471" s="272"/>
      <c r="N471" s="260"/>
      <c r="O471" s="260"/>
      <c r="P471" s="260"/>
      <c r="Q471" s="260"/>
      <c r="R471" s="260"/>
      <c r="S471" s="270"/>
      <c r="T471" s="260"/>
      <c r="U471" s="266"/>
    </row>
    <row r="472" spans="12:21" x14ac:dyDescent="0.25">
      <c r="L472" s="267"/>
      <c r="M472" s="272"/>
      <c r="N472" s="260"/>
      <c r="O472" s="260"/>
      <c r="P472" s="260"/>
      <c r="Q472" s="260"/>
      <c r="R472" s="260"/>
      <c r="S472" s="270"/>
      <c r="T472" s="260"/>
      <c r="U472" s="266"/>
    </row>
    <row r="473" spans="12:21" x14ac:dyDescent="0.25">
      <c r="L473" s="267"/>
      <c r="M473" s="272"/>
      <c r="N473" s="260"/>
      <c r="O473" s="260"/>
      <c r="P473" s="260"/>
      <c r="Q473" s="260"/>
      <c r="R473" s="260"/>
      <c r="S473" s="270"/>
      <c r="T473" s="260"/>
      <c r="U473" s="266"/>
    </row>
    <row r="474" spans="12:21" x14ac:dyDescent="0.25">
      <c r="L474" s="267"/>
      <c r="M474" s="272"/>
      <c r="N474" s="260"/>
      <c r="O474" s="260"/>
      <c r="P474" s="260"/>
      <c r="Q474" s="260"/>
      <c r="R474" s="260"/>
      <c r="S474" s="270"/>
      <c r="T474" s="260"/>
      <c r="U474" s="266"/>
    </row>
    <row r="475" spans="12:21" x14ac:dyDescent="0.25">
      <c r="L475" s="267"/>
      <c r="M475" s="272"/>
      <c r="N475" s="260"/>
      <c r="O475" s="260"/>
      <c r="P475" s="260"/>
      <c r="Q475" s="260"/>
      <c r="R475" s="260"/>
      <c r="S475" s="270"/>
      <c r="T475" s="260"/>
      <c r="U475" s="266"/>
    </row>
    <row r="476" spans="12:21" x14ac:dyDescent="0.25">
      <c r="L476" s="267"/>
      <c r="M476" s="272"/>
      <c r="N476" s="260"/>
      <c r="O476" s="260"/>
      <c r="P476" s="260"/>
      <c r="Q476" s="260"/>
      <c r="R476" s="260"/>
      <c r="S476" s="270"/>
      <c r="T476" s="260"/>
      <c r="U476" s="266"/>
    </row>
    <row r="477" spans="12:21" x14ac:dyDescent="0.25">
      <c r="L477" s="267"/>
      <c r="M477" s="272"/>
      <c r="N477" s="260"/>
      <c r="O477" s="260"/>
      <c r="P477" s="260"/>
      <c r="Q477" s="260"/>
      <c r="R477" s="260"/>
      <c r="S477" s="270"/>
      <c r="T477" s="260"/>
      <c r="U477" s="266"/>
    </row>
    <row r="478" spans="12:21" x14ac:dyDescent="0.25">
      <c r="L478" s="267"/>
      <c r="M478" s="272"/>
      <c r="N478" s="260"/>
      <c r="O478" s="260"/>
      <c r="P478" s="260"/>
      <c r="Q478" s="260"/>
      <c r="R478" s="260"/>
      <c r="S478" s="270"/>
      <c r="T478" s="260"/>
      <c r="U478" s="266"/>
    </row>
    <row r="479" spans="12:21" x14ac:dyDescent="0.25">
      <c r="L479" s="267"/>
      <c r="M479" s="272"/>
      <c r="N479" s="260"/>
      <c r="O479" s="260"/>
      <c r="P479" s="260"/>
      <c r="Q479" s="260"/>
      <c r="R479" s="260"/>
      <c r="S479" s="270"/>
      <c r="T479" s="260"/>
      <c r="U479" s="266"/>
    </row>
    <row r="480" spans="12:21" x14ac:dyDescent="0.25">
      <c r="L480" s="267"/>
      <c r="M480" s="272"/>
      <c r="N480" s="260"/>
      <c r="O480" s="260"/>
      <c r="P480" s="260"/>
      <c r="Q480" s="260"/>
      <c r="R480" s="260"/>
      <c r="S480" s="270"/>
      <c r="T480" s="260"/>
      <c r="U480" s="266"/>
    </row>
    <row r="481" spans="12:21" x14ac:dyDescent="0.25">
      <c r="L481" s="267"/>
      <c r="M481" s="272"/>
      <c r="N481" s="260"/>
      <c r="O481" s="260"/>
      <c r="P481" s="260"/>
      <c r="Q481" s="260"/>
      <c r="R481" s="260"/>
      <c r="S481" s="270"/>
      <c r="T481" s="260"/>
      <c r="U481" s="266"/>
    </row>
    <row r="482" spans="12:21" x14ac:dyDescent="0.25">
      <c r="L482" s="267"/>
      <c r="M482" s="272"/>
      <c r="N482" s="260"/>
      <c r="O482" s="260"/>
      <c r="P482" s="260"/>
      <c r="Q482" s="260"/>
      <c r="R482" s="260"/>
      <c r="S482" s="270"/>
      <c r="T482" s="260"/>
      <c r="U482" s="266"/>
    </row>
    <row r="483" spans="12:21" x14ac:dyDescent="0.25">
      <c r="L483" s="267"/>
      <c r="M483" s="272"/>
      <c r="N483" s="260"/>
      <c r="O483" s="260"/>
      <c r="P483" s="260"/>
      <c r="Q483" s="260"/>
      <c r="R483" s="260"/>
      <c r="S483" s="270"/>
      <c r="T483" s="260"/>
      <c r="U483" s="266"/>
    </row>
    <row r="484" spans="12:21" x14ac:dyDescent="0.25">
      <c r="L484" s="267"/>
      <c r="M484" s="272"/>
      <c r="N484" s="260"/>
      <c r="O484" s="260"/>
      <c r="P484" s="260"/>
      <c r="Q484" s="260"/>
      <c r="R484" s="260"/>
      <c r="S484" s="270"/>
      <c r="T484" s="260"/>
      <c r="U484" s="266"/>
    </row>
    <row r="485" spans="12:21" x14ac:dyDescent="0.25">
      <c r="L485" s="267"/>
      <c r="M485" s="272"/>
      <c r="N485" s="260"/>
      <c r="O485" s="260"/>
      <c r="P485" s="260"/>
      <c r="Q485" s="260"/>
      <c r="R485" s="260"/>
      <c r="S485" s="270"/>
      <c r="T485" s="260"/>
      <c r="U485" s="266"/>
    </row>
    <row r="486" spans="12:21" x14ac:dyDescent="0.25">
      <c r="L486" s="267"/>
      <c r="M486" s="272"/>
      <c r="N486" s="260"/>
      <c r="O486" s="260"/>
      <c r="P486" s="260"/>
      <c r="Q486" s="260"/>
      <c r="R486" s="260"/>
      <c r="S486" s="270"/>
      <c r="T486" s="260"/>
      <c r="U486" s="266"/>
    </row>
    <row r="487" spans="12:21" x14ac:dyDescent="0.25">
      <c r="L487" s="267"/>
      <c r="M487" s="272"/>
      <c r="N487" s="260"/>
      <c r="O487" s="260"/>
      <c r="P487" s="260"/>
      <c r="Q487" s="260"/>
      <c r="R487" s="260"/>
      <c r="S487" s="270"/>
      <c r="T487" s="260"/>
      <c r="U487" s="266"/>
    </row>
    <row r="488" spans="12:21" x14ac:dyDescent="0.25">
      <c r="L488" s="267"/>
      <c r="M488" s="272"/>
      <c r="N488" s="260"/>
      <c r="O488" s="260"/>
      <c r="P488" s="260"/>
      <c r="Q488" s="260"/>
      <c r="R488" s="260"/>
      <c r="S488" s="270"/>
      <c r="T488" s="260"/>
      <c r="U488" s="266"/>
    </row>
    <row r="489" spans="12:21" x14ac:dyDescent="0.25">
      <c r="L489" s="267"/>
      <c r="M489" s="272"/>
      <c r="N489" s="260"/>
      <c r="O489" s="260"/>
      <c r="P489" s="260"/>
      <c r="Q489" s="260"/>
      <c r="R489" s="260"/>
      <c r="S489" s="270"/>
      <c r="T489" s="260"/>
      <c r="U489" s="266"/>
    </row>
    <row r="490" spans="12:21" x14ac:dyDescent="0.25">
      <c r="L490" s="267"/>
      <c r="M490" s="272"/>
      <c r="N490" s="260"/>
      <c r="O490" s="260"/>
      <c r="P490" s="260"/>
      <c r="Q490" s="260"/>
      <c r="R490" s="260"/>
      <c r="S490" s="270"/>
      <c r="T490" s="260"/>
      <c r="U490" s="266"/>
    </row>
    <row r="491" spans="12:21" x14ac:dyDescent="0.25">
      <c r="L491" s="267"/>
      <c r="M491" s="272"/>
      <c r="N491" s="260"/>
      <c r="O491" s="260"/>
      <c r="P491" s="260"/>
      <c r="Q491" s="260"/>
      <c r="R491" s="260"/>
      <c r="S491" s="270"/>
      <c r="T491" s="260"/>
      <c r="U491" s="266"/>
    </row>
    <row r="492" spans="12:21" x14ac:dyDescent="0.25">
      <c r="L492" s="267"/>
      <c r="M492" s="272"/>
      <c r="N492" s="260"/>
      <c r="O492" s="260"/>
      <c r="P492" s="260"/>
      <c r="Q492" s="260"/>
      <c r="R492" s="260"/>
      <c r="S492" s="270"/>
      <c r="T492" s="260"/>
      <c r="U492" s="266"/>
    </row>
    <row r="493" spans="12:21" x14ac:dyDescent="0.25">
      <c r="L493" s="267"/>
      <c r="M493" s="272"/>
      <c r="N493" s="260"/>
      <c r="O493" s="260"/>
      <c r="P493" s="260"/>
      <c r="Q493" s="260"/>
      <c r="R493" s="260"/>
      <c r="S493" s="270"/>
      <c r="T493" s="260"/>
      <c r="U493" s="266"/>
    </row>
    <row r="494" spans="12:21" x14ac:dyDescent="0.25">
      <c r="L494" s="267"/>
      <c r="M494" s="272"/>
      <c r="N494" s="260"/>
      <c r="O494" s="260"/>
      <c r="P494" s="260"/>
      <c r="Q494" s="260"/>
      <c r="R494" s="260"/>
      <c r="S494" s="270"/>
      <c r="T494" s="260"/>
      <c r="U494" s="266"/>
    </row>
    <row r="495" spans="12:21" x14ac:dyDescent="0.25">
      <c r="L495" s="267"/>
      <c r="M495" s="272"/>
      <c r="N495" s="260"/>
      <c r="O495" s="260"/>
      <c r="P495" s="260"/>
      <c r="Q495" s="260"/>
      <c r="R495" s="260"/>
      <c r="S495" s="270"/>
      <c r="T495" s="260"/>
      <c r="U495" s="266"/>
    </row>
    <row r="496" spans="12:21" x14ac:dyDescent="0.25">
      <c r="L496" s="267"/>
      <c r="M496" s="272"/>
      <c r="N496" s="260"/>
      <c r="O496" s="260"/>
      <c r="P496" s="260"/>
      <c r="Q496" s="260"/>
      <c r="R496" s="260"/>
      <c r="S496" s="270"/>
      <c r="T496" s="260"/>
      <c r="U496" s="266"/>
    </row>
    <row r="497" spans="12:21" x14ac:dyDescent="0.25">
      <c r="L497" s="267"/>
      <c r="M497" s="272"/>
      <c r="N497" s="260"/>
      <c r="O497" s="260"/>
      <c r="P497" s="260"/>
      <c r="Q497" s="260"/>
      <c r="R497" s="260"/>
      <c r="S497" s="270"/>
      <c r="T497" s="260"/>
      <c r="U497" s="266"/>
    </row>
    <row r="498" spans="12:21" x14ac:dyDescent="0.25">
      <c r="L498" s="267"/>
      <c r="M498" s="272"/>
      <c r="N498" s="260"/>
      <c r="O498" s="260"/>
      <c r="P498" s="260"/>
      <c r="Q498" s="260"/>
      <c r="R498" s="260"/>
      <c r="S498" s="270"/>
      <c r="T498" s="260"/>
      <c r="U498" s="266"/>
    </row>
    <row r="499" spans="12:21" x14ac:dyDescent="0.25">
      <c r="L499" s="267"/>
      <c r="M499" s="272"/>
      <c r="N499" s="260"/>
      <c r="O499" s="260"/>
      <c r="P499" s="260"/>
      <c r="Q499" s="260"/>
      <c r="R499" s="260"/>
      <c r="S499" s="270"/>
      <c r="T499" s="260"/>
      <c r="U499" s="266"/>
    </row>
    <row r="500" spans="12:21" x14ac:dyDescent="0.25">
      <c r="L500" s="267"/>
      <c r="M500" s="272"/>
      <c r="N500" s="260"/>
      <c r="O500" s="260"/>
      <c r="P500" s="260"/>
      <c r="Q500" s="260"/>
      <c r="R500" s="260"/>
      <c r="S500" s="270"/>
      <c r="T500" s="260"/>
      <c r="U500" s="266"/>
    </row>
    <row r="501" spans="12:21" x14ac:dyDescent="0.25">
      <c r="L501" s="267"/>
      <c r="M501" s="272"/>
      <c r="N501" s="260"/>
      <c r="O501" s="260"/>
      <c r="P501" s="260"/>
      <c r="Q501" s="260"/>
      <c r="R501" s="260"/>
      <c r="S501" s="270"/>
      <c r="T501" s="260"/>
      <c r="U501" s="266"/>
    </row>
    <row r="502" spans="12:21" x14ac:dyDescent="0.25">
      <c r="L502" s="267"/>
      <c r="M502" s="272"/>
      <c r="N502" s="260"/>
      <c r="O502" s="260"/>
      <c r="P502" s="260"/>
      <c r="Q502" s="260"/>
      <c r="R502" s="260"/>
      <c r="S502" s="270"/>
      <c r="T502" s="260"/>
      <c r="U502" s="266"/>
    </row>
    <row r="503" spans="12:21" x14ac:dyDescent="0.25">
      <c r="L503" s="267"/>
      <c r="M503" s="272"/>
      <c r="N503" s="260"/>
      <c r="O503" s="260"/>
      <c r="P503" s="260"/>
      <c r="Q503" s="260"/>
      <c r="R503" s="260"/>
      <c r="S503" s="270"/>
      <c r="T503" s="260"/>
      <c r="U503" s="266"/>
    </row>
    <row r="504" spans="12:21" x14ac:dyDescent="0.25">
      <c r="L504" s="267"/>
      <c r="M504" s="272"/>
      <c r="N504" s="260"/>
      <c r="O504" s="260"/>
      <c r="P504" s="260"/>
      <c r="Q504" s="260"/>
      <c r="R504" s="260"/>
      <c r="S504" s="270"/>
      <c r="T504" s="260"/>
      <c r="U504" s="266"/>
    </row>
    <row r="505" spans="12:21" x14ac:dyDescent="0.25">
      <c r="L505" s="267"/>
      <c r="M505" s="272"/>
      <c r="N505" s="260"/>
      <c r="O505" s="260"/>
      <c r="P505" s="260"/>
      <c r="Q505" s="260"/>
      <c r="R505" s="260"/>
      <c r="S505" s="270"/>
      <c r="T505" s="260"/>
      <c r="U505" s="266"/>
    </row>
    <row r="506" spans="12:21" x14ac:dyDescent="0.25">
      <c r="L506" s="267"/>
      <c r="M506" s="272"/>
      <c r="N506" s="260"/>
      <c r="O506" s="260"/>
      <c r="P506" s="260"/>
      <c r="Q506" s="260"/>
      <c r="R506" s="260"/>
      <c r="S506" s="270"/>
      <c r="T506" s="260"/>
      <c r="U506" s="266"/>
    </row>
    <row r="507" spans="12:21" x14ac:dyDescent="0.25">
      <c r="L507" s="267"/>
      <c r="M507" s="272"/>
      <c r="N507" s="260"/>
      <c r="O507" s="260"/>
      <c r="P507" s="260"/>
      <c r="Q507" s="260"/>
      <c r="R507" s="260"/>
      <c r="S507" s="270"/>
      <c r="T507" s="260"/>
      <c r="U507" s="266"/>
    </row>
    <row r="508" spans="12:21" x14ac:dyDescent="0.25">
      <c r="L508" s="267"/>
      <c r="M508" s="272"/>
      <c r="N508" s="260"/>
      <c r="O508" s="260"/>
      <c r="P508" s="260"/>
      <c r="Q508" s="260"/>
      <c r="R508" s="260"/>
      <c r="S508" s="270"/>
      <c r="T508" s="260"/>
      <c r="U508" s="266"/>
    </row>
    <row r="509" spans="12:21" x14ac:dyDescent="0.25">
      <c r="L509" s="267"/>
      <c r="M509" s="272"/>
      <c r="N509" s="260"/>
      <c r="O509" s="260"/>
      <c r="P509" s="260"/>
      <c r="Q509" s="260"/>
      <c r="R509" s="260"/>
      <c r="S509" s="270"/>
      <c r="T509" s="260"/>
      <c r="U509" s="266"/>
    </row>
    <row r="510" spans="12:21" x14ac:dyDescent="0.25">
      <c r="L510" s="267"/>
      <c r="M510" s="272"/>
      <c r="N510" s="260"/>
      <c r="O510" s="260"/>
      <c r="P510" s="260"/>
      <c r="Q510" s="260"/>
      <c r="R510" s="260"/>
      <c r="S510" s="270"/>
      <c r="T510" s="260"/>
      <c r="U510" s="266"/>
    </row>
    <row r="511" spans="12:21" x14ac:dyDescent="0.25">
      <c r="L511" s="267"/>
      <c r="M511" s="272"/>
      <c r="N511" s="260"/>
      <c r="O511" s="260"/>
      <c r="P511" s="260"/>
      <c r="Q511" s="260"/>
      <c r="R511" s="260"/>
      <c r="S511" s="270"/>
      <c r="T511" s="260"/>
      <c r="U511" s="266"/>
    </row>
    <row r="512" spans="12:21" x14ac:dyDescent="0.25">
      <c r="L512" s="267"/>
      <c r="M512" s="272"/>
      <c r="N512" s="260"/>
      <c r="O512" s="260"/>
      <c r="P512" s="260"/>
      <c r="Q512" s="260"/>
      <c r="R512" s="260"/>
      <c r="S512" s="270"/>
      <c r="T512" s="260"/>
      <c r="U512" s="266"/>
    </row>
    <row r="513" spans="12:21" x14ac:dyDescent="0.25">
      <c r="L513" s="267"/>
      <c r="M513" s="272"/>
      <c r="N513" s="260"/>
      <c r="O513" s="260"/>
      <c r="P513" s="260"/>
      <c r="Q513" s="260"/>
      <c r="R513" s="260"/>
      <c r="S513" s="270"/>
      <c r="T513" s="260"/>
      <c r="U513" s="266"/>
    </row>
    <row r="514" spans="12:21" x14ac:dyDescent="0.25">
      <c r="L514" s="267"/>
      <c r="M514" s="272"/>
      <c r="N514" s="260"/>
      <c r="O514" s="260"/>
      <c r="P514" s="260"/>
      <c r="Q514" s="260"/>
      <c r="R514" s="260"/>
      <c r="S514" s="270"/>
      <c r="T514" s="260"/>
      <c r="U514" s="266"/>
    </row>
    <row r="515" spans="12:21" x14ac:dyDescent="0.25">
      <c r="L515" s="267"/>
      <c r="M515" s="272"/>
      <c r="N515" s="260"/>
      <c r="O515" s="260"/>
      <c r="P515" s="260"/>
      <c r="Q515" s="260"/>
      <c r="R515" s="260"/>
      <c r="S515" s="270"/>
      <c r="T515" s="260"/>
      <c r="U515" s="266"/>
    </row>
    <row r="516" spans="12:21" x14ac:dyDescent="0.25">
      <c r="L516" s="267"/>
      <c r="M516" s="272"/>
      <c r="N516" s="260"/>
      <c r="O516" s="260"/>
      <c r="P516" s="260"/>
      <c r="Q516" s="260"/>
      <c r="R516" s="260"/>
      <c r="S516" s="270"/>
      <c r="T516" s="260"/>
      <c r="U516" s="266"/>
    </row>
    <row r="517" spans="12:21" x14ac:dyDescent="0.25">
      <c r="L517" s="267"/>
      <c r="M517" s="272"/>
      <c r="N517" s="260"/>
      <c r="O517" s="260"/>
      <c r="P517" s="260"/>
      <c r="Q517" s="260"/>
      <c r="R517" s="260"/>
      <c r="S517" s="270"/>
      <c r="T517" s="260"/>
      <c r="U517" s="266"/>
    </row>
    <row r="518" spans="12:21" x14ac:dyDescent="0.25">
      <c r="L518" s="267"/>
      <c r="M518" s="272"/>
      <c r="N518" s="260"/>
      <c r="O518" s="260"/>
      <c r="P518" s="260"/>
      <c r="Q518" s="260"/>
      <c r="R518" s="260"/>
      <c r="S518" s="270"/>
      <c r="T518" s="260"/>
      <c r="U518" s="266"/>
    </row>
    <row r="519" spans="12:21" x14ac:dyDescent="0.25">
      <c r="L519" s="267"/>
      <c r="M519" s="272"/>
      <c r="N519" s="260"/>
      <c r="O519" s="260"/>
      <c r="P519" s="260"/>
      <c r="Q519" s="260"/>
      <c r="R519" s="260"/>
      <c r="S519" s="270"/>
      <c r="T519" s="260"/>
      <c r="U519" s="266"/>
    </row>
    <row r="520" spans="12:21" x14ac:dyDescent="0.25">
      <c r="L520" s="267"/>
      <c r="M520" s="272"/>
      <c r="N520" s="260"/>
      <c r="O520" s="260"/>
      <c r="P520" s="260"/>
      <c r="Q520" s="260"/>
      <c r="R520" s="260"/>
      <c r="S520" s="270"/>
      <c r="T520" s="260"/>
      <c r="U520" s="266"/>
    </row>
    <row r="521" spans="12:21" x14ac:dyDescent="0.25">
      <c r="L521" s="267"/>
      <c r="M521" s="272"/>
      <c r="N521" s="260"/>
      <c r="O521" s="260"/>
      <c r="P521" s="260"/>
      <c r="Q521" s="260"/>
      <c r="R521" s="260"/>
      <c r="S521" s="270"/>
      <c r="T521" s="260"/>
      <c r="U521" s="266"/>
    </row>
    <row r="522" spans="12:21" x14ac:dyDescent="0.25">
      <c r="L522" s="267"/>
      <c r="M522" s="272"/>
      <c r="N522" s="260"/>
      <c r="O522" s="260"/>
      <c r="P522" s="260"/>
      <c r="Q522" s="260"/>
      <c r="R522" s="260"/>
      <c r="S522" s="270"/>
      <c r="T522" s="260"/>
      <c r="U522" s="266"/>
    </row>
    <row r="523" spans="12:21" x14ac:dyDescent="0.25">
      <c r="L523" s="267"/>
      <c r="M523" s="272"/>
      <c r="N523" s="260"/>
      <c r="O523" s="260"/>
      <c r="P523" s="260"/>
      <c r="Q523" s="260"/>
      <c r="R523" s="260"/>
      <c r="S523" s="270"/>
      <c r="T523" s="260"/>
      <c r="U523" s="266"/>
    </row>
    <row r="524" spans="12:21" x14ac:dyDescent="0.25">
      <c r="L524" s="267"/>
      <c r="M524" s="272"/>
      <c r="N524" s="260"/>
      <c r="O524" s="260"/>
      <c r="P524" s="260"/>
      <c r="Q524" s="260"/>
      <c r="R524" s="260"/>
      <c r="S524" s="270"/>
      <c r="T524" s="260"/>
      <c r="U524" s="266"/>
    </row>
    <row r="525" spans="12:21" x14ac:dyDescent="0.25">
      <c r="L525" s="267"/>
      <c r="M525" s="272"/>
      <c r="N525" s="260"/>
      <c r="O525" s="260"/>
      <c r="P525" s="260"/>
      <c r="Q525" s="260"/>
      <c r="R525" s="260"/>
      <c r="S525" s="270"/>
      <c r="T525" s="260"/>
      <c r="U525" s="266"/>
    </row>
    <row r="526" spans="12:21" x14ac:dyDescent="0.25">
      <c r="L526" s="267"/>
      <c r="M526" s="272"/>
      <c r="N526" s="260"/>
      <c r="O526" s="260"/>
      <c r="P526" s="260"/>
      <c r="Q526" s="260"/>
      <c r="R526" s="260"/>
      <c r="S526" s="270"/>
      <c r="T526" s="260"/>
      <c r="U526" s="266"/>
    </row>
    <row r="527" spans="12:21" x14ac:dyDescent="0.25">
      <c r="L527" s="267"/>
      <c r="M527" s="272"/>
      <c r="N527" s="260"/>
      <c r="O527" s="260"/>
      <c r="P527" s="260"/>
      <c r="Q527" s="260"/>
      <c r="R527" s="260"/>
      <c r="S527" s="270"/>
      <c r="T527" s="260"/>
      <c r="U527" s="266"/>
    </row>
    <row r="528" spans="12:21" x14ac:dyDescent="0.25">
      <c r="L528" s="267"/>
      <c r="M528" s="272"/>
      <c r="N528" s="260"/>
      <c r="O528" s="260"/>
      <c r="P528" s="260"/>
      <c r="Q528" s="260"/>
      <c r="R528" s="260"/>
      <c r="S528" s="270"/>
      <c r="T528" s="260"/>
      <c r="U528" s="266"/>
    </row>
    <row r="529" spans="12:21" x14ac:dyDescent="0.25">
      <c r="L529" s="267"/>
      <c r="M529" s="272"/>
      <c r="N529" s="260"/>
      <c r="O529" s="260"/>
      <c r="P529" s="260"/>
      <c r="Q529" s="260"/>
      <c r="R529" s="260"/>
      <c r="S529" s="270"/>
      <c r="T529" s="260"/>
      <c r="U529" s="266"/>
    </row>
    <row r="530" spans="12:21" x14ac:dyDescent="0.25">
      <c r="L530" s="267"/>
      <c r="M530" s="272"/>
      <c r="N530" s="260"/>
      <c r="O530" s="260"/>
      <c r="P530" s="260"/>
      <c r="Q530" s="260"/>
      <c r="R530" s="260"/>
      <c r="S530" s="270"/>
      <c r="T530" s="260"/>
      <c r="U530" s="266"/>
    </row>
    <row r="531" spans="12:21" x14ac:dyDescent="0.25">
      <c r="L531" s="267"/>
      <c r="M531" s="272"/>
      <c r="N531" s="260"/>
      <c r="O531" s="260"/>
      <c r="P531" s="260"/>
      <c r="Q531" s="260"/>
      <c r="R531" s="260"/>
      <c r="S531" s="270"/>
      <c r="T531" s="260"/>
      <c r="U531" s="266"/>
    </row>
    <row r="532" spans="12:21" x14ac:dyDescent="0.25">
      <c r="L532" s="267"/>
      <c r="M532" s="272"/>
      <c r="N532" s="260"/>
      <c r="O532" s="260"/>
      <c r="P532" s="260"/>
      <c r="Q532" s="260"/>
      <c r="R532" s="260"/>
      <c r="S532" s="270"/>
      <c r="T532" s="260"/>
      <c r="U532" s="266"/>
    </row>
    <row r="533" spans="12:21" x14ac:dyDescent="0.25">
      <c r="L533" s="267"/>
      <c r="M533" s="272"/>
      <c r="N533" s="260"/>
      <c r="O533" s="260"/>
      <c r="P533" s="260"/>
      <c r="Q533" s="260"/>
      <c r="R533" s="260"/>
      <c r="S533" s="270"/>
      <c r="T533" s="260"/>
      <c r="U533" s="266"/>
    </row>
    <row r="534" spans="12:21" x14ac:dyDescent="0.25">
      <c r="L534" s="267"/>
      <c r="M534" s="272"/>
      <c r="N534" s="260"/>
      <c r="O534" s="260"/>
      <c r="P534" s="260"/>
      <c r="Q534" s="260"/>
      <c r="R534" s="260"/>
      <c r="S534" s="270"/>
      <c r="T534" s="260"/>
      <c r="U534" s="266"/>
    </row>
    <row r="535" spans="12:21" x14ac:dyDescent="0.25">
      <c r="L535" s="267"/>
      <c r="M535" s="272"/>
      <c r="N535" s="260"/>
      <c r="O535" s="260"/>
      <c r="P535" s="260"/>
      <c r="Q535" s="260"/>
      <c r="R535" s="260"/>
      <c r="S535" s="270"/>
      <c r="T535" s="260"/>
      <c r="U535" s="266"/>
    </row>
    <row r="536" spans="12:21" x14ac:dyDescent="0.25">
      <c r="L536" s="267"/>
      <c r="M536" s="272"/>
      <c r="N536" s="260"/>
      <c r="O536" s="260"/>
      <c r="P536" s="260"/>
      <c r="Q536" s="260"/>
      <c r="R536" s="260"/>
      <c r="S536" s="270"/>
      <c r="T536" s="260"/>
      <c r="U536" s="266"/>
    </row>
    <row r="537" spans="12:21" x14ac:dyDescent="0.25">
      <c r="L537" s="267"/>
      <c r="M537" s="272"/>
      <c r="N537" s="260"/>
      <c r="O537" s="260"/>
      <c r="P537" s="260"/>
      <c r="Q537" s="260"/>
      <c r="R537" s="260"/>
      <c r="S537" s="270"/>
      <c r="T537" s="260"/>
      <c r="U537" s="266"/>
    </row>
    <row r="538" spans="12:21" x14ac:dyDescent="0.25">
      <c r="L538" s="267"/>
      <c r="M538" s="272"/>
      <c r="N538" s="260"/>
      <c r="O538" s="260"/>
      <c r="P538" s="260"/>
      <c r="Q538" s="260"/>
      <c r="R538" s="260"/>
      <c r="S538" s="270"/>
      <c r="T538" s="260"/>
      <c r="U538" s="266"/>
    </row>
    <row r="539" spans="12:21" x14ac:dyDescent="0.25">
      <c r="L539" s="267"/>
      <c r="M539" s="272"/>
      <c r="N539" s="260"/>
      <c r="O539" s="260"/>
      <c r="P539" s="260"/>
      <c r="Q539" s="260"/>
      <c r="R539" s="260"/>
      <c r="S539" s="270"/>
      <c r="T539" s="260"/>
      <c r="U539" s="266"/>
    </row>
    <row r="540" spans="12:21" x14ac:dyDescent="0.25">
      <c r="L540" s="267"/>
      <c r="M540" s="272"/>
      <c r="N540" s="260"/>
      <c r="O540" s="260"/>
      <c r="P540" s="260"/>
      <c r="Q540" s="260"/>
      <c r="R540" s="260"/>
      <c r="S540" s="270"/>
      <c r="T540" s="260"/>
      <c r="U540" s="266"/>
    </row>
    <row r="541" spans="12:21" x14ac:dyDescent="0.25">
      <c r="L541" s="267"/>
      <c r="M541" s="272"/>
      <c r="N541" s="260"/>
      <c r="O541" s="260"/>
      <c r="P541" s="260"/>
      <c r="Q541" s="260"/>
      <c r="R541" s="260"/>
      <c r="S541" s="270"/>
      <c r="T541" s="260"/>
      <c r="U541" s="266"/>
    </row>
    <row r="542" spans="12:21" x14ac:dyDescent="0.25">
      <c r="L542" s="267"/>
      <c r="M542" s="272"/>
      <c r="N542" s="260"/>
      <c r="O542" s="260"/>
      <c r="P542" s="260"/>
      <c r="Q542" s="260"/>
      <c r="R542" s="260"/>
      <c r="S542" s="270"/>
      <c r="T542" s="260"/>
      <c r="U542" s="266"/>
    </row>
    <row r="543" spans="12:21" x14ac:dyDescent="0.25">
      <c r="L543" s="267"/>
      <c r="M543" s="272"/>
      <c r="N543" s="260"/>
      <c r="O543" s="260"/>
      <c r="P543" s="260"/>
      <c r="Q543" s="260"/>
      <c r="R543" s="260"/>
      <c r="S543" s="270"/>
      <c r="T543" s="260"/>
      <c r="U543" s="266"/>
    </row>
    <row r="544" spans="12:21" x14ac:dyDescent="0.25">
      <c r="L544" s="267"/>
      <c r="M544" s="272"/>
      <c r="N544" s="260"/>
      <c r="O544" s="260"/>
      <c r="P544" s="260"/>
      <c r="Q544" s="260"/>
      <c r="R544" s="260"/>
      <c r="S544" s="270"/>
      <c r="T544" s="260"/>
      <c r="U544" s="266"/>
    </row>
    <row r="545" spans="12:21" x14ac:dyDescent="0.25">
      <c r="L545" s="267"/>
      <c r="M545" s="272"/>
      <c r="N545" s="260"/>
      <c r="O545" s="260"/>
      <c r="P545" s="260"/>
      <c r="Q545" s="260"/>
      <c r="R545" s="260"/>
      <c r="S545" s="270"/>
      <c r="T545" s="260"/>
      <c r="U545" s="266"/>
    </row>
    <row r="546" spans="12:21" x14ac:dyDescent="0.25">
      <c r="L546" s="267"/>
      <c r="M546" s="272"/>
      <c r="N546" s="260"/>
      <c r="O546" s="260"/>
      <c r="P546" s="260"/>
      <c r="Q546" s="260"/>
      <c r="R546" s="260"/>
      <c r="S546" s="270"/>
      <c r="T546" s="260"/>
      <c r="U546" s="266"/>
    </row>
    <row r="547" spans="12:21" x14ac:dyDescent="0.25">
      <c r="L547" s="267"/>
      <c r="M547" s="272"/>
      <c r="N547" s="260"/>
      <c r="O547" s="260"/>
      <c r="P547" s="260"/>
      <c r="Q547" s="260"/>
      <c r="R547" s="260"/>
      <c r="S547" s="270"/>
      <c r="T547" s="260"/>
      <c r="U547" s="266"/>
    </row>
    <row r="548" spans="12:21" x14ac:dyDescent="0.25">
      <c r="L548" s="267"/>
      <c r="M548" s="272"/>
      <c r="N548" s="260"/>
      <c r="O548" s="260"/>
      <c r="P548" s="260"/>
      <c r="Q548" s="260"/>
      <c r="R548" s="260"/>
      <c r="S548" s="270"/>
      <c r="T548" s="260"/>
      <c r="U548" s="266"/>
    </row>
    <row r="549" spans="12:21" x14ac:dyDescent="0.25">
      <c r="L549" s="267"/>
      <c r="M549" s="272"/>
      <c r="N549" s="260"/>
      <c r="O549" s="260"/>
      <c r="P549" s="260"/>
      <c r="Q549" s="260"/>
      <c r="R549" s="260"/>
      <c r="S549" s="270"/>
      <c r="T549" s="260"/>
      <c r="U549" s="266"/>
    </row>
    <row r="550" spans="12:21" x14ac:dyDescent="0.25">
      <c r="L550" s="267"/>
      <c r="M550" s="272"/>
      <c r="N550" s="260"/>
      <c r="O550" s="260"/>
      <c r="P550" s="260"/>
      <c r="Q550" s="260"/>
      <c r="R550" s="260"/>
      <c r="S550" s="270"/>
      <c r="T550" s="260"/>
      <c r="U550" s="266"/>
    </row>
    <row r="551" spans="12:21" x14ac:dyDescent="0.25">
      <c r="L551" s="267"/>
      <c r="M551" s="272"/>
      <c r="N551" s="260"/>
      <c r="O551" s="260"/>
      <c r="P551" s="260"/>
      <c r="Q551" s="260"/>
      <c r="R551" s="260"/>
      <c r="S551" s="270"/>
      <c r="T551" s="260"/>
      <c r="U551" s="266"/>
    </row>
    <row r="552" spans="12:21" x14ac:dyDescent="0.25">
      <c r="L552" s="267"/>
      <c r="M552" s="272"/>
      <c r="N552" s="260"/>
      <c r="O552" s="260"/>
      <c r="P552" s="260"/>
      <c r="Q552" s="260"/>
      <c r="R552" s="260"/>
      <c r="S552" s="270"/>
      <c r="T552" s="260"/>
      <c r="U552" s="266"/>
    </row>
    <row r="553" spans="12:21" x14ac:dyDescent="0.25">
      <c r="L553" s="267"/>
      <c r="M553" s="272"/>
      <c r="N553" s="260"/>
      <c r="O553" s="260"/>
      <c r="P553" s="260"/>
      <c r="Q553" s="260"/>
      <c r="R553" s="260"/>
      <c r="S553" s="270"/>
      <c r="T553" s="260"/>
      <c r="U553" s="266"/>
    </row>
    <row r="554" spans="12:21" x14ac:dyDescent="0.25">
      <c r="L554" s="267"/>
      <c r="M554" s="272"/>
      <c r="N554" s="260"/>
      <c r="O554" s="260"/>
      <c r="P554" s="260"/>
      <c r="Q554" s="260"/>
      <c r="R554" s="260"/>
      <c r="S554" s="270"/>
      <c r="T554" s="260"/>
      <c r="U554" s="266"/>
    </row>
    <row r="555" spans="12:21" x14ac:dyDescent="0.25">
      <c r="L555" s="267"/>
      <c r="M555" s="272"/>
      <c r="N555" s="260"/>
      <c r="O555" s="260"/>
      <c r="P555" s="260"/>
      <c r="Q555" s="260"/>
      <c r="R555" s="260"/>
      <c r="S555" s="270"/>
      <c r="T555" s="260"/>
      <c r="U555" s="266"/>
    </row>
    <row r="556" spans="12:21" x14ac:dyDescent="0.25">
      <c r="L556" s="267"/>
      <c r="M556" s="272"/>
      <c r="N556" s="260"/>
      <c r="O556" s="260"/>
      <c r="P556" s="260"/>
      <c r="Q556" s="260"/>
      <c r="R556" s="260"/>
      <c r="S556" s="270"/>
      <c r="T556" s="260"/>
      <c r="U556" s="266"/>
    </row>
    <row r="557" spans="12:21" x14ac:dyDescent="0.25">
      <c r="L557" s="267"/>
      <c r="M557" s="272"/>
      <c r="N557" s="260"/>
      <c r="O557" s="260"/>
      <c r="P557" s="260"/>
      <c r="Q557" s="260"/>
      <c r="R557" s="260"/>
      <c r="S557" s="270"/>
      <c r="T557" s="260"/>
      <c r="U557" s="266"/>
    </row>
    <row r="558" spans="12:21" x14ac:dyDescent="0.25">
      <c r="L558" s="267"/>
      <c r="M558" s="272"/>
      <c r="N558" s="260"/>
      <c r="O558" s="260"/>
      <c r="P558" s="260"/>
      <c r="Q558" s="260"/>
      <c r="R558" s="260"/>
      <c r="S558" s="270"/>
      <c r="T558" s="260"/>
      <c r="U558" s="266"/>
    </row>
    <row r="559" spans="12:21" x14ac:dyDescent="0.25">
      <c r="L559" s="267"/>
      <c r="M559" s="272"/>
      <c r="N559" s="260"/>
      <c r="O559" s="260"/>
      <c r="P559" s="260"/>
      <c r="Q559" s="260"/>
      <c r="R559" s="260"/>
      <c r="S559" s="270"/>
      <c r="T559" s="260"/>
      <c r="U559" s="266"/>
    </row>
    <row r="560" spans="12:21" x14ac:dyDescent="0.25">
      <c r="L560" s="267"/>
      <c r="M560" s="272"/>
      <c r="N560" s="260"/>
      <c r="O560" s="260"/>
      <c r="P560" s="260"/>
      <c r="Q560" s="260"/>
      <c r="R560" s="260"/>
      <c r="S560" s="270"/>
      <c r="T560" s="260"/>
      <c r="U560" s="266"/>
    </row>
    <row r="561" spans="12:21" x14ac:dyDescent="0.25">
      <c r="L561" s="267"/>
      <c r="M561" s="272"/>
      <c r="N561" s="260"/>
      <c r="O561" s="260"/>
      <c r="P561" s="260"/>
      <c r="Q561" s="260"/>
      <c r="R561" s="260"/>
      <c r="S561" s="270"/>
      <c r="T561" s="260"/>
      <c r="U561" s="266"/>
    </row>
    <row r="562" spans="12:21" x14ac:dyDescent="0.25">
      <c r="L562" s="267"/>
      <c r="M562" s="272"/>
      <c r="N562" s="260"/>
      <c r="O562" s="260"/>
      <c r="P562" s="260"/>
      <c r="Q562" s="260"/>
      <c r="R562" s="260"/>
      <c r="S562" s="270"/>
      <c r="T562" s="260"/>
      <c r="U562" s="266"/>
    </row>
    <row r="563" spans="12:21" x14ac:dyDescent="0.25">
      <c r="L563" s="267"/>
      <c r="M563" s="272"/>
      <c r="N563" s="260"/>
      <c r="O563" s="260"/>
      <c r="P563" s="260"/>
      <c r="Q563" s="260"/>
      <c r="R563" s="260"/>
      <c r="S563" s="270"/>
      <c r="T563" s="260"/>
      <c r="U563" s="266"/>
    </row>
    <row r="564" spans="12:21" x14ac:dyDescent="0.25">
      <c r="L564" s="267"/>
      <c r="M564" s="272"/>
      <c r="N564" s="260"/>
      <c r="O564" s="260"/>
      <c r="P564" s="260"/>
      <c r="Q564" s="260"/>
      <c r="R564" s="260"/>
      <c r="S564" s="270"/>
      <c r="T564" s="260"/>
      <c r="U564" s="266"/>
    </row>
    <row r="565" spans="12:21" x14ac:dyDescent="0.25">
      <c r="L565" s="267"/>
      <c r="M565" s="272"/>
      <c r="N565" s="260"/>
      <c r="O565" s="260"/>
      <c r="P565" s="260"/>
      <c r="Q565" s="260"/>
      <c r="R565" s="260"/>
      <c r="S565" s="270"/>
      <c r="T565" s="260"/>
      <c r="U565" s="266"/>
    </row>
    <row r="566" spans="12:21" x14ac:dyDescent="0.25">
      <c r="L566" s="267"/>
      <c r="M566" s="272"/>
      <c r="N566" s="260"/>
      <c r="O566" s="260"/>
      <c r="P566" s="260"/>
      <c r="Q566" s="260"/>
      <c r="R566" s="260"/>
      <c r="S566" s="270"/>
      <c r="T566" s="260"/>
      <c r="U566" s="266"/>
    </row>
    <row r="567" spans="12:21" x14ac:dyDescent="0.25">
      <c r="L567" s="267"/>
      <c r="M567" s="272"/>
      <c r="N567" s="260"/>
      <c r="O567" s="260"/>
      <c r="P567" s="260"/>
      <c r="Q567" s="260"/>
      <c r="R567" s="260"/>
      <c r="S567" s="270"/>
      <c r="T567" s="260"/>
      <c r="U567" s="266"/>
    </row>
    <row r="568" spans="12:21" x14ac:dyDescent="0.25">
      <c r="L568" s="267"/>
      <c r="M568" s="272"/>
      <c r="N568" s="260"/>
      <c r="O568" s="260"/>
      <c r="P568" s="260"/>
      <c r="Q568" s="260"/>
      <c r="R568" s="260"/>
      <c r="S568" s="270"/>
      <c r="T568" s="260"/>
      <c r="U568" s="266"/>
    </row>
    <row r="569" spans="12:21" x14ac:dyDescent="0.25">
      <c r="L569" s="267"/>
      <c r="M569" s="272"/>
      <c r="N569" s="260"/>
      <c r="O569" s="260"/>
      <c r="P569" s="260"/>
      <c r="Q569" s="260"/>
      <c r="R569" s="260"/>
      <c r="S569" s="270"/>
      <c r="T569" s="260"/>
      <c r="U569" s="266"/>
    </row>
    <row r="570" spans="12:21" x14ac:dyDescent="0.25">
      <c r="L570" s="267"/>
      <c r="M570" s="272"/>
      <c r="N570" s="260"/>
      <c r="O570" s="260"/>
      <c r="P570" s="260"/>
      <c r="Q570" s="260"/>
      <c r="R570" s="260"/>
      <c r="S570" s="270"/>
      <c r="T570" s="260"/>
      <c r="U570" s="266"/>
    </row>
    <row r="571" spans="12:21" x14ac:dyDescent="0.25">
      <c r="L571" s="267"/>
      <c r="M571" s="272"/>
      <c r="N571" s="260"/>
      <c r="O571" s="260"/>
      <c r="P571" s="260"/>
      <c r="Q571" s="260"/>
      <c r="R571" s="260"/>
      <c r="S571" s="270"/>
      <c r="T571" s="260"/>
      <c r="U571" s="266"/>
    </row>
    <row r="572" spans="12:21" x14ac:dyDescent="0.25">
      <c r="L572" s="267"/>
      <c r="M572" s="272"/>
      <c r="N572" s="260"/>
      <c r="O572" s="260"/>
      <c r="P572" s="260"/>
      <c r="Q572" s="260"/>
      <c r="R572" s="260"/>
      <c r="S572" s="270"/>
      <c r="T572" s="260"/>
      <c r="U572" s="266"/>
    </row>
    <row r="573" spans="12:21" x14ac:dyDescent="0.25">
      <c r="L573" s="267"/>
      <c r="M573" s="272"/>
      <c r="N573" s="260"/>
      <c r="O573" s="260"/>
      <c r="P573" s="260"/>
      <c r="Q573" s="260"/>
      <c r="R573" s="260"/>
      <c r="S573" s="270"/>
      <c r="T573" s="260"/>
      <c r="U573" s="266"/>
    </row>
    <row r="574" spans="12:21" x14ac:dyDescent="0.25">
      <c r="L574" s="267"/>
      <c r="M574" s="272"/>
      <c r="N574" s="260"/>
      <c r="O574" s="260"/>
      <c r="P574" s="260"/>
      <c r="Q574" s="260"/>
      <c r="R574" s="260"/>
      <c r="S574" s="270"/>
      <c r="T574" s="260"/>
      <c r="U574" s="266"/>
    </row>
    <row r="575" spans="12:21" x14ac:dyDescent="0.25">
      <c r="L575" s="267"/>
      <c r="M575" s="272"/>
      <c r="N575" s="260"/>
      <c r="O575" s="260"/>
      <c r="P575" s="260"/>
      <c r="Q575" s="260"/>
      <c r="R575" s="260"/>
      <c r="S575" s="270"/>
      <c r="T575" s="260"/>
      <c r="U575" s="266"/>
    </row>
    <row r="576" spans="12:21" x14ac:dyDescent="0.25">
      <c r="L576" s="267"/>
      <c r="M576" s="272"/>
      <c r="N576" s="260"/>
      <c r="O576" s="260"/>
      <c r="P576" s="260"/>
      <c r="Q576" s="260"/>
      <c r="R576" s="260"/>
      <c r="S576" s="270"/>
      <c r="T576" s="260"/>
      <c r="U576" s="266"/>
    </row>
    <row r="577" spans="12:21" x14ac:dyDescent="0.25">
      <c r="L577" s="267"/>
      <c r="M577" s="272"/>
      <c r="N577" s="260"/>
      <c r="O577" s="260"/>
      <c r="P577" s="260"/>
      <c r="Q577" s="260"/>
      <c r="R577" s="260"/>
      <c r="S577" s="270"/>
      <c r="T577" s="260"/>
      <c r="U577" s="266"/>
    </row>
    <row r="578" spans="12:21" x14ac:dyDescent="0.25">
      <c r="L578" s="267"/>
      <c r="M578" s="272"/>
      <c r="N578" s="260"/>
      <c r="O578" s="260"/>
      <c r="P578" s="260"/>
      <c r="Q578" s="260"/>
      <c r="R578" s="260"/>
      <c r="S578" s="270"/>
      <c r="T578" s="260"/>
      <c r="U578" s="266"/>
    </row>
    <row r="579" spans="12:21" x14ac:dyDescent="0.25">
      <c r="L579" s="267"/>
      <c r="M579" s="272"/>
      <c r="N579" s="260"/>
      <c r="O579" s="260"/>
      <c r="P579" s="260"/>
      <c r="Q579" s="260"/>
      <c r="R579" s="260"/>
      <c r="S579" s="270"/>
      <c r="T579" s="260"/>
      <c r="U579" s="266"/>
    </row>
    <row r="580" spans="12:21" x14ac:dyDescent="0.25">
      <c r="L580" s="267"/>
      <c r="M580" s="272"/>
      <c r="N580" s="260"/>
      <c r="O580" s="260"/>
      <c r="P580" s="260"/>
      <c r="Q580" s="260"/>
      <c r="R580" s="260"/>
      <c r="S580" s="270"/>
      <c r="T580" s="260"/>
      <c r="U580" s="266"/>
    </row>
    <row r="581" spans="12:21" x14ac:dyDescent="0.25">
      <c r="L581" s="267"/>
      <c r="M581" s="272"/>
      <c r="N581" s="260"/>
      <c r="O581" s="260"/>
      <c r="P581" s="260"/>
      <c r="Q581" s="260"/>
      <c r="R581" s="260"/>
      <c r="S581" s="270"/>
      <c r="T581" s="260"/>
      <c r="U581" s="266"/>
    </row>
    <row r="582" spans="12:21" x14ac:dyDescent="0.25">
      <c r="L582" s="267"/>
      <c r="M582" s="272"/>
      <c r="N582" s="260"/>
      <c r="O582" s="260"/>
      <c r="P582" s="260"/>
      <c r="Q582" s="260"/>
      <c r="R582" s="260"/>
      <c r="S582" s="270"/>
      <c r="T582" s="260"/>
      <c r="U582" s="266"/>
    </row>
    <row r="583" spans="12:21" x14ac:dyDescent="0.25">
      <c r="L583" s="267"/>
      <c r="M583" s="272"/>
      <c r="N583" s="260"/>
      <c r="O583" s="260"/>
      <c r="P583" s="260"/>
      <c r="Q583" s="260"/>
      <c r="R583" s="260"/>
      <c r="S583" s="270"/>
      <c r="T583" s="260"/>
      <c r="U583" s="266"/>
    </row>
    <row r="584" spans="12:21" x14ac:dyDescent="0.25">
      <c r="L584" s="267"/>
      <c r="M584" s="272"/>
      <c r="N584" s="260"/>
      <c r="O584" s="260"/>
      <c r="P584" s="260"/>
      <c r="Q584" s="260"/>
      <c r="R584" s="260"/>
      <c r="S584" s="270"/>
      <c r="T584" s="260"/>
      <c r="U584" s="266"/>
    </row>
    <row r="585" spans="12:21" x14ac:dyDescent="0.25">
      <c r="L585" s="267"/>
      <c r="M585" s="272"/>
      <c r="N585" s="260"/>
      <c r="O585" s="260"/>
      <c r="P585" s="260"/>
      <c r="Q585" s="260"/>
      <c r="R585" s="260"/>
      <c r="S585" s="270"/>
      <c r="T585" s="260"/>
      <c r="U585" s="266"/>
    </row>
    <row r="586" spans="12:21" x14ac:dyDescent="0.25">
      <c r="L586" s="267"/>
      <c r="M586" s="272"/>
      <c r="N586" s="260"/>
      <c r="O586" s="260"/>
      <c r="P586" s="260"/>
      <c r="Q586" s="260"/>
      <c r="R586" s="260"/>
      <c r="S586" s="270"/>
      <c r="T586" s="260"/>
      <c r="U586" s="266"/>
    </row>
    <row r="587" spans="12:21" x14ac:dyDescent="0.25">
      <c r="L587" s="267"/>
      <c r="M587" s="272"/>
      <c r="N587" s="260"/>
      <c r="O587" s="260"/>
      <c r="P587" s="260"/>
      <c r="Q587" s="260"/>
      <c r="R587" s="260"/>
      <c r="S587" s="270"/>
      <c r="T587" s="260"/>
      <c r="U587" s="266"/>
    </row>
    <row r="588" spans="12:21" x14ac:dyDescent="0.25">
      <c r="L588" s="267"/>
      <c r="M588" s="272"/>
      <c r="N588" s="260"/>
      <c r="O588" s="260"/>
      <c r="P588" s="260"/>
      <c r="Q588" s="260"/>
      <c r="R588" s="260"/>
      <c r="S588" s="270"/>
      <c r="T588" s="260"/>
      <c r="U588" s="266"/>
    </row>
    <row r="589" spans="12:21" x14ac:dyDescent="0.25">
      <c r="L589" s="267"/>
      <c r="M589" s="272"/>
      <c r="N589" s="260"/>
      <c r="O589" s="260"/>
      <c r="P589" s="260"/>
      <c r="Q589" s="260"/>
      <c r="R589" s="260"/>
      <c r="S589" s="270"/>
      <c r="T589" s="260"/>
      <c r="U589" s="266"/>
    </row>
    <row r="590" spans="12:21" x14ac:dyDescent="0.25">
      <c r="L590" s="267"/>
      <c r="M590" s="272"/>
      <c r="N590" s="260"/>
      <c r="O590" s="260"/>
      <c r="P590" s="260"/>
      <c r="Q590" s="260"/>
      <c r="R590" s="260"/>
      <c r="S590" s="270"/>
      <c r="T590" s="260"/>
      <c r="U590" s="266"/>
    </row>
    <row r="591" spans="12:21" x14ac:dyDescent="0.25">
      <c r="L591" s="267"/>
      <c r="M591" s="272"/>
      <c r="N591" s="260"/>
      <c r="O591" s="260"/>
      <c r="P591" s="260"/>
      <c r="Q591" s="260"/>
      <c r="R591" s="260"/>
      <c r="S591" s="270"/>
      <c r="T591" s="260"/>
      <c r="U591" s="266"/>
    </row>
    <row r="592" spans="12:21" x14ac:dyDescent="0.25">
      <c r="L592" s="267"/>
      <c r="M592" s="272"/>
      <c r="N592" s="260"/>
      <c r="O592" s="260"/>
      <c r="P592" s="260"/>
      <c r="Q592" s="260"/>
      <c r="R592" s="260"/>
      <c r="S592" s="270"/>
      <c r="T592" s="260"/>
      <c r="U592" s="266"/>
    </row>
    <row r="593" spans="12:21" x14ac:dyDescent="0.25">
      <c r="L593" s="267"/>
      <c r="M593" s="272"/>
      <c r="N593" s="260"/>
      <c r="O593" s="260"/>
      <c r="P593" s="260"/>
      <c r="Q593" s="260"/>
      <c r="R593" s="260"/>
      <c r="S593" s="270"/>
      <c r="T593" s="260"/>
      <c r="U593" s="266"/>
    </row>
    <row r="594" spans="12:21" x14ac:dyDescent="0.25">
      <c r="L594" s="267"/>
      <c r="M594" s="272"/>
      <c r="N594" s="260"/>
      <c r="O594" s="260"/>
      <c r="P594" s="260"/>
      <c r="Q594" s="260"/>
      <c r="R594" s="260"/>
      <c r="S594" s="270"/>
      <c r="T594" s="260"/>
      <c r="U594" s="266"/>
    </row>
    <row r="595" spans="12:21" x14ac:dyDescent="0.25">
      <c r="L595" s="267"/>
      <c r="M595" s="272"/>
      <c r="N595" s="260"/>
      <c r="O595" s="260"/>
      <c r="P595" s="260"/>
      <c r="Q595" s="260"/>
      <c r="R595" s="260"/>
      <c r="S595" s="270"/>
      <c r="T595" s="260"/>
      <c r="U595" s="266"/>
    </row>
    <row r="596" spans="12:21" x14ac:dyDescent="0.25">
      <c r="L596" s="267"/>
      <c r="M596" s="272"/>
      <c r="N596" s="260"/>
      <c r="O596" s="260"/>
      <c r="P596" s="260"/>
      <c r="Q596" s="260"/>
      <c r="R596" s="260"/>
      <c r="S596" s="270"/>
      <c r="T596" s="260"/>
      <c r="U596" s="266"/>
    </row>
    <row r="597" spans="12:21" x14ac:dyDescent="0.25">
      <c r="L597" s="267"/>
      <c r="M597" s="272"/>
      <c r="N597" s="260"/>
      <c r="O597" s="260"/>
      <c r="P597" s="260"/>
      <c r="Q597" s="260"/>
      <c r="R597" s="260"/>
      <c r="S597" s="270"/>
      <c r="T597" s="260"/>
      <c r="U597" s="266"/>
    </row>
    <row r="598" spans="12:21" x14ac:dyDescent="0.25">
      <c r="L598" s="267"/>
      <c r="M598" s="272"/>
      <c r="N598" s="260"/>
      <c r="O598" s="260"/>
      <c r="P598" s="260"/>
      <c r="Q598" s="260"/>
      <c r="R598" s="260"/>
      <c r="S598" s="270"/>
      <c r="T598" s="260"/>
      <c r="U598" s="266"/>
    </row>
    <row r="599" spans="12:21" x14ac:dyDescent="0.25">
      <c r="L599" s="267"/>
      <c r="M599" s="272"/>
      <c r="N599" s="260"/>
      <c r="O599" s="260"/>
      <c r="P599" s="260"/>
      <c r="Q599" s="260"/>
      <c r="R599" s="260"/>
      <c r="S599" s="270"/>
      <c r="T599" s="260"/>
      <c r="U599" s="266"/>
    </row>
    <row r="600" spans="12:21" x14ac:dyDescent="0.25">
      <c r="L600" s="267"/>
      <c r="M600" s="272"/>
      <c r="N600" s="260"/>
      <c r="O600" s="260"/>
      <c r="P600" s="260"/>
      <c r="Q600" s="260"/>
      <c r="R600" s="260"/>
      <c r="S600" s="270"/>
      <c r="T600" s="260"/>
      <c r="U600" s="266"/>
    </row>
    <row r="601" spans="12:21" x14ac:dyDescent="0.25">
      <c r="L601" s="267"/>
      <c r="M601" s="272"/>
      <c r="N601" s="260"/>
      <c r="O601" s="260"/>
      <c r="P601" s="260"/>
      <c r="Q601" s="260"/>
      <c r="R601" s="260"/>
      <c r="S601" s="270"/>
      <c r="T601" s="260"/>
      <c r="U601" s="266"/>
    </row>
    <row r="602" spans="12:21" x14ac:dyDescent="0.25">
      <c r="L602" s="267"/>
      <c r="M602" s="272"/>
      <c r="N602" s="260"/>
      <c r="O602" s="260"/>
      <c r="P602" s="260"/>
      <c r="Q602" s="260"/>
      <c r="R602" s="260"/>
      <c r="S602" s="270"/>
      <c r="T602" s="260"/>
      <c r="U602" s="266"/>
    </row>
    <row r="603" spans="12:21" x14ac:dyDescent="0.25">
      <c r="L603" s="267"/>
      <c r="M603" s="272"/>
      <c r="N603" s="260"/>
      <c r="O603" s="260"/>
      <c r="P603" s="260"/>
      <c r="Q603" s="260"/>
      <c r="R603" s="260"/>
      <c r="S603" s="270"/>
      <c r="T603" s="260"/>
      <c r="U603" s="266"/>
    </row>
    <row r="604" spans="12:21" x14ac:dyDescent="0.25">
      <c r="L604" s="267"/>
      <c r="M604" s="272"/>
      <c r="N604" s="260"/>
      <c r="O604" s="260"/>
      <c r="P604" s="260"/>
      <c r="Q604" s="260"/>
      <c r="R604" s="260"/>
      <c r="S604" s="270"/>
      <c r="T604" s="260"/>
      <c r="U604" s="266"/>
    </row>
    <row r="605" spans="12:21" x14ac:dyDescent="0.25">
      <c r="L605" s="267"/>
      <c r="M605" s="272"/>
      <c r="N605" s="260"/>
      <c r="O605" s="260"/>
      <c r="P605" s="260"/>
      <c r="Q605" s="260"/>
      <c r="R605" s="260"/>
      <c r="S605" s="270"/>
      <c r="T605" s="260"/>
      <c r="U605" s="266"/>
    </row>
    <row r="606" spans="12:21" x14ac:dyDescent="0.25">
      <c r="L606" s="267"/>
      <c r="M606" s="272"/>
      <c r="N606" s="260"/>
      <c r="O606" s="260"/>
      <c r="P606" s="260"/>
      <c r="Q606" s="260"/>
      <c r="R606" s="260"/>
      <c r="S606" s="270"/>
      <c r="T606" s="260"/>
      <c r="U606" s="266"/>
    </row>
    <row r="607" spans="12:21" x14ac:dyDescent="0.25">
      <c r="L607" s="267"/>
      <c r="M607" s="272"/>
      <c r="N607" s="260"/>
      <c r="O607" s="260"/>
      <c r="P607" s="260"/>
      <c r="Q607" s="260"/>
      <c r="R607" s="260"/>
      <c r="S607" s="270"/>
      <c r="T607" s="260"/>
      <c r="U607" s="266"/>
    </row>
    <row r="608" spans="12:21" x14ac:dyDescent="0.25">
      <c r="L608" s="267"/>
      <c r="M608" s="272"/>
      <c r="N608" s="260"/>
      <c r="O608" s="260"/>
      <c r="P608" s="260"/>
      <c r="Q608" s="260"/>
      <c r="R608" s="260"/>
      <c r="S608" s="270"/>
      <c r="T608" s="260"/>
      <c r="U608" s="266"/>
    </row>
    <row r="609" spans="12:21" x14ac:dyDescent="0.25">
      <c r="L609" s="267"/>
      <c r="M609" s="272"/>
      <c r="N609" s="260"/>
      <c r="O609" s="260"/>
      <c r="P609" s="260"/>
      <c r="Q609" s="260"/>
      <c r="R609" s="260"/>
      <c r="S609" s="270"/>
      <c r="T609" s="260"/>
      <c r="U609" s="266"/>
    </row>
    <row r="610" spans="12:21" x14ac:dyDescent="0.25">
      <c r="L610" s="267"/>
      <c r="M610" s="272"/>
      <c r="N610" s="260"/>
      <c r="O610" s="260"/>
      <c r="P610" s="260"/>
      <c r="Q610" s="260"/>
      <c r="R610" s="260"/>
      <c r="S610" s="270"/>
      <c r="T610" s="260"/>
      <c r="U610" s="266"/>
    </row>
    <row r="611" spans="12:21" x14ac:dyDescent="0.25">
      <c r="L611" s="267"/>
      <c r="M611" s="272"/>
      <c r="N611" s="260"/>
      <c r="O611" s="260"/>
      <c r="P611" s="260"/>
      <c r="Q611" s="260"/>
      <c r="R611" s="260"/>
      <c r="S611" s="270"/>
      <c r="T611" s="260"/>
      <c r="U611" s="266"/>
    </row>
    <row r="612" spans="12:21" x14ac:dyDescent="0.25">
      <c r="L612" s="267"/>
      <c r="M612" s="272"/>
      <c r="N612" s="260"/>
      <c r="O612" s="260"/>
      <c r="P612" s="260"/>
      <c r="Q612" s="260"/>
      <c r="R612" s="260"/>
      <c r="S612" s="270"/>
      <c r="T612" s="260"/>
      <c r="U612" s="266"/>
    </row>
    <row r="613" spans="12:21" x14ac:dyDescent="0.25">
      <c r="L613" s="267"/>
      <c r="M613" s="272"/>
      <c r="N613" s="260"/>
      <c r="O613" s="260"/>
      <c r="P613" s="260"/>
      <c r="Q613" s="260"/>
      <c r="R613" s="260"/>
      <c r="S613" s="270"/>
      <c r="T613" s="260"/>
      <c r="U613" s="266"/>
    </row>
    <row r="614" spans="12:21" x14ac:dyDescent="0.25">
      <c r="L614" s="267"/>
      <c r="M614" s="272"/>
      <c r="N614" s="260"/>
      <c r="O614" s="260"/>
      <c r="P614" s="260"/>
      <c r="Q614" s="260"/>
      <c r="R614" s="260"/>
      <c r="S614" s="270"/>
      <c r="T614" s="260"/>
      <c r="U614" s="266"/>
    </row>
    <row r="615" spans="12:21" x14ac:dyDescent="0.25">
      <c r="L615" s="267"/>
      <c r="M615" s="272"/>
      <c r="N615" s="260"/>
      <c r="O615" s="260"/>
      <c r="P615" s="260"/>
      <c r="Q615" s="260"/>
      <c r="R615" s="260"/>
      <c r="S615" s="270"/>
      <c r="T615" s="260"/>
      <c r="U615" s="266"/>
    </row>
    <row r="616" spans="12:21" x14ac:dyDescent="0.25">
      <c r="L616" s="267"/>
      <c r="M616" s="272"/>
      <c r="N616" s="260"/>
      <c r="O616" s="260"/>
      <c r="P616" s="260"/>
      <c r="Q616" s="260"/>
      <c r="R616" s="260"/>
      <c r="S616" s="270"/>
      <c r="T616" s="260"/>
      <c r="U616" s="266"/>
    </row>
    <row r="617" spans="12:21" x14ac:dyDescent="0.25">
      <c r="L617" s="267"/>
      <c r="M617" s="272"/>
      <c r="N617" s="260"/>
      <c r="O617" s="260"/>
      <c r="P617" s="260"/>
      <c r="Q617" s="260"/>
      <c r="R617" s="260"/>
      <c r="S617" s="270"/>
      <c r="T617" s="260"/>
      <c r="U617" s="266"/>
    </row>
    <row r="618" spans="12:21" x14ac:dyDescent="0.25">
      <c r="L618" s="267"/>
      <c r="M618" s="272"/>
      <c r="N618" s="260"/>
      <c r="O618" s="260"/>
      <c r="P618" s="260"/>
      <c r="Q618" s="260"/>
      <c r="R618" s="260"/>
      <c r="S618" s="270"/>
      <c r="T618" s="260"/>
      <c r="U618" s="266"/>
    </row>
    <row r="619" spans="12:21" x14ac:dyDescent="0.25">
      <c r="L619" s="267"/>
      <c r="M619" s="272"/>
      <c r="N619" s="260"/>
      <c r="O619" s="260"/>
      <c r="P619" s="260"/>
      <c r="Q619" s="260"/>
      <c r="R619" s="260"/>
      <c r="S619" s="270"/>
      <c r="T619" s="260"/>
      <c r="U619" s="266"/>
    </row>
    <row r="620" spans="12:21" x14ac:dyDescent="0.25">
      <c r="L620" s="267"/>
      <c r="M620" s="272"/>
      <c r="N620" s="260"/>
      <c r="O620" s="260"/>
      <c r="P620" s="260"/>
      <c r="Q620" s="260"/>
      <c r="R620" s="260"/>
      <c r="S620" s="270"/>
      <c r="T620" s="260"/>
      <c r="U620" s="266"/>
    </row>
    <row r="621" spans="12:21" x14ac:dyDescent="0.25">
      <c r="L621" s="267"/>
      <c r="M621" s="272"/>
      <c r="N621" s="260"/>
      <c r="O621" s="260"/>
      <c r="P621" s="260"/>
      <c r="Q621" s="260"/>
      <c r="R621" s="260"/>
      <c r="S621" s="270"/>
      <c r="T621" s="260"/>
      <c r="U621" s="266"/>
    </row>
    <row r="622" spans="12:21" x14ac:dyDescent="0.25">
      <c r="L622" s="267"/>
      <c r="M622" s="272"/>
      <c r="N622" s="260"/>
      <c r="O622" s="260"/>
      <c r="P622" s="260"/>
      <c r="Q622" s="260"/>
      <c r="R622" s="260"/>
      <c r="S622" s="270"/>
      <c r="T622" s="260"/>
      <c r="U622" s="266"/>
    </row>
    <row r="623" spans="12:21" x14ac:dyDescent="0.25">
      <c r="L623" s="267"/>
      <c r="M623" s="272"/>
      <c r="N623" s="260"/>
      <c r="O623" s="260"/>
      <c r="P623" s="260"/>
      <c r="Q623" s="260"/>
      <c r="R623" s="260"/>
      <c r="S623" s="270"/>
      <c r="T623" s="260"/>
      <c r="U623" s="266"/>
    </row>
    <row r="624" spans="12:21" x14ac:dyDescent="0.25">
      <c r="L624" s="267"/>
      <c r="M624" s="272"/>
      <c r="N624" s="260"/>
      <c r="O624" s="260"/>
      <c r="P624" s="260"/>
      <c r="Q624" s="260"/>
      <c r="R624" s="260"/>
      <c r="S624" s="270"/>
      <c r="T624" s="260"/>
      <c r="U624" s="266"/>
    </row>
    <row r="625" spans="12:21" x14ac:dyDescent="0.25">
      <c r="L625" s="267"/>
      <c r="M625" s="272"/>
      <c r="N625" s="260"/>
      <c r="O625" s="260"/>
      <c r="P625" s="260"/>
      <c r="Q625" s="260"/>
      <c r="R625" s="260"/>
      <c r="S625" s="270"/>
      <c r="T625" s="260"/>
      <c r="U625" s="266"/>
    </row>
    <row r="626" spans="12:21" x14ac:dyDescent="0.25">
      <c r="L626" s="267"/>
      <c r="M626" s="272"/>
      <c r="N626" s="260"/>
      <c r="O626" s="260"/>
      <c r="P626" s="260"/>
      <c r="Q626" s="260"/>
      <c r="R626" s="260"/>
      <c r="S626" s="270"/>
      <c r="T626" s="260"/>
      <c r="U626" s="266"/>
    </row>
    <row r="627" spans="12:21" x14ac:dyDescent="0.25">
      <c r="L627" s="267"/>
      <c r="M627" s="272"/>
      <c r="N627" s="260"/>
      <c r="O627" s="260"/>
      <c r="P627" s="260"/>
      <c r="Q627" s="260"/>
      <c r="R627" s="260"/>
      <c r="S627" s="270"/>
      <c r="T627" s="260"/>
      <c r="U627" s="266"/>
    </row>
    <row r="628" spans="12:21" x14ac:dyDescent="0.25">
      <c r="L628" s="267"/>
      <c r="M628" s="272"/>
      <c r="N628" s="260"/>
      <c r="O628" s="260"/>
      <c r="P628" s="260"/>
      <c r="Q628" s="260"/>
      <c r="R628" s="260"/>
      <c r="S628" s="270"/>
      <c r="T628" s="260"/>
      <c r="U628" s="266"/>
    </row>
    <row r="629" spans="12:21" x14ac:dyDescent="0.25">
      <c r="L629" s="267"/>
      <c r="M629" s="272"/>
      <c r="N629" s="260"/>
      <c r="O629" s="260"/>
      <c r="P629" s="260"/>
      <c r="Q629" s="260"/>
      <c r="R629" s="260"/>
      <c r="S629" s="270"/>
      <c r="T629" s="260"/>
      <c r="U629" s="266"/>
    </row>
    <row r="630" spans="12:21" x14ac:dyDescent="0.25">
      <c r="L630" s="267"/>
      <c r="M630" s="272"/>
      <c r="N630" s="260"/>
      <c r="O630" s="260"/>
      <c r="P630" s="260"/>
      <c r="Q630" s="260"/>
      <c r="R630" s="260"/>
      <c r="S630" s="270"/>
      <c r="T630" s="260"/>
      <c r="U630" s="266"/>
    </row>
    <row r="631" spans="12:21" x14ac:dyDescent="0.25">
      <c r="L631" s="267"/>
      <c r="M631" s="272"/>
      <c r="N631" s="260"/>
      <c r="O631" s="260"/>
      <c r="P631" s="260"/>
      <c r="Q631" s="260"/>
      <c r="R631" s="260"/>
      <c r="S631" s="270"/>
      <c r="T631" s="260"/>
      <c r="U631" s="266"/>
    </row>
    <row r="632" spans="12:21" x14ac:dyDescent="0.25">
      <c r="L632" s="267"/>
      <c r="M632" s="272"/>
      <c r="N632" s="260"/>
      <c r="O632" s="260"/>
      <c r="P632" s="260"/>
      <c r="Q632" s="260"/>
      <c r="R632" s="260"/>
      <c r="S632" s="270"/>
      <c r="T632" s="260"/>
      <c r="U632" s="266"/>
    </row>
    <row r="633" spans="12:21" x14ac:dyDescent="0.25">
      <c r="L633" s="267"/>
      <c r="M633" s="272"/>
      <c r="N633" s="260"/>
      <c r="O633" s="260"/>
      <c r="P633" s="260"/>
      <c r="Q633" s="260"/>
      <c r="R633" s="260"/>
      <c r="S633" s="270"/>
      <c r="T633" s="260"/>
      <c r="U633" s="266"/>
    </row>
    <row r="634" spans="12:21" x14ac:dyDescent="0.25">
      <c r="L634" s="267"/>
      <c r="M634" s="272"/>
      <c r="N634" s="260"/>
      <c r="O634" s="260"/>
      <c r="P634" s="260"/>
      <c r="Q634" s="260"/>
      <c r="R634" s="260"/>
      <c r="S634" s="270"/>
      <c r="T634" s="260"/>
      <c r="U634" s="266"/>
    </row>
    <row r="635" spans="12:21" x14ac:dyDescent="0.25">
      <c r="L635" s="267"/>
      <c r="M635" s="272"/>
      <c r="N635" s="260"/>
      <c r="O635" s="260"/>
      <c r="P635" s="260"/>
      <c r="Q635" s="260"/>
      <c r="R635" s="260"/>
      <c r="S635" s="270"/>
      <c r="T635" s="260"/>
      <c r="U635" s="266"/>
    </row>
    <row r="636" spans="12:21" x14ac:dyDescent="0.25">
      <c r="L636" s="267"/>
      <c r="M636" s="272"/>
      <c r="N636" s="260"/>
      <c r="O636" s="260"/>
      <c r="P636" s="260"/>
      <c r="Q636" s="260"/>
      <c r="R636" s="260"/>
      <c r="S636" s="270"/>
      <c r="T636" s="260"/>
      <c r="U636" s="266"/>
    </row>
    <row r="637" spans="12:21" x14ac:dyDescent="0.25">
      <c r="L637" s="267"/>
      <c r="M637" s="272"/>
      <c r="N637" s="260"/>
      <c r="O637" s="260"/>
      <c r="P637" s="260"/>
      <c r="Q637" s="260"/>
      <c r="R637" s="260"/>
      <c r="S637" s="270"/>
      <c r="T637" s="260"/>
      <c r="U637" s="266"/>
    </row>
    <row r="638" spans="12:21" x14ac:dyDescent="0.25">
      <c r="L638" s="267"/>
      <c r="M638" s="272"/>
      <c r="N638" s="260"/>
      <c r="O638" s="260"/>
      <c r="P638" s="260"/>
      <c r="Q638" s="260"/>
      <c r="R638" s="260"/>
      <c r="S638" s="270"/>
      <c r="T638" s="260"/>
      <c r="U638" s="266"/>
    </row>
    <row r="639" spans="12:21" x14ac:dyDescent="0.25">
      <c r="L639" s="267"/>
      <c r="M639" s="272"/>
      <c r="N639" s="260"/>
      <c r="O639" s="260"/>
      <c r="P639" s="260"/>
      <c r="Q639" s="260"/>
      <c r="R639" s="260"/>
      <c r="S639" s="270"/>
      <c r="T639" s="260"/>
      <c r="U639" s="266"/>
    </row>
    <row r="640" spans="12:21" x14ac:dyDescent="0.25">
      <c r="L640" s="267"/>
      <c r="M640" s="272"/>
      <c r="N640" s="260"/>
      <c r="O640" s="260"/>
      <c r="P640" s="260"/>
      <c r="Q640" s="260"/>
      <c r="R640" s="260"/>
      <c r="S640" s="270"/>
      <c r="T640" s="260"/>
      <c r="U640" s="266"/>
    </row>
    <row r="641" spans="12:21" x14ac:dyDescent="0.25">
      <c r="L641" s="267"/>
      <c r="M641" s="272"/>
      <c r="N641" s="260"/>
      <c r="O641" s="260"/>
      <c r="P641" s="260"/>
      <c r="Q641" s="260"/>
      <c r="R641" s="260"/>
      <c r="S641" s="270"/>
      <c r="T641" s="260"/>
      <c r="U641" s="266"/>
    </row>
    <row r="642" spans="12:21" x14ac:dyDescent="0.25">
      <c r="L642" s="267"/>
      <c r="M642" s="272"/>
      <c r="N642" s="260"/>
      <c r="O642" s="260"/>
      <c r="P642" s="260"/>
      <c r="Q642" s="260"/>
      <c r="R642" s="260"/>
      <c r="S642" s="270"/>
      <c r="T642" s="260"/>
      <c r="U642" s="266"/>
    </row>
    <row r="643" spans="12:21" x14ac:dyDescent="0.25">
      <c r="L643" s="267"/>
      <c r="M643" s="272"/>
      <c r="N643" s="260"/>
      <c r="O643" s="260"/>
      <c r="P643" s="260"/>
      <c r="Q643" s="260"/>
      <c r="R643" s="260"/>
      <c r="S643" s="270"/>
      <c r="T643" s="260"/>
      <c r="U643" s="266"/>
    </row>
    <row r="644" spans="12:21" x14ac:dyDescent="0.25">
      <c r="L644" s="267"/>
      <c r="M644" s="272"/>
      <c r="N644" s="260"/>
      <c r="O644" s="260"/>
      <c r="P644" s="260"/>
      <c r="Q644" s="260"/>
      <c r="R644" s="260"/>
      <c r="S644" s="270"/>
      <c r="T644" s="260"/>
      <c r="U644" s="266"/>
    </row>
    <row r="645" spans="12:21" x14ac:dyDescent="0.25">
      <c r="L645" s="267"/>
      <c r="M645" s="272"/>
      <c r="N645" s="260"/>
      <c r="O645" s="260"/>
      <c r="P645" s="260"/>
      <c r="Q645" s="260"/>
      <c r="R645" s="260"/>
      <c r="S645" s="270"/>
      <c r="T645" s="260"/>
      <c r="U645" s="266"/>
    </row>
    <row r="646" spans="12:21" x14ac:dyDescent="0.25">
      <c r="L646" s="267"/>
      <c r="M646" s="272"/>
      <c r="N646" s="260"/>
      <c r="O646" s="260"/>
      <c r="P646" s="260"/>
      <c r="Q646" s="260"/>
      <c r="R646" s="260"/>
      <c r="S646" s="270"/>
      <c r="T646" s="260"/>
      <c r="U646" s="266"/>
    </row>
    <row r="647" spans="12:21" x14ac:dyDescent="0.25">
      <c r="L647" s="267"/>
      <c r="M647" s="272"/>
      <c r="N647" s="260"/>
      <c r="O647" s="260"/>
      <c r="P647" s="260"/>
      <c r="Q647" s="260"/>
      <c r="R647" s="260"/>
      <c r="S647" s="270"/>
      <c r="T647" s="260"/>
      <c r="U647" s="266"/>
    </row>
    <row r="648" spans="12:21" x14ac:dyDescent="0.25">
      <c r="L648" s="267"/>
      <c r="M648" s="272"/>
      <c r="N648" s="260"/>
      <c r="O648" s="260"/>
      <c r="P648" s="260"/>
      <c r="Q648" s="260"/>
      <c r="R648" s="260"/>
      <c r="S648" s="270"/>
      <c r="T648" s="260"/>
      <c r="U648" s="266"/>
    </row>
    <row r="649" spans="12:21" x14ac:dyDescent="0.25">
      <c r="L649" s="267"/>
      <c r="M649" s="272"/>
      <c r="N649" s="260"/>
      <c r="O649" s="260"/>
      <c r="P649" s="260"/>
      <c r="Q649" s="260"/>
      <c r="R649" s="260"/>
      <c r="S649" s="270"/>
      <c r="T649" s="260"/>
      <c r="U649" s="266"/>
    </row>
    <row r="650" spans="12:21" x14ac:dyDescent="0.25">
      <c r="L650" s="267"/>
      <c r="M650" s="272"/>
      <c r="N650" s="260"/>
      <c r="O650" s="260"/>
      <c r="P650" s="260"/>
      <c r="Q650" s="260"/>
      <c r="R650" s="260"/>
      <c r="S650" s="270"/>
      <c r="T650" s="260"/>
      <c r="U650" s="266"/>
    </row>
    <row r="651" spans="12:21" x14ac:dyDescent="0.25">
      <c r="L651" s="267"/>
      <c r="M651" s="272"/>
      <c r="N651" s="260"/>
      <c r="O651" s="260"/>
      <c r="P651" s="260"/>
      <c r="Q651" s="260"/>
      <c r="R651" s="260"/>
      <c r="S651" s="270"/>
      <c r="T651" s="260"/>
      <c r="U651" s="266"/>
    </row>
    <row r="652" spans="12:21" x14ac:dyDescent="0.25">
      <c r="L652" s="267"/>
      <c r="M652" s="272"/>
      <c r="N652" s="260"/>
      <c r="O652" s="260"/>
      <c r="P652" s="260"/>
      <c r="Q652" s="260"/>
      <c r="R652" s="260"/>
      <c r="S652" s="270"/>
      <c r="T652" s="260"/>
      <c r="U652" s="266"/>
    </row>
    <row r="653" spans="12:21" x14ac:dyDescent="0.25">
      <c r="L653" s="267"/>
      <c r="M653" s="272"/>
      <c r="N653" s="260"/>
      <c r="O653" s="260"/>
      <c r="P653" s="260"/>
      <c r="Q653" s="260"/>
      <c r="R653" s="260"/>
      <c r="S653" s="270"/>
      <c r="T653" s="260"/>
      <c r="U653" s="266"/>
    </row>
    <row r="654" spans="12:21" x14ac:dyDescent="0.25">
      <c r="L654" s="267"/>
      <c r="M654" s="272"/>
      <c r="N654" s="260"/>
      <c r="O654" s="260"/>
      <c r="P654" s="260"/>
      <c r="Q654" s="260"/>
      <c r="R654" s="260"/>
      <c r="S654" s="270"/>
      <c r="T654" s="260"/>
      <c r="U654" s="266"/>
    </row>
    <row r="655" spans="12:21" x14ac:dyDescent="0.25">
      <c r="L655" s="267"/>
      <c r="M655" s="272"/>
      <c r="N655" s="260"/>
      <c r="O655" s="260"/>
      <c r="P655" s="260"/>
      <c r="Q655" s="260"/>
      <c r="R655" s="260"/>
      <c r="S655" s="270"/>
      <c r="T655" s="260"/>
      <c r="U655" s="266"/>
    </row>
    <row r="656" spans="12:21" x14ac:dyDescent="0.25">
      <c r="L656" s="267"/>
      <c r="M656" s="272"/>
      <c r="N656" s="260"/>
      <c r="O656" s="260"/>
      <c r="P656" s="260"/>
      <c r="Q656" s="260"/>
      <c r="R656" s="260"/>
      <c r="S656" s="270"/>
      <c r="T656" s="260"/>
      <c r="U656" s="266"/>
    </row>
    <row r="657" spans="12:21" x14ac:dyDescent="0.25">
      <c r="L657" s="267"/>
      <c r="M657" s="272"/>
      <c r="N657" s="260"/>
      <c r="O657" s="260"/>
      <c r="P657" s="260"/>
      <c r="Q657" s="260"/>
      <c r="R657" s="260"/>
      <c r="S657" s="270"/>
      <c r="T657" s="260"/>
      <c r="U657" s="266"/>
    </row>
    <row r="658" spans="12:21" x14ac:dyDescent="0.25">
      <c r="L658" s="267"/>
      <c r="M658" s="272"/>
      <c r="N658" s="260"/>
      <c r="O658" s="260"/>
      <c r="P658" s="260"/>
      <c r="Q658" s="260"/>
      <c r="R658" s="260"/>
      <c r="S658" s="270"/>
      <c r="T658" s="260"/>
      <c r="U658" s="266"/>
    </row>
    <row r="659" spans="12:21" x14ac:dyDescent="0.25">
      <c r="L659" s="267"/>
      <c r="M659" s="272"/>
      <c r="N659" s="260"/>
      <c r="O659" s="260"/>
      <c r="P659" s="260"/>
      <c r="Q659" s="260"/>
      <c r="R659" s="260"/>
      <c r="S659" s="270"/>
      <c r="T659" s="260"/>
      <c r="U659" s="266"/>
    </row>
    <row r="660" spans="12:21" x14ac:dyDescent="0.25">
      <c r="L660" s="267"/>
      <c r="M660" s="272"/>
      <c r="N660" s="260"/>
      <c r="O660" s="260"/>
      <c r="P660" s="260"/>
      <c r="Q660" s="260"/>
      <c r="R660" s="260"/>
      <c r="S660" s="270"/>
      <c r="T660" s="260"/>
      <c r="U660" s="266"/>
    </row>
    <row r="661" spans="12:21" x14ac:dyDescent="0.25">
      <c r="L661" s="267"/>
      <c r="M661" s="272"/>
      <c r="N661" s="260"/>
      <c r="O661" s="260"/>
      <c r="P661" s="260"/>
      <c r="Q661" s="260"/>
      <c r="R661" s="260"/>
      <c r="S661" s="270"/>
      <c r="T661" s="260"/>
      <c r="U661" s="266"/>
    </row>
    <row r="662" spans="12:21" x14ac:dyDescent="0.25">
      <c r="L662" s="267"/>
      <c r="M662" s="272"/>
      <c r="N662" s="260"/>
      <c r="O662" s="260"/>
      <c r="P662" s="260"/>
      <c r="Q662" s="260"/>
      <c r="R662" s="260"/>
      <c r="S662" s="270"/>
      <c r="T662" s="260"/>
      <c r="U662" s="266"/>
    </row>
    <row r="663" spans="12:21" x14ac:dyDescent="0.25">
      <c r="L663" s="267"/>
      <c r="M663" s="272"/>
      <c r="N663" s="260"/>
      <c r="O663" s="260"/>
      <c r="P663" s="260"/>
      <c r="Q663" s="260"/>
      <c r="R663" s="260"/>
      <c r="S663" s="270"/>
      <c r="T663" s="260"/>
      <c r="U663" s="266"/>
    </row>
    <row r="664" spans="12:21" x14ac:dyDescent="0.25">
      <c r="L664" s="267"/>
      <c r="M664" s="272"/>
      <c r="N664" s="260"/>
      <c r="O664" s="260"/>
      <c r="P664" s="260"/>
      <c r="Q664" s="260"/>
      <c r="R664" s="260"/>
      <c r="S664" s="270"/>
      <c r="T664" s="260"/>
      <c r="U664" s="266"/>
    </row>
    <row r="665" spans="12:21" x14ac:dyDescent="0.25">
      <c r="L665" s="267"/>
      <c r="M665" s="272"/>
      <c r="N665" s="260"/>
      <c r="O665" s="260"/>
      <c r="P665" s="260"/>
      <c r="Q665" s="260"/>
      <c r="R665" s="260"/>
      <c r="S665" s="270"/>
      <c r="T665" s="260"/>
      <c r="U665" s="266"/>
    </row>
    <row r="666" spans="12:21" x14ac:dyDescent="0.25">
      <c r="L666" s="267"/>
      <c r="M666" s="272"/>
      <c r="N666" s="260"/>
      <c r="O666" s="260"/>
      <c r="P666" s="260"/>
      <c r="Q666" s="260"/>
      <c r="R666" s="260"/>
      <c r="S666" s="270"/>
      <c r="T666" s="260"/>
      <c r="U666" s="266"/>
    </row>
    <row r="667" spans="12:21" x14ac:dyDescent="0.25">
      <c r="L667" s="267"/>
      <c r="M667" s="272"/>
      <c r="N667" s="260"/>
      <c r="O667" s="260"/>
      <c r="P667" s="260"/>
      <c r="Q667" s="260"/>
      <c r="R667" s="260"/>
      <c r="S667" s="270"/>
      <c r="T667" s="260"/>
      <c r="U667" s="266"/>
    </row>
    <row r="668" spans="12:21" x14ac:dyDescent="0.25">
      <c r="L668" s="267"/>
      <c r="M668" s="272"/>
      <c r="N668" s="260"/>
      <c r="O668" s="260"/>
      <c r="P668" s="260"/>
      <c r="Q668" s="260"/>
      <c r="R668" s="260"/>
      <c r="S668" s="270"/>
      <c r="T668" s="260"/>
      <c r="U668" s="266"/>
    </row>
    <row r="669" spans="12:21" x14ac:dyDescent="0.25">
      <c r="L669" s="267"/>
      <c r="M669" s="272"/>
      <c r="N669" s="260"/>
      <c r="O669" s="260"/>
      <c r="P669" s="260"/>
      <c r="Q669" s="260"/>
      <c r="R669" s="260"/>
      <c r="S669" s="270"/>
      <c r="T669" s="260"/>
      <c r="U669" s="266"/>
    </row>
    <row r="670" spans="12:21" x14ac:dyDescent="0.25">
      <c r="L670" s="267"/>
      <c r="M670" s="272"/>
      <c r="N670" s="260"/>
      <c r="O670" s="260"/>
      <c r="P670" s="260"/>
      <c r="Q670" s="260"/>
      <c r="R670" s="260"/>
      <c r="S670" s="270"/>
      <c r="T670" s="260"/>
      <c r="U670" s="266"/>
    </row>
    <row r="671" spans="12:21" x14ac:dyDescent="0.25">
      <c r="L671" s="267"/>
      <c r="M671" s="272"/>
      <c r="N671" s="260"/>
      <c r="O671" s="260"/>
      <c r="P671" s="260"/>
      <c r="Q671" s="260"/>
      <c r="R671" s="260"/>
      <c r="S671" s="270"/>
      <c r="T671" s="260"/>
      <c r="U671" s="266"/>
    </row>
    <row r="672" spans="12:21" x14ac:dyDescent="0.25">
      <c r="L672" s="267"/>
      <c r="M672" s="272"/>
      <c r="N672" s="260"/>
      <c r="O672" s="260"/>
      <c r="P672" s="260"/>
      <c r="Q672" s="260"/>
      <c r="R672" s="260"/>
      <c r="S672" s="270"/>
      <c r="T672" s="260"/>
      <c r="U672" s="266"/>
    </row>
    <row r="673" spans="12:21" x14ac:dyDescent="0.25">
      <c r="L673" s="267"/>
      <c r="M673" s="272"/>
      <c r="N673" s="260"/>
      <c r="O673" s="260"/>
      <c r="P673" s="260"/>
      <c r="Q673" s="260"/>
      <c r="R673" s="260"/>
      <c r="S673" s="270"/>
      <c r="T673" s="260"/>
      <c r="U673" s="266"/>
    </row>
    <row r="674" spans="12:21" x14ac:dyDescent="0.25">
      <c r="L674" s="267"/>
      <c r="M674" s="272"/>
      <c r="N674" s="260"/>
      <c r="O674" s="260"/>
      <c r="P674" s="260"/>
      <c r="Q674" s="260"/>
      <c r="R674" s="260"/>
      <c r="S674" s="270"/>
      <c r="T674" s="260"/>
      <c r="U674" s="266"/>
    </row>
    <row r="675" spans="12:21" x14ac:dyDescent="0.25">
      <c r="L675" s="267"/>
      <c r="M675" s="272"/>
      <c r="N675" s="260"/>
      <c r="O675" s="260"/>
      <c r="P675" s="260"/>
      <c r="Q675" s="260"/>
      <c r="R675" s="260"/>
      <c r="S675" s="270"/>
      <c r="T675" s="260"/>
      <c r="U675" s="266"/>
    </row>
    <row r="676" spans="12:21" x14ac:dyDescent="0.25">
      <c r="L676" s="267"/>
      <c r="M676" s="272"/>
      <c r="N676" s="260"/>
      <c r="O676" s="260"/>
      <c r="P676" s="260"/>
      <c r="Q676" s="260"/>
      <c r="R676" s="260"/>
      <c r="S676" s="270"/>
      <c r="T676" s="260"/>
      <c r="U676" s="266"/>
    </row>
    <row r="677" spans="12:21" x14ac:dyDescent="0.25">
      <c r="L677" s="267"/>
      <c r="M677" s="272"/>
      <c r="N677" s="260"/>
      <c r="O677" s="260"/>
      <c r="P677" s="260"/>
      <c r="Q677" s="260"/>
      <c r="R677" s="260"/>
      <c r="S677" s="270"/>
      <c r="T677" s="260"/>
      <c r="U677" s="266"/>
    </row>
    <row r="678" spans="12:21" x14ac:dyDescent="0.25">
      <c r="L678" s="267"/>
      <c r="M678" s="272"/>
      <c r="N678" s="260"/>
      <c r="O678" s="260"/>
      <c r="P678" s="260"/>
      <c r="Q678" s="260"/>
      <c r="R678" s="260"/>
      <c r="S678" s="270"/>
      <c r="T678" s="260"/>
      <c r="U678" s="266"/>
    </row>
    <row r="679" spans="12:21" x14ac:dyDescent="0.25">
      <c r="L679" s="267"/>
      <c r="M679" s="272"/>
      <c r="N679" s="260"/>
      <c r="O679" s="260"/>
      <c r="P679" s="260"/>
      <c r="Q679" s="260"/>
      <c r="R679" s="260"/>
      <c r="S679" s="270"/>
      <c r="T679" s="260"/>
      <c r="U679" s="266"/>
    </row>
    <row r="680" spans="12:21" x14ac:dyDescent="0.25">
      <c r="L680" s="267"/>
      <c r="M680" s="272"/>
      <c r="N680" s="260"/>
      <c r="O680" s="260"/>
      <c r="P680" s="260"/>
      <c r="Q680" s="260"/>
      <c r="R680" s="260"/>
      <c r="S680" s="270"/>
      <c r="T680" s="260"/>
      <c r="U680" s="266"/>
    </row>
    <row r="681" spans="12:21" x14ac:dyDescent="0.25">
      <c r="L681" s="267"/>
      <c r="M681" s="272"/>
      <c r="N681" s="260"/>
      <c r="O681" s="260"/>
      <c r="P681" s="260"/>
      <c r="Q681" s="260"/>
      <c r="R681" s="260"/>
      <c r="S681" s="270"/>
      <c r="T681" s="260"/>
      <c r="U681" s="266"/>
    </row>
    <row r="682" spans="12:21" x14ac:dyDescent="0.25">
      <c r="L682" s="267"/>
      <c r="M682" s="272"/>
      <c r="N682" s="260"/>
      <c r="O682" s="260"/>
      <c r="P682" s="260"/>
      <c r="Q682" s="260"/>
      <c r="R682" s="260"/>
      <c r="S682" s="270"/>
      <c r="T682" s="260"/>
      <c r="U682" s="266"/>
    </row>
    <row r="683" spans="12:21" x14ac:dyDescent="0.25">
      <c r="L683" s="267"/>
      <c r="M683" s="272"/>
      <c r="N683" s="260"/>
      <c r="O683" s="260"/>
      <c r="P683" s="260"/>
      <c r="Q683" s="260"/>
      <c r="R683" s="260"/>
      <c r="S683" s="270"/>
      <c r="T683" s="260"/>
      <c r="U683" s="266"/>
    </row>
    <row r="684" spans="12:21" x14ac:dyDescent="0.25">
      <c r="L684" s="267"/>
      <c r="M684" s="272"/>
      <c r="N684" s="260"/>
      <c r="O684" s="260"/>
      <c r="P684" s="260"/>
      <c r="Q684" s="260"/>
      <c r="R684" s="260"/>
      <c r="S684" s="270"/>
      <c r="T684" s="260"/>
      <c r="U684" s="266"/>
    </row>
    <row r="685" spans="12:21" x14ac:dyDescent="0.25">
      <c r="L685" s="267"/>
      <c r="M685" s="272"/>
      <c r="N685" s="260"/>
      <c r="O685" s="260"/>
      <c r="P685" s="260"/>
      <c r="Q685" s="260"/>
      <c r="R685" s="260"/>
      <c r="S685" s="270"/>
      <c r="T685" s="260"/>
      <c r="U685" s="266"/>
    </row>
    <row r="686" spans="12:21" x14ac:dyDescent="0.25">
      <c r="L686" s="267"/>
      <c r="M686" s="272"/>
      <c r="N686" s="260"/>
      <c r="O686" s="260"/>
      <c r="P686" s="260"/>
      <c r="Q686" s="260"/>
      <c r="R686" s="260"/>
      <c r="S686" s="270"/>
      <c r="T686" s="260"/>
      <c r="U686" s="266"/>
    </row>
    <row r="687" spans="12:21" x14ac:dyDescent="0.25">
      <c r="L687" s="267"/>
      <c r="M687" s="272"/>
      <c r="N687" s="260"/>
      <c r="O687" s="260"/>
      <c r="P687" s="260"/>
      <c r="Q687" s="260"/>
      <c r="R687" s="260"/>
      <c r="S687" s="270"/>
      <c r="T687" s="260"/>
      <c r="U687" s="266"/>
    </row>
    <row r="688" spans="12:21" x14ac:dyDescent="0.25">
      <c r="L688" s="267"/>
      <c r="M688" s="272"/>
      <c r="N688" s="260"/>
      <c r="O688" s="260"/>
      <c r="P688" s="260"/>
      <c r="Q688" s="260"/>
      <c r="R688" s="260"/>
      <c r="S688" s="270"/>
      <c r="T688" s="260"/>
      <c r="U688" s="266"/>
    </row>
    <row r="689" spans="12:21" x14ac:dyDescent="0.25">
      <c r="L689" s="267"/>
      <c r="M689" s="272"/>
      <c r="N689" s="260"/>
      <c r="O689" s="260"/>
      <c r="P689" s="260"/>
      <c r="Q689" s="260"/>
      <c r="R689" s="260"/>
      <c r="S689" s="270"/>
      <c r="T689" s="260"/>
      <c r="U689" s="266"/>
    </row>
    <row r="690" spans="12:21" x14ac:dyDescent="0.25">
      <c r="L690" s="267"/>
      <c r="M690" s="272"/>
      <c r="N690" s="260"/>
      <c r="O690" s="260"/>
      <c r="P690" s="260"/>
      <c r="Q690" s="260"/>
      <c r="R690" s="260"/>
      <c r="S690" s="270"/>
      <c r="T690" s="260"/>
      <c r="U690" s="266"/>
    </row>
    <row r="691" spans="12:21" x14ac:dyDescent="0.25">
      <c r="L691" s="267"/>
      <c r="M691" s="272"/>
      <c r="N691" s="260"/>
      <c r="O691" s="260"/>
      <c r="P691" s="260"/>
      <c r="Q691" s="260"/>
      <c r="R691" s="260"/>
      <c r="S691" s="270"/>
      <c r="T691" s="260"/>
      <c r="U691" s="266"/>
    </row>
    <row r="692" spans="12:21" x14ac:dyDescent="0.25">
      <c r="L692" s="267"/>
      <c r="M692" s="272"/>
      <c r="N692" s="260"/>
      <c r="O692" s="260"/>
      <c r="P692" s="260"/>
      <c r="Q692" s="260"/>
      <c r="R692" s="260"/>
      <c r="S692" s="270"/>
      <c r="T692" s="260"/>
      <c r="U692" s="266"/>
    </row>
    <row r="693" spans="12:21" x14ac:dyDescent="0.25">
      <c r="L693" s="267"/>
      <c r="M693" s="272"/>
      <c r="N693" s="260"/>
      <c r="O693" s="260"/>
      <c r="P693" s="260"/>
      <c r="Q693" s="260"/>
      <c r="R693" s="260"/>
      <c r="S693" s="270"/>
      <c r="T693" s="260"/>
      <c r="U693" s="266"/>
    </row>
    <row r="694" spans="12:21" x14ac:dyDescent="0.25">
      <c r="L694" s="267"/>
      <c r="M694" s="272"/>
      <c r="N694" s="260"/>
      <c r="O694" s="260"/>
      <c r="P694" s="260"/>
      <c r="Q694" s="260"/>
      <c r="R694" s="260"/>
      <c r="S694" s="270"/>
      <c r="T694" s="260"/>
      <c r="U694" s="266"/>
    </row>
    <row r="695" spans="12:21" x14ac:dyDescent="0.25">
      <c r="L695" s="267"/>
      <c r="M695" s="272"/>
      <c r="N695" s="260"/>
      <c r="O695" s="260"/>
      <c r="P695" s="260"/>
      <c r="Q695" s="260"/>
      <c r="R695" s="260"/>
      <c r="S695" s="270"/>
      <c r="T695" s="260"/>
      <c r="U695" s="266"/>
    </row>
    <row r="696" spans="12:21" x14ac:dyDescent="0.25">
      <c r="L696" s="267"/>
      <c r="M696" s="272"/>
      <c r="N696" s="260"/>
      <c r="O696" s="260"/>
      <c r="P696" s="260"/>
      <c r="Q696" s="260"/>
      <c r="R696" s="260"/>
      <c r="S696" s="270"/>
      <c r="T696" s="260"/>
      <c r="U696" s="266"/>
    </row>
    <row r="697" spans="12:21" x14ac:dyDescent="0.25">
      <c r="L697" s="267"/>
      <c r="M697" s="272"/>
      <c r="N697" s="260"/>
      <c r="O697" s="260"/>
      <c r="P697" s="260"/>
      <c r="Q697" s="260"/>
      <c r="R697" s="260"/>
      <c r="S697" s="270"/>
      <c r="T697" s="260"/>
      <c r="U697" s="266"/>
    </row>
    <row r="698" spans="12:21" x14ac:dyDescent="0.25">
      <c r="L698" s="267"/>
      <c r="M698" s="272"/>
      <c r="N698" s="260"/>
      <c r="O698" s="260"/>
      <c r="P698" s="260"/>
      <c r="Q698" s="260"/>
      <c r="R698" s="260"/>
      <c r="S698" s="270"/>
      <c r="T698" s="260"/>
      <c r="U698" s="266"/>
    </row>
    <row r="699" spans="12:21" x14ac:dyDescent="0.25">
      <c r="L699" s="267"/>
      <c r="M699" s="272"/>
      <c r="N699" s="260"/>
      <c r="O699" s="260"/>
      <c r="P699" s="260"/>
      <c r="Q699" s="260"/>
      <c r="R699" s="260"/>
      <c r="S699" s="270"/>
      <c r="T699" s="260"/>
      <c r="U699" s="266"/>
    </row>
    <row r="700" spans="12:21" x14ac:dyDescent="0.25">
      <c r="L700" s="274"/>
      <c r="M700" s="273"/>
      <c r="N700" s="268"/>
      <c r="O700" s="268"/>
      <c r="P700" s="268"/>
      <c r="Q700" s="268"/>
      <c r="R700" s="268"/>
      <c r="S700" s="271"/>
      <c r="T700" s="268"/>
      <c r="U700" s="269"/>
    </row>
    <row r="701" spans="12:21" x14ac:dyDescent="0.25">
      <c r="L701" s="278"/>
      <c r="M701" s="278"/>
      <c r="N701" s="278"/>
      <c r="O701" s="278"/>
      <c r="P701" s="278"/>
      <c r="Q701" s="278"/>
      <c r="R701" s="278"/>
      <c r="S701" s="278"/>
      <c r="T701" s="278"/>
      <c r="U701" s="27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cata">
                <anchor moveWithCells="1" sizeWithCells="1">
                  <from>
                    <xdr:col>0</xdr:col>
                    <xdr:colOff>257175</xdr:colOff>
                    <xdr:row>23</xdr:row>
                    <xdr:rowOff>123825</xdr:rowOff>
                  </from>
                  <to>
                    <xdr:col>3</xdr:col>
                    <xdr:colOff>666750</xdr:colOff>
                    <xdr:row>25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2:CN220"/>
  <sheetViews>
    <sheetView showGridLines="0" zoomScale="115" zoomScaleNormal="11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G34" sqref="G34"/>
    </sheetView>
  </sheetViews>
  <sheetFormatPr baseColWidth="10" defaultRowHeight="11.25" outlineLevelRow="1" outlineLevelCol="1" x14ac:dyDescent="0.2"/>
  <cols>
    <col min="1" max="1" width="12.42578125" style="40" customWidth="1"/>
    <col min="2" max="2" width="2" style="40" customWidth="1"/>
    <col min="3" max="3" width="22.42578125" style="40" bestFit="1" customWidth="1"/>
    <col min="4" max="4" width="1.42578125" style="40" customWidth="1"/>
    <col min="5" max="16" width="8.28515625" style="40" customWidth="1" outlineLevel="1"/>
    <col min="17" max="17" width="8.28515625" style="40" customWidth="1"/>
    <col min="18" max="18" width="3.7109375" style="40" customWidth="1"/>
    <col min="19" max="19" width="12.85546875" style="40" customWidth="1" outlineLevel="1"/>
    <col min="20" max="30" width="8.28515625" style="40" customWidth="1" outlineLevel="1"/>
    <col min="31" max="32" width="11.42578125" style="40"/>
    <col min="33" max="33" width="9.7109375" style="40" customWidth="1"/>
    <col min="34" max="34" width="11.85546875" style="40" bestFit="1" customWidth="1"/>
    <col min="35" max="35" width="9.7109375" style="40" customWidth="1"/>
    <col min="36" max="36" width="10.42578125" style="40" bestFit="1" customWidth="1"/>
    <col min="37" max="37" width="10.42578125" style="40" customWidth="1"/>
    <col min="38" max="38" width="1.28515625" style="40" customWidth="1"/>
    <col min="39" max="39" width="1.5703125" style="40" customWidth="1"/>
    <col min="40" max="40" width="11.42578125" style="40" customWidth="1" outlineLevel="1"/>
    <col min="41" max="44" width="11.42578125" style="40"/>
    <col min="45" max="46" width="13" style="40" customWidth="1"/>
    <col min="47" max="47" width="11.42578125" style="40" customWidth="1"/>
    <col min="48" max="48" width="0.85546875" style="40" customWidth="1"/>
    <col min="49" max="49" width="1.42578125" style="40" customWidth="1"/>
    <col min="50" max="50" width="11.42578125" style="40" customWidth="1" outlineLevel="1"/>
    <col min="51" max="51" width="11.42578125" style="40" customWidth="1"/>
    <col min="52" max="56" width="11.42578125" style="40"/>
    <col min="57" max="58" width="1.140625" style="40" customWidth="1"/>
    <col min="59" max="59" width="11.42578125" style="40" customWidth="1" outlineLevel="1"/>
    <col min="60" max="63" width="11.42578125" style="40" customWidth="1"/>
    <col min="64" max="64" width="11.42578125" style="40"/>
    <col min="65" max="65" width="1.7109375" style="40" customWidth="1"/>
    <col min="66" max="66" width="12.7109375" style="40" bestFit="1" customWidth="1"/>
    <col min="67" max="67" width="11.42578125" style="40"/>
    <col min="68" max="68" width="7.7109375" style="40" customWidth="1"/>
    <col min="69" max="80" width="8.140625" style="40" customWidth="1" outlineLevel="1"/>
    <col min="81" max="82" width="11.42578125" style="40"/>
    <col min="83" max="83" width="1.7109375" style="40" customWidth="1"/>
    <col min="84" max="86" width="11.42578125" style="40" customWidth="1" outlineLevel="1"/>
    <col min="87" max="87" width="1.7109375" style="40" customWidth="1" outlineLevel="1"/>
    <col min="88" max="88" width="1.7109375" style="40" customWidth="1"/>
    <col min="89" max="89" width="10.28515625" style="40" customWidth="1" outlineLevel="1" collapsed="1"/>
    <col min="90" max="90" width="10.28515625" style="40" customWidth="1" outlineLevel="1"/>
    <col min="91" max="92" width="11.42578125" style="40" customWidth="1" outlineLevel="1"/>
    <col min="93" max="16384" width="11.42578125" style="40"/>
  </cols>
  <sheetData>
    <row r="2" spans="1:92" x14ac:dyDescent="0.2">
      <c r="B2" s="251"/>
      <c r="C2" s="252"/>
      <c r="D2" s="2"/>
      <c r="E2" s="336" t="s">
        <v>117</v>
      </c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122"/>
      <c r="R2" s="2"/>
      <c r="S2" s="336" t="s">
        <v>118</v>
      </c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"/>
      <c r="AF2" s="3"/>
      <c r="AG2" s="3"/>
      <c r="AH2" s="3"/>
      <c r="AI2" s="3"/>
      <c r="AJ2" s="3"/>
      <c r="AK2" s="3"/>
      <c r="AL2" s="2"/>
      <c r="AM2" s="2"/>
      <c r="AN2" s="129" t="s">
        <v>69</v>
      </c>
      <c r="AO2" s="3"/>
      <c r="AP2" s="3"/>
      <c r="AQ2" s="3"/>
      <c r="AR2" s="3"/>
      <c r="AS2" s="3"/>
      <c r="AT2" s="3"/>
      <c r="AU2" s="2"/>
      <c r="AV2" s="2"/>
      <c r="AW2" s="2"/>
      <c r="AX2" s="129" t="s">
        <v>69</v>
      </c>
      <c r="AY2" s="3"/>
      <c r="AZ2" s="3"/>
      <c r="BA2" s="3"/>
      <c r="BB2" s="3"/>
      <c r="BC2" s="3"/>
      <c r="BD2" s="2"/>
      <c r="BE2" s="2"/>
      <c r="BF2" s="2"/>
      <c r="BG2" s="129" t="s">
        <v>69</v>
      </c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11"/>
      <c r="CF2" s="2"/>
      <c r="CG2" s="2"/>
      <c r="CH2" s="2"/>
      <c r="CI2" s="2"/>
      <c r="CJ2" s="2"/>
      <c r="CK2" s="2"/>
      <c r="CL2" s="2"/>
      <c r="CM2" s="2"/>
      <c r="CN2" s="2"/>
    </row>
    <row r="3" spans="1:92" x14ac:dyDescent="0.2">
      <c r="B3" s="328" t="s">
        <v>23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61"/>
      <c r="T3" s="2"/>
      <c r="U3" s="3"/>
      <c r="V3" s="3"/>
      <c r="W3" s="4"/>
      <c r="X3" s="3"/>
      <c r="Y3" s="3"/>
      <c r="Z3" s="3"/>
      <c r="AA3" s="2"/>
      <c r="AB3" s="2"/>
      <c r="AC3" s="3"/>
      <c r="AD3" s="3"/>
      <c r="AE3" s="3"/>
      <c r="AG3" s="3"/>
      <c r="AH3" s="3"/>
      <c r="AI3" s="3"/>
      <c r="AJ3" s="3"/>
      <c r="AK3" s="3"/>
      <c r="AL3" s="2"/>
      <c r="AM3" s="2"/>
      <c r="AN3" s="2" t="s">
        <v>80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11"/>
      <c r="CF3" s="2"/>
      <c r="CG3" s="2"/>
      <c r="CH3" s="2"/>
      <c r="CI3" s="2"/>
      <c r="CJ3" s="2"/>
      <c r="CK3" s="2"/>
      <c r="CL3" s="2"/>
      <c r="CM3" s="2"/>
      <c r="CN3" s="2"/>
    </row>
    <row r="4" spans="1:92" ht="12" x14ac:dyDescent="0.2">
      <c r="B4" s="41"/>
      <c r="C4" s="2"/>
      <c r="D4" s="11"/>
      <c r="E4" s="164" t="e">
        <f>annee-1</f>
        <v>#REF!</v>
      </c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6"/>
      <c r="Q4" s="166"/>
      <c r="R4" s="11"/>
      <c r="S4" s="319" t="s">
        <v>68</v>
      </c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1"/>
      <c r="AE4" s="325" t="e">
        <f>"REEL "&amp;VLOOKUP(#REF!,periode,2,FALSE)</f>
        <v>#REF!</v>
      </c>
      <c r="AF4" s="326"/>
      <c r="AG4" s="326"/>
      <c r="AH4" s="326"/>
      <c r="AI4" s="326"/>
      <c r="AJ4" s="326"/>
      <c r="AK4" s="326"/>
      <c r="AL4" s="42"/>
      <c r="AM4" s="11"/>
      <c r="AN4" s="314"/>
      <c r="AO4" s="315" t="s">
        <v>0</v>
      </c>
      <c r="AP4" s="316"/>
      <c r="AQ4" s="316"/>
      <c r="AR4" s="316"/>
      <c r="AS4" s="316"/>
      <c r="AT4" s="316"/>
      <c r="AU4" s="317"/>
      <c r="AV4" s="11"/>
      <c r="AW4" s="11"/>
      <c r="AX4" s="314"/>
      <c r="AY4" s="315" t="s">
        <v>1</v>
      </c>
      <c r="AZ4" s="316"/>
      <c r="BA4" s="316"/>
      <c r="BB4" s="316"/>
      <c r="BC4" s="316"/>
      <c r="BD4" s="317"/>
      <c r="BE4" s="42"/>
      <c r="BF4" s="11"/>
      <c r="BG4" s="314"/>
      <c r="BH4" s="315" t="s">
        <v>2</v>
      </c>
      <c r="BI4" s="318"/>
      <c r="BJ4" s="316"/>
      <c r="BK4" s="316"/>
      <c r="BL4" s="317"/>
      <c r="BM4" s="2"/>
      <c r="BN4" s="312" t="s">
        <v>84</v>
      </c>
      <c r="BO4" s="313" t="s">
        <v>85</v>
      </c>
      <c r="BQ4" s="301" t="s">
        <v>75</v>
      </c>
      <c r="BR4" s="302"/>
      <c r="BS4" s="302"/>
      <c r="BT4" s="302"/>
      <c r="BU4" s="302"/>
      <c r="BV4" s="302"/>
      <c r="BW4" s="302"/>
      <c r="BX4" s="302"/>
      <c r="BY4" s="302"/>
      <c r="BZ4" s="302"/>
      <c r="CA4" s="302"/>
      <c r="CB4" s="303"/>
      <c r="CC4" s="299" t="s">
        <v>3</v>
      </c>
      <c r="CD4" s="300"/>
      <c r="CE4" s="11"/>
      <c r="CF4" s="306" t="s">
        <v>4</v>
      </c>
      <c r="CG4" s="307"/>
      <c r="CH4" s="308"/>
      <c r="CI4" s="42"/>
      <c r="CJ4" s="11"/>
      <c r="CK4" s="309" t="s">
        <v>5</v>
      </c>
      <c r="CL4" s="310"/>
      <c r="CM4" s="311"/>
      <c r="CN4" s="42"/>
    </row>
    <row r="5" spans="1:92" ht="21" customHeight="1" x14ac:dyDescent="0.2">
      <c r="B5" s="329" t="s">
        <v>24</v>
      </c>
      <c r="C5" s="43"/>
      <c r="D5" s="48"/>
      <c r="E5" s="38">
        <v>1</v>
      </c>
      <c r="F5" s="6">
        <v>2</v>
      </c>
      <c r="G5" s="6">
        <v>3</v>
      </c>
      <c r="H5" s="6">
        <v>4</v>
      </c>
      <c r="I5" s="6">
        <v>5</v>
      </c>
      <c r="J5" s="6">
        <v>6</v>
      </c>
      <c r="K5" s="6">
        <v>7</v>
      </c>
      <c r="L5" s="6">
        <v>8</v>
      </c>
      <c r="M5" s="6">
        <v>9</v>
      </c>
      <c r="N5" s="6">
        <v>10</v>
      </c>
      <c r="O5" s="6">
        <v>11</v>
      </c>
      <c r="P5" s="163">
        <v>12</v>
      </c>
      <c r="Q5" s="323" t="e">
        <f>VLOOKUP(mois,periode,9,FALSE)</f>
        <v>#REF!</v>
      </c>
      <c r="R5" s="48"/>
      <c r="S5" s="304">
        <v>1</v>
      </c>
      <c r="T5" s="322">
        <v>2</v>
      </c>
      <c r="U5" s="322">
        <v>3</v>
      </c>
      <c r="V5" s="322">
        <v>4</v>
      </c>
      <c r="W5" s="322">
        <v>5</v>
      </c>
      <c r="X5" s="322">
        <v>6</v>
      </c>
      <c r="Y5" s="322">
        <v>7</v>
      </c>
      <c r="Z5" s="322">
        <v>8</v>
      </c>
      <c r="AA5" s="322">
        <v>9</v>
      </c>
      <c r="AB5" s="322">
        <v>10</v>
      </c>
      <c r="AC5" s="322">
        <v>11</v>
      </c>
      <c r="AD5" s="323">
        <v>12</v>
      </c>
      <c r="AE5" s="38" t="e">
        <f>VLOOKUP(mois,periode,8,FALSE)</f>
        <v>#REF!</v>
      </c>
      <c r="AF5" s="44" t="s">
        <v>87</v>
      </c>
      <c r="AG5" s="45" t="s">
        <v>6</v>
      </c>
      <c r="AH5" s="45" t="e">
        <f>"Ecart/ "&amp;EXCERCICE</f>
        <v>#REF!</v>
      </c>
      <c r="AI5" s="327" t="e">
        <f>"%/"&amp;VLOOKUP(mois,periode,9,FALSE)</f>
        <v>#REF!</v>
      </c>
      <c r="AJ5" s="45" t="e">
        <f>"% "&amp;EXCERCICE</f>
        <v>#REF!</v>
      </c>
      <c r="AK5" s="45" t="s">
        <v>82</v>
      </c>
      <c r="AL5" s="47"/>
      <c r="AM5" s="48"/>
      <c r="AN5" s="139" t="e">
        <f>VLOOKUP(MONTH(AO5),periode,2,FALSE)</f>
        <v>#REF!</v>
      </c>
      <c r="AO5" s="202" t="e">
        <f>VLOOKUP(mois+1,periode,8,FALSE)</f>
        <v>#REF!</v>
      </c>
      <c r="AP5" s="44" t="s">
        <v>87</v>
      </c>
      <c r="AQ5" s="45" t="s">
        <v>6</v>
      </c>
      <c r="AR5" s="45" t="e">
        <f>"Ecart/ "&amp;EXCERCICE</f>
        <v>#REF!</v>
      </c>
      <c r="AS5" s="45" t="e">
        <f>"%/"&amp;VLOOKUP(mois+1,periode,9,FALSE)</f>
        <v>#REF!</v>
      </c>
      <c r="AT5" s="45" t="e">
        <f>"% "&amp;EXCERCICE</f>
        <v>#REF!</v>
      </c>
      <c r="AU5" s="46" t="s">
        <v>82</v>
      </c>
      <c r="AV5" s="11"/>
      <c r="AW5" s="48"/>
      <c r="AX5" s="139" t="e">
        <f>VLOOKUP(MONTH(AY5),periode,2,FALSE)</f>
        <v>#REF!</v>
      </c>
      <c r="AY5" s="202" t="e">
        <f>VLOOKUP(mois+2,periode,8,FALSE)</f>
        <v>#REF!</v>
      </c>
      <c r="AZ5" s="44" t="s">
        <v>87</v>
      </c>
      <c r="BA5" s="45" t="e">
        <f>"Ecart/ "&amp;EXCERCICE</f>
        <v>#REF!</v>
      </c>
      <c r="BB5" s="45" t="e">
        <f>"%/"&amp;VLOOKUP(mois+2,periode,9,FALSE)</f>
        <v>#REF!</v>
      </c>
      <c r="BC5" s="45" t="e">
        <f>"% "&amp;EXCERCICE</f>
        <v>#REF!</v>
      </c>
      <c r="BD5" s="46" t="s">
        <v>82</v>
      </c>
      <c r="BE5" s="47"/>
      <c r="BF5" s="48"/>
      <c r="BG5" s="139" t="e">
        <f>VLOOKUP(MONTH(BH5),periode,2,FALSE)</f>
        <v>#REF!</v>
      </c>
      <c r="BH5" s="202" t="e">
        <f>VLOOKUP(mois+3,periode,8,FALSE)</f>
        <v>#REF!</v>
      </c>
      <c r="BI5" s="45" t="e">
        <f>"Ecart/ "&amp;EXCERCICE</f>
        <v>#REF!</v>
      </c>
      <c r="BJ5" s="45" t="e">
        <f>"%/"&amp;VLOOKUP(mois+3,periode,9,FALSE)</f>
        <v>#REF!</v>
      </c>
      <c r="BK5" s="45" t="e">
        <f>"% "&amp;EXCERCICE</f>
        <v>#REF!</v>
      </c>
      <c r="BL5" s="46" t="s">
        <v>82</v>
      </c>
      <c r="BM5" s="2"/>
      <c r="BN5" s="230" t="s">
        <v>83</v>
      </c>
      <c r="BO5" s="46" t="s">
        <v>83</v>
      </c>
      <c r="BQ5" s="38">
        <v>1</v>
      </c>
      <c r="BR5" s="6">
        <v>2</v>
      </c>
      <c r="BS5" s="6">
        <v>3</v>
      </c>
      <c r="BT5" s="6">
        <v>4</v>
      </c>
      <c r="BU5" s="6">
        <v>5</v>
      </c>
      <c r="BV5" s="6">
        <v>6</v>
      </c>
      <c r="BW5" s="6">
        <v>7</v>
      </c>
      <c r="BX5" s="6">
        <v>8</v>
      </c>
      <c r="BY5" s="6">
        <v>9</v>
      </c>
      <c r="BZ5" s="6">
        <v>10</v>
      </c>
      <c r="CA5" s="6">
        <v>11</v>
      </c>
      <c r="CB5" s="163">
        <v>12</v>
      </c>
      <c r="CC5" s="140" t="s">
        <v>7</v>
      </c>
      <c r="CD5" s="141" t="s">
        <v>72</v>
      </c>
      <c r="CE5" s="48"/>
      <c r="CF5" s="38" t="s">
        <v>4</v>
      </c>
      <c r="CG5" s="6" t="s">
        <v>72</v>
      </c>
      <c r="CH5" s="45" t="s">
        <v>8</v>
      </c>
      <c r="CI5" s="47"/>
      <c r="CJ5" s="48"/>
      <c r="CK5" s="38" t="s">
        <v>5</v>
      </c>
      <c r="CL5" s="6" t="s">
        <v>72</v>
      </c>
      <c r="CM5" s="45" t="s">
        <v>8</v>
      </c>
      <c r="CN5" s="47"/>
    </row>
    <row r="6" spans="1:92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39">
        <v>13</v>
      </c>
      <c r="T6" s="239">
        <v>14</v>
      </c>
      <c r="U6" s="239">
        <v>15</v>
      </c>
      <c r="V6" s="238" t="s">
        <v>81</v>
      </c>
      <c r="W6" s="238" t="s">
        <v>81</v>
      </c>
      <c r="X6" s="238" t="s">
        <v>81</v>
      </c>
      <c r="Y6" s="238" t="s">
        <v>81</v>
      </c>
      <c r="Z6" s="238" t="s">
        <v>81</v>
      </c>
      <c r="AA6" s="238" t="s">
        <v>81</v>
      </c>
      <c r="AB6" s="238" t="s">
        <v>81</v>
      </c>
      <c r="AC6" s="238" t="s">
        <v>81</v>
      </c>
      <c r="AD6" s="238" t="s">
        <v>81</v>
      </c>
      <c r="AE6" s="2"/>
      <c r="AF6" s="2"/>
      <c r="AG6" s="2"/>
      <c r="AH6" s="2"/>
      <c r="AI6" s="2"/>
      <c r="AJ6" s="2"/>
      <c r="AK6" s="2"/>
      <c r="AL6" s="11"/>
      <c r="AM6" s="2"/>
      <c r="AN6" s="2"/>
      <c r="AO6" s="2"/>
      <c r="AP6" s="2"/>
      <c r="AQ6" s="2"/>
      <c r="AR6" s="2"/>
      <c r="AS6" s="2"/>
      <c r="AT6" s="2"/>
      <c r="AU6" s="2"/>
      <c r="AV6" s="11"/>
      <c r="AW6" s="2"/>
      <c r="AX6" s="2"/>
      <c r="AY6" s="2"/>
      <c r="AZ6" s="2"/>
      <c r="BA6" s="2"/>
      <c r="BB6" s="2"/>
      <c r="BC6" s="2"/>
      <c r="BD6" s="2"/>
      <c r="BE6" s="11"/>
      <c r="BF6" s="2"/>
      <c r="BG6" s="2"/>
      <c r="BH6" s="2"/>
      <c r="BI6" s="2"/>
      <c r="BJ6" s="2"/>
      <c r="BK6" s="2"/>
      <c r="BL6" s="2"/>
      <c r="BM6" s="2"/>
      <c r="BN6" s="2"/>
      <c r="BO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11"/>
      <c r="CF6" s="2"/>
      <c r="CG6" s="2"/>
      <c r="CH6" s="2"/>
      <c r="CI6" s="11"/>
      <c r="CJ6" s="2"/>
      <c r="CK6" s="2"/>
      <c r="CL6" s="2"/>
      <c r="CM6" s="2"/>
      <c r="CN6" s="2"/>
    </row>
    <row r="7" spans="1:92" x14ac:dyDescent="0.2">
      <c r="A7" s="40">
        <v>7</v>
      </c>
      <c r="B7" s="49"/>
      <c r="C7" s="50" t="s">
        <v>57</v>
      </c>
      <c r="D7" s="51"/>
      <c r="E7" s="92">
        <f t="shared" ref="E7:P7" si="0">IF(ISERROR(VLOOKUP(CONCATENATE($B$2,E$5),TBCHISTORIQUE,7,FALSE)/1000),0,VLOOKUP(CONCATENATE($B$2,E$5),TBCHISTORIQUE,7,FALSE)/1000)</f>
        <v>0</v>
      </c>
      <c r="F7" s="93">
        <f t="shared" si="0"/>
        <v>0</v>
      </c>
      <c r="G7" s="93">
        <f t="shared" si="0"/>
        <v>0</v>
      </c>
      <c r="H7" s="93">
        <f t="shared" si="0"/>
        <v>0</v>
      </c>
      <c r="I7" s="93">
        <f t="shared" si="0"/>
        <v>0</v>
      </c>
      <c r="J7" s="93">
        <f t="shared" si="0"/>
        <v>0</v>
      </c>
      <c r="K7" s="93">
        <f t="shared" si="0"/>
        <v>0</v>
      </c>
      <c r="L7" s="93">
        <f t="shared" si="0"/>
        <v>0</v>
      </c>
      <c r="M7" s="93">
        <f t="shared" si="0"/>
        <v>0</v>
      </c>
      <c r="N7" s="93">
        <f t="shared" si="0"/>
        <v>0</v>
      </c>
      <c r="O7" s="93">
        <f t="shared" si="0"/>
        <v>0</v>
      </c>
      <c r="P7" s="94">
        <f t="shared" si="0"/>
        <v>0</v>
      </c>
      <c r="Q7" s="184">
        <f>SUMIF($E$5:$P$5,"&lt;="&amp;mois,E7:P7)</f>
        <v>0</v>
      </c>
      <c r="R7" s="51"/>
      <c r="S7" s="262">
        <f t="shared" ref="S7:AD7" si="1">IF(ISERROR(VLOOKUP(CONCATENATE($B$2,S$5),TBCA,7,FALSE)/1000),0,VLOOKUP(CONCATENATE($B$2,S$5),TBCA,7,FALSE)/1000)</f>
        <v>0</v>
      </c>
      <c r="T7" s="93">
        <f t="shared" si="1"/>
        <v>0</v>
      </c>
      <c r="U7" s="93">
        <f t="shared" si="1"/>
        <v>0</v>
      </c>
      <c r="V7" s="93">
        <f t="shared" si="1"/>
        <v>0</v>
      </c>
      <c r="W7" s="93">
        <f t="shared" si="1"/>
        <v>0</v>
      </c>
      <c r="X7" s="93">
        <f t="shared" si="1"/>
        <v>0</v>
      </c>
      <c r="Y7" s="93">
        <f t="shared" si="1"/>
        <v>0</v>
      </c>
      <c r="Z7" s="93">
        <f t="shared" si="1"/>
        <v>0</v>
      </c>
      <c r="AA7" s="93">
        <f t="shared" si="1"/>
        <v>0</v>
      </c>
      <c r="AB7" s="93">
        <f t="shared" si="1"/>
        <v>0</v>
      </c>
      <c r="AC7" s="93">
        <f t="shared" si="1"/>
        <v>0</v>
      </c>
      <c r="AD7" s="94">
        <f t="shared" si="1"/>
        <v>0</v>
      </c>
      <c r="AE7" s="92">
        <f>SUMIF($S$5:$AD$5,"&lt;="&amp;mois,S7:AD7)</f>
        <v>0</v>
      </c>
      <c r="AF7" s="291"/>
      <c r="AG7" s="101">
        <f>AE7-AF7</f>
        <v>0</v>
      </c>
      <c r="AH7" s="101" t="e">
        <f>IF(EXCERCICE="PA",AE7-($CC7/12*(mois)),IF(EXCERCICE="LB1",AE7-($CF7/12*(mois)),AE7-($CK7/12*(mois))))</f>
        <v>#REF!</v>
      </c>
      <c r="AI7" s="174">
        <f>IF(ISERROR(AE7/Q7),0,AE7/Q7)</f>
        <v>0</v>
      </c>
      <c r="AJ7" s="213">
        <f>IF(ISERROR(IF(EXCERCICE="PA",AE7/$CC7,IF(EXCERCICE="LB1",AE7/$CF7,AE7/$CK7))),0,IF(EXCERCICE="PA",AE7/$CC7,IF(EXCERCICE="LB1",AE7/$CF7,AE7/$CK7)))</f>
        <v>0</v>
      </c>
      <c r="AK7" s="213" t="str">
        <f>IF(ISERROR(AE7/HLOOKUP(mois,$BQ$5:$CB$39,3,FALSE)),"",AE7/HLOOKUP(mois,$BQ$5:$CB$39,3,FALSE))</f>
        <v/>
      </c>
      <c r="AL7" s="52"/>
      <c r="AM7" s="54"/>
      <c r="AN7" s="242">
        <f>SUMIF(INDICATEURS,$C7,SAISIEPREVM1)</f>
        <v>0</v>
      </c>
      <c r="AO7" s="92" t="e">
        <f>IF(mois+1&gt;12,AN7,+$AE7+AN7)</f>
        <v>#REF!</v>
      </c>
      <c r="AP7" s="291"/>
      <c r="AQ7" s="101" t="e">
        <f>AO7-AP7</f>
        <v>#REF!</v>
      </c>
      <c r="AR7" s="55" t="e">
        <f>IF(mois+1&gt;12,0,IF(mois=12,IF(EXCERCICE="PA",AO7-($CC7/12),IF(EXCERCICE="LB1",AO7-($CF7/12),AO7-($CK7/12))),IF(EXCERCICE="PA",AO7-($CC7/12*(mois+1)),IF(EXCERCICE="LB1",AO7-($CF7/12*(mois+1)),AO7-($CK7/12*(mois+1))))))</f>
        <v>#REF!</v>
      </c>
      <c r="AS7" s="174" t="e">
        <f>IF(mois+1&gt;12,AO7/SUMPRODUCT((($S$6:$U$6)&lt;=mois+1)*$S7:$U7),AO7/SUMPRODUCT((($E$5:$P$5)&lt;=mois+1)*$E7:$P7))</f>
        <v>#REF!</v>
      </c>
      <c r="AT7" s="213" t="e">
        <f>IF(mois+1&gt;12,0,IF(ISERROR(IF(EXCERCICE="PA",AO7/$CC7,IF(EXCERCICE="LB1",AO7/$CF7,AO7/$CK7))),0,IF(EXCERCICE="PA",AO7/$CC7,IF(EXCERCICE="LB1",AO7/$CF7,AO7/$CK7))))</f>
        <v>#REF!</v>
      </c>
      <c r="AU7" s="220" t="str">
        <f>IF(ISERROR(AO7/HLOOKUP(mois+1,$BQ$5:$CB$39,3,FALSE)),"",AO7/HLOOKUP(mois+1,$BQ$5:$CB$39,3,FALSE))</f>
        <v/>
      </c>
      <c r="AV7" s="11"/>
      <c r="AW7" s="54"/>
      <c r="AX7" s="242">
        <f>SUMIF(INDICATEURS,$C7,SAISIEPREVM2)</f>
        <v>0</v>
      </c>
      <c r="AY7" s="92" t="e">
        <f>IF(mois+2=13,AX7,IF(mois+2&gt;14,AX7,$AO7+AX7))</f>
        <v>#REF!</v>
      </c>
      <c r="AZ7" s="291"/>
      <c r="BA7" s="55" t="e">
        <f>IF(mois+2&gt;12,0,IF(mois=12,IF(EXCERCICE="PA",AY7-($CC7/12),IF(EXCERCICE="LB1",AY7-($CF7/12),AY7-($CK7/12))),IF(EXCERCICE="PA",AY7-($CC7/12*(mois+2)),IF(EXCERCICE="LB1",AY7-($CF7/12*(mois+2)),AY7-($CK7/12*(mois+2))))))</f>
        <v>#REF!</v>
      </c>
      <c r="BB7" s="176" t="e">
        <f>IF(mois+1&gt;12,AY7/SUMPRODUCT((($S$6:$U$6)&lt;=mois+2)*$S7:$U7),AY7/SUMPRODUCT((($E$5:$P$5)&lt;=mois+2)*$E7:$P7))</f>
        <v>#REF!</v>
      </c>
      <c r="BC7" s="213" t="e">
        <f>IF(mois+2&gt;12,0,IF(ISERROR(IF(EXCERCICE="PA",AY7/$CC7,IF(EXCERCICE="LB1",AY7/$CF7,AY7/$CK7))),0,IF(EXCERCICE="PA",AY7/$CC7,IF(EXCERCICE="LB1",AY7/$CF7,AY7/$CK7))))</f>
        <v>#REF!</v>
      </c>
      <c r="BD7" s="220" t="str">
        <f>IF(ISERROR(AY7/HLOOKUP(mois+2,$BQ$5:$CB$39,3,FALSE)),"",AY7/HLOOKUP(mois+2,$BQ$5:$CB$39,3,FALSE))</f>
        <v/>
      </c>
      <c r="BE7" s="52"/>
      <c r="BF7" s="54"/>
      <c r="BG7" s="242">
        <f>SUMIF(INDICATEURS,$C7,SAISIEPREVM3)</f>
        <v>0</v>
      </c>
      <c r="BH7" s="92" t="e">
        <f>IF(mois+3=13,BG7,IF(mois+3&gt;15,BG7,+$AY7+BG7))</f>
        <v>#REF!</v>
      </c>
      <c r="BI7" s="55" t="e">
        <f>IF(mois+3&gt;12,0,IF(mois=12,IF(EXCERCICE="PA",BH7-($CC7/12),IF(EXCERCICE="LB1",BH7-($CF7/12),BH7-($CK7/12))),IF(EXCERCICE="PA",BH7-($CC7/12*(mois+3)),IF(EXCERCICE="LB1",BH7-($CF7/12*(mois+3)),BH7-($CK7/12*(mois+3))))))</f>
        <v>#REF!</v>
      </c>
      <c r="BJ7" s="176" t="e">
        <f>IF(mois+1&gt;12,BH7/SUMPRODUCT((($S$6:$U$6)&lt;=mois+3)*$S7:$U7),BH7/SUMPRODUCT((($E$5:$P$5)&lt;=mois+3)*$E7:$P7))</f>
        <v>#REF!</v>
      </c>
      <c r="BK7" s="213" t="e">
        <f>IF(mois+3&gt;12,0,IF(ISERROR(IF(EXCERCICE="PA",BH7/$CC7,IF(EXCERCICE="LB1",BH7/$CF7,BH7/$CK7))),0,IF(EXCERCICE="PA",BH7/$CC7,IF(EXCERCICE="LB1",BH7/$CF7,BH7/$CK7))))</f>
        <v>#REF!</v>
      </c>
      <c r="BL7" s="220" t="str">
        <f>IF(ISERROR(BH7/HLOOKUP(mois+3,$BQ$5:$CB$39,3,FALSE)),"",BH7/HLOOKUP(mois+3,$BQ$5:$CB$39,3,FALSE))</f>
        <v/>
      </c>
      <c r="BM7" s="2"/>
      <c r="BN7" s="130" t="e">
        <f>IF(mois&gt;=12,IF(EXCERCICE="PA",CC7-AE7,IF(EXCERCICE="LB1",CF7-AE7,IF(EXCERCICE="LB2",$CK7-AE7))),
IF(mois+1&lt;=13,IF(EXCERCICE="PA",CC7-AO7,IF(EXCERCICE="LB1",CF7-AO7,IF(EXCERCICE="LB2",$CK7-AO7))),
IF(mois+2&lt;=14,IF(EXCERCICE="PA",CC7-AY7,IF(EXCERCICE="LB1",CF7-AY7,IF(EXCERCICE="LB2",$CK7-AY7))),
IF(mois+3&lt;=15,IF(EXCERCICE="PA",CC7-BH7,IF(EXCERCICE="LB1",CF7-BH7,IF(EXCERCICE="LB2",$CK7-BH7))),0))))</f>
        <v>#REF!</v>
      </c>
      <c r="BO7" s="231" t="e">
        <f>IF(BN7&lt;0,0,BN7/(12-mois))</f>
        <v>#REF!</v>
      </c>
      <c r="BQ7" s="196">
        <v>300</v>
      </c>
      <c r="BR7" s="196">
        <v>3850</v>
      </c>
      <c r="BS7" s="196">
        <v>4800</v>
      </c>
      <c r="BT7" s="196">
        <v>7300</v>
      </c>
      <c r="BU7" s="196">
        <v>10850</v>
      </c>
      <c r="BV7" s="196">
        <v>11500</v>
      </c>
      <c r="BW7" s="196">
        <v>12400</v>
      </c>
      <c r="BX7" s="196">
        <v>12750</v>
      </c>
      <c r="BY7" s="196">
        <v>13750</v>
      </c>
      <c r="BZ7" s="196">
        <v>16700</v>
      </c>
      <c r="CA7" s="196">
        <v>17350</v>
      </c>
      <c r="CB7" s="196">
        <v>18026</v>
      </c>
      <c r="CC7" s="130">
        <f>IF(ISERROR(VLOOKUP($B$2,VALIDATION_PA,5,FALSE)),0,VLOOKUP($B$2,VALIDATION_PA,5,FALSE))/1000</f>
        <v>0</v>
      </c>
      <c r="CD7" s="237">
        <f>IF(ISERROR(AE7/$CC7),0,AE7/$CC7)</f>
        <v>0</v>
      </c>
      <c r="CE7" s="54"/>
      <c r="CF7" s="130">
        <v>50000</v>
      </c>
      <c r="CG7" s="126">
        <f>IF(ISERROR($CF7/$BH7),0,$CF7/$BH7)</f>
        <v>0</v>
      </c>
      <c r="CH7" s="55">
        <f>CF7-$CC7</f>
        <v>50000</v>
      </c>
      <c r="CI7" s="52"/>
      <c r="CJ7" s="54"/>
      <c r="CK7" s="130">
        <v>30000</v>
      </c>
      <c r="CL7" s="126">
        <f>IF(ISERROR($CK7/$BH7),0,$CK7/$BH7)</f>
        <v>0</v>
      </c>
      <c r="CM7" s="55">
        <f>CK7-$CC7</f>
        <v>30000</v>
      </c>
      <c r="CN7" s="52"/>
    </row>
    <row r="8" spans="1:92" x14ac:dyDescent="0.2">
      <c r="A8" s="40">
        <v>8</v>
      </c>
      <c r="B8" s="56"/>
      <c r="C8" s="57" t="s">
        <v>61</v>
      </c>
      <c r="D8" s="2"/>
      <c r="E8" s="95">
        <f t="shared" ref="E8:P8" si="2">IF(ISERROR(VLOOKUP(CONCATENATE($B$2,E$5),TBCHISTORIQUE,8,FALSE)/1000),0,VLOOKUP(CONCATENATE($B$2,E$5),TBCHISTORIQUE,8,FALSE)/1000)</f>
        <v>0</v>
      </c>
      <c r="F8" s="167">
        <f t="shared" si="2"/>
        <v>0</v>
      </c>
      <c r="G8" s="167">
        <f t="shared" si="2"/>
        <v>0</v>
      </c>
      <c r="H8" s="167">
        <f t="shared" si="2"/>
        <v>0</v>
      </c>
      <c r="I8" s="167">
        <f t="shared" si="2"/>
        <v>0</v>
      </c>
      <c r="J8" s="167">
        <f t="shared" si="2"/>
        <v>0</v>
      </c>
      <c r="K8" s="167">
        <f t="shared" si="2"/>
        <v>0</v>
      </c>
      <c r="L8" s="167">
        <f t="shared" si="2"/>
        <v>0</v>
      </c>
      <c r="M8" s="167">
        <f t="shared" si="2"/>
        <v>0</v>
      </c>
      <c r="N8" s="167">
        <f t="shared" si="2"/>
        <v>0</v>
      </c>
      <c r="O8" s="167">
        <f t="shared" si="2"/>
        <v>0</v>
      </c>
      <c r="P8" s="168">
        <f t="shared" si="2"/>
        <v>0</v>
      </c>
      <c r="Q8" s="185">
        <f>SUMIF($E$5:$P$5,"&lt;="&amp;mois,E8:P8)</f>
        <v>0</v>
      </c>
      <c r="R8" s="2"/>
      <c r="S8" s="95">
        <f t="shared" ref="S8:AD8" si="3">IF(ISERROR(VLOOKUP(CONCATENATE($B$2,S$5),TBCA,8,FALSE)/1000),0,VLOOKUP(CONCATENATE($B$2,S$5),TBCA,8,FALSE)/1000)</f>
        <v>0</v>
      </c>
      <c r="T8" s="167">
        <f t="shared" si="3"/>
        <v>0</v>
      </c>
      <c r="U8" s="167">
        <f t="shared" si="3"/>
        <v>0</v>
      </c>
      <c r="V8" s="167">
        <f t="shared" si="3"/>
        <v>0</v>
      </c>
      <c r="W8" s="167">
        <f t="shared" si="3"/>
        <v>0</v>
      </c>
      <c r="X8" s="167">
        <f t="shared" si="3"/>
        <v>0</v>
      </c>
      <c r="Y8" s="167">
        <f t="shared" si="3"/>
        <v>0</v>
      </c>
      <c r="Z8" s="167">
        <f t="shared" si="3"/>
        <v>0</v>
      </c>
      <c r="AA8" s="167">
        <f t="shared" si="3"/>
        <v>0</v>
      </c>
      <c r="AB8" s="167">
        <f t="shared" si="3"/>
        <v>0</v>
      </c>
      <c r="AC8" s="167">
        <f t="shared" si="3"/>
        <v>0</v>
      </c>
      <c r="AD8" s="168">
        <f t="shared" si="3"/>
        <v>0</v>
      </c>
      <c r="AE8" s="95">
        <f>SUMIF($S$5:$AD$5,"&lt;="&amp;mois,S8:AD8)</f>
        <v>0</v>
      </c>
      <c r="AF8" s="292"/>
      <c r="AG8" s="102">
        <f>AE8-AF8</f>
        <v>0</v>
      </c>
      <c r="AH8" s="102" t="e">
        <f>IF(EXCERCICE="PA",AE8-($CC8/12*(mois)),IF(EXCERCICE="LB1",AE8-($CF8/12*(mois)),AE8-($CK8/12*(mois))))</f>
        <v>#REF!</v>
      </c>
      <c r="AI8" s="102"/>
      <c r="AJ8" s="212">
        <f>IF(ISERROR(IF(EXCERCICE="PA",AE8/$CC8,IF(EXCERCICE="LB1",AE8/$CF8,AE8/$CK8))),0,IF(EXCERCICE="PA",AE8/$CC8,IF(EXCERCICE="LB1",AE8/$CF8,AE8/$CK8)))</f>
        <v>0</v>
      </c>
      <c r="AK8" s="212"/>
      <c r="AL8" s="58"/>
      <c r="AM8" s="11"/>
      <c r="AN8" s="243">
        <f>SUMIF(INDICATEURS,$C8,SAISIEPREVM1)</f>
        <v>0</v>
      </c>
      <c r="AO8" s="95" t="e">
        <f>IF(mois+1&gt;12,AN8,+$AE8+AN8)</f>
        <v>#REF!</v>
      </c>
      <c r="AP8" s="292"/>
      <c r="AQ8" s="102" t="e">
        <f>AO8-AP8</f>
        <v>#REF!</v>
      </c>
      <c r="AR8" s="17" t="e">
        <f>IF(mois+1&gt;12,0,IF(mois=12,IF(EXCERCICE="PA",AO8-($CC8/12),IF(EXCERCICE="LB1",AO8-($CF8/12),AO8-($CK8/12))),IF(EXCERCICE="PA",AO8-($CC8/12*(mois+1)),IF(EXCERCICE="LB1",AO8-($CF8/12*(mois+1)),AO8-($CK8/12*(mois+1))))))</f>
        <v>#REF!</v>
      </c>
      <c r="AS8" s="199"/>
      <c r="AT8" s="212" t="e">
        <f>IF(mois+1&gt;12,0,IF(ISERROR(IF(EXCERCICE="PA",AO8/$CC8,IF(EXCERCICE="LB1",AO8/$CF8,AO8/$CK8))),0,IF(EXCERCICE="PA",AO8/$CC8,IF(EXCERCICE="LB1",AO8/$CF8,AO8/$CK8))))</f>
        <v>#REF!</v>
      </c>
      <c r="AU8" s="221"/>
      <c r="AV8" s="11"/>
      <c r="AW8" s="11"/>
      <c r="AX8" s="243">
        <f>SUMIF(INDICATEURS,$C8,SAISIEPREVM2)</f>
        <v>0</v>
      </c>
      <c r="AY8" s="95" t="e">
        <f>IF(mois+2=13,AX8,IF(mois+2&gt;14,AX8,$AO8+AX8))</f>
        <v>#REF!</v>
      </c>
      <c r="AZ8" s="292"/>
      <c r="BA8" s="17" t="e">
        <f>IF(mois+2&gt;12,0,IF(mois=12,IF(EXCERCICE="PA",AY8-($CC8/12),IF(EXCERCICE="LB1",AY8-($CF8/12),AY8-($CK8/12))),IF(EXCERCICE="PA",AY8-($CC8/12*(mois+2)),IF(EXCERCICE="LB1",AY8-($CF8/12*(mois+2)),AY8-($CK8/12*(mois+2))))))</f>
        <v>#REF!</v>
      </c>
      <c r="BB8" s="179"/>
      <c r="BC8" s="212" t="e">
        <f>IF(mois+2&gt;12,0,IF(ISERROR(IF(EXCERCICE="PA",AY8/$CC8,IF(EXCERCICE="LB1",AY8/$CF8,AY8/$CK8))),0,IF(EXCERCICE="PA",AY8/$CC8,IF(EXCERCICE="LB1",AY8/$CF8,AY8/$CK8))))</f>
        <v>#REF!</v>
      </c>
      <c r="BD8" s="221"/>
      <c r="BE8" s="58"/>
      <c r="BF8" s="11"/>
      <c r="BG8" s="243">
        <f>SUMIF(INDICATEURS,$C8,SAISIEPREVM3)</f>
        <v>0</v>
      </c>
      <c r="BH8" s="95" t="e">
        <f>IF(mois+3=13,BG8,IF(mois+3&gt;15,BG8,+$AY8+BG8))</f>
        <v>#REF!</v>
      </c>
      <c r="BI8" s="17" t="e">
        <f>IF(mois+3&gt;12,0,IF(mois=12,IF(EXCERCICE="PA",BH8-($CC8/12),IF(EXCERCICE="LB1",BH8-($CF8/12),BH8-($CK8/12))),IF(EXCERCICE="PA",BH8-($CC8/12*(mois+3)),IF(EXCERCICE="LB1",BH8-($CF8/12*(mois+3)),BH8-($CK8/12*(mois+3))))))</f>
        <v>#REF!</v>
      </c>
      <c r="BJ8" s="17"/>
      <c r="BK8" s="212" t="e">
        <f>IF(mois+3&gt;12,0,IF(ISERROR(IF(EXCERCICE="PA",BH8/$CC8,IF(EXCERCICE="LB1",BH8/$CF8,BH8/$CK8))),0,IF(EXCERCICE="PA",BH8/$CC8,IF(EXCERCICE="LB1",BH8/$CF8,BH8/$CK8))))</f>
        <v>#REF!</v>
      </c>
      <c r="BL8" s="221"/>
      <c r="BM8" s="2"/>
      <c r="BN8" s="123" t="e">
        <f>IF(mois&gt;=12,IF(EXCERCICE="PA",CC8-AE8,IF(EXCERCICE="LB1",CF8-AE8,IF(EXCERCICE="LB2",$CK8-AE8))),
IF(mois+1&lt;=13,IF(EXCERCICE="PA",CC8-AO8,IF(EXCERCICE="LB1",CF8-AO8,IF(EXCERCICE="LB2",$CK8-AO8))),
IF(mois+2&lt;=14,IF(EXCERCICE="PA",CC8-AY8,IF(EXCERCICE="LB1",CF8-AY8,IF(EXCERCICE="LB2",$CK8-AY8))),
IF(mois+3&lt;=15,IF(EXCERCICE="PA",CC8-BH8,IF(EXCERCICE="LB1",CF8-BH8,IF(EXCERCICE="LB2",$CK8-BH8))),0))))</f>
        <v>#REF!</v>
      </c>
      <c r="BO8" s="123" t="e">
        <f>IF(BN8&lt;0,0,BN8/(12-mois))</f>
        <v>#REF!</v>
      </c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23">
        <f>IF(ISERROR(VLOOKUP($B$2,VALIDATION_PA,6,FALSE)),0,VLOOKUP($B$2,VALIDATION_PA,6,FALSE))/1000</f>
        <v>0</v>
      </c>
      <c r="CD8" s="203">
        <f>IF(ISERROR(AE8/$CC8),0,AE8/$CC8)</f>
        <v>0</v>
      </c>
      <c r="CE8" s="11"/>
      <c r="CF8" s="95"/>
      <c r="CG8" s="125">
        <f>IF(ISERROR($CF8/$BH8),0,$CF8/$BH8)</f>
        <v>0</v>
      </c>
      <c r="CH8" s="17">
        <f>CF8-$CC8</f>
        <v>0</v>
      </c>
      <c r="CI8" s="58"/>
      <c r="CJ8" s="11"/>
      <c r="CK8" s="95"/>
      <c r="CL8" s="125">
        <f>IF(ISERROR($CK8/$BH8),0,$CK8/$BH8)</f>
        <v>0</v>
      </c>
      <c r="CM8" s="17">
        <f>CK8-$CC8</f>
        <v>0</v>
      </c>
      <c r="CN8" s="58"/>
    </row>
    <row r="9" spans="1:92" x14ac:dyDescent="0.2">
      <c r="B9" s="60"/>
      <c r="C9" s="143" t="s">
        <v>62</v>
      </c>
      <c r="D9" s="2"/>
      <c r="E9" s="61" t="str">
        <f>IF(E7=0,"-",E8/E7)</f>
        <v>-</v>
      </c>
      <c r="F9" s="7" t="str">
        <f t="shared" ref="F9:Q9" si="4">IF(F7=0,"-",F8/F7)</f>
        <v>-</v>
      </c>
      <c r="G9" s="7" t="str">
        <f t="shared" si="4"/>
        <v>-</v>
      </c>
      <c r="H9" s="7" t="str">
        <f t="shared" si="4"/>
        <v>-</v>
      </c>
      <c r="I9" s="7" t="str">
        <f t="shared" si="4"/>
        <v>-</v>
      </c>
      <c r="J9" s="7" t="str">
        <f t="shared" si="4"/>
        <v>-</v>
      </c>
      <c r="K9" s="7" t="str">
        <f t="shared" si="4"/>
        <v>-</v>
      </c>
      <c r="L9" s="7" t="str">
        <f t="shared" si="4"/>
        <v>-</v>
      </c>
      <c r="M9" s="7" t="str">
        <f t="shared" si="4"/>
        <v>-</v>
      </c>
      <c r="N9" s="7" t="str">
        <f t="shared" si="4"/>
        <v>-</v>
      </c>
      <c r="O9" s="7" t="str">
        <f t="shared" si="4"/>
        <v>-</v>
      </c>
      <c r="P9" s="7" t="str">
        <f t="shared" si="4"/>
        <v>-</v>
      </c>
      <c r="Q9" s="186" t="str">
        <f t="shared" si="4"/>
        <v>-</v>
      </c>
      <c r="R9" s="2"/>
      <c r="S9" s="61" t="str">
        <f>IF(S7=0,"-",S8/S7)</f>
        <v>-</v>
      </c>
      <c r="T9" s="7" t="str">
        <f t="shared" ref="T9:AD9" si="5">IF(T7=0,"-",T8/T7)</f>
        <v>-</v>
      </c>
      <c r="U9" s="7" t="str">
        <f t="shared" si="5"/>
        <v>-</v>
      </c>
      <c r="V9" s="7" t="str">
        <f t="shared" si="5"/>
        <v>-</v>
      </c>
      <c r="W9" s="7" t="str">
        <f t="shared" si="5"/>
        <v>-</v>
      </c>
      <c r="X9" s="7" t="str">
        <f t="shared" si="5"/>
        <v>-</v>
      </c>
      <c r="Y9" s="7" t="str">
        <f t="shared" si="5"/>
        <v>-</v>
      </c>
      <c r="Z9" s="7" t="str">
        <f t="shared" si="5"/>
        <v>-</v>
      </c>
      <c r="AA9" s="7" t="str">
        <f t="shared" si="5"/>
        <v>-</v>
      </c>
      <c r="AB9" s="7" t="str">
        <f t="shared" si="5"/>
        <v>-</v>
      </c>
      <c r="AC9" s="7" t="str">
        <f t="shared" si="5"/>
        <v>-</v>
      </c>
      <c r="AD9" s="7" t="str">
        <f t="shared" si="5"/>
        <v>-</v>
      </c>
      <c r="AE9" s="61" t="str">
        <f>IF(AE7=0,"-",AE8/AE7)</f>
        <v>-</v>
      </c>
      <c r="AF9" s="293" t="str">
        <f t="shared" ref="AF9:AG9" si="6">IF(AF7=0,"-",AF8/AF7)</f>
        <v>-</v>
      </c>
      <c r="AG9" s="103" t="str">
        <f t="shared" si="6"/>
        <v>-</v>
      </c>
      <c r="AH9" s="103" t="e">
        <f>IF(AH7=0,"-",AH8/AH7)</f>
        <v>#REF!</v>
      </c>
      <c r="AI9" s="103"/>
      <c r="AJ9" s="197"/>
      <c r="AK9" s="197"/>
      <c r="AL9" s="58"/>
      <c r="AM9" s="11"/>
      <c r="AN9" s="249" t="str">
        <f t="shared" ref="AN9" si="7">IF(AN7=0,"-",AN8/AN7)</f>
        <v>-</v>
      </c>
      <c r="AO9" s="61" t="e">
        <f t="shared" ref="AO9:AP9" si="8">IF(AO7=0,"-",AO8/AO7)</f>
        <v>#REF!</v>
      </c>
      <c r="AP9" s="293" t="str">
        <f t="shared" si="8"/>
        <v>-</v>
      </c>
      <c r="AQ9" s="103" t="e">
        <f>IF(AQ7=0,"-",AQ8/AQ7)</f>
        <v>#REF!</v>
      </c>
      <c r="AR9" s="7" t="e">
        <f>IF(AR7=0,"-",AR8/AR7)</f>
        <v>#REF!</v>
      </c>
      <c r="AS9" s="197"/>
      <c r="AT9" s="197"/>
      <c r="AU9" s="222"/>
      <c r="AV9" s="11"/>
      <c r="AW9" s="11"/>
      <c r="AX9" s="249" t="str">
        <f t="shared" ref="AX9" si="9">IF(AX7=0,"-",AX8/AX7)</f>
        <v>-</v>
      </c>
      <c r="AY9" s="61" t="e">
        <f t="shared" ref="AY9:AZ9" si="10">IF(AY7=0,"-",AY8/AY7)</f>
        <v>#REF!</v>
      </c>
      <c r="AZ9" s="293" t="str">
        <f t="shared" si="10"/>
        <v>-</v>
      </c>
      <c r="BA9" s="7" t="e">
        <f>IF(BA7=0,"-",BA8/BA7)</f>
        <v>#REF!</v>
      </c>
      <c r="BB9" s="103"/>
      <c r="BC9" s="197"/>
      <c r="BD9" s="222"/>
      <c r="BE9" s="58"/>
      <c r="BF9" s="11"/>
      <c r="BG9" s="249" t="str">
        <f t="shared" ref="BG9" si="11">IF(BG7=0,"-",BG8/BG7)</f>
        <v>-</v>
      </c>
      <c r="BH9" s="61" t="e">
        <f t="shared" ref="BH9:BI9" si="12">IF(BH7=0,"-",BH8/BH7)</f>
        <v>#REF!</v>
      </c>
      <c r="BI9" s="7" t="e">
        <f t="shared" si="12"/>
        <v>#REF!</v>
      </c>
      <c r="BJ9" s="7"/>
      <c r="BK9" s="197"/>
      <c r="BL9" s="222"/>
      <c r="BM9" s="2"/>
      <c r="BN9" s="63"/>
      <c r="BO9" s="63"/>
      <c r="BQ9" s="173"/>
      <c r="BR9" s="173"/>
      <c r="BS9" s="173"/>
      <c r="BT9" s="173"/>
      <c r="BU9" s="173"/>
      <c r="BV9" s="173"/>
      <c r="BW9" s="173"/>
      <c r="BX9" s="173"/>
      <c r="BY9" s="173"/>
      <c r="BZ9" s="173"/>
      <c r="CA9" s="173"/>
      <c r="CB9" s="173"/>
      <c r="CC9" s="63" t="str">
        <f t="shared" ref="CC9" si="13">IF(CC7=0,"-",CC8/CC7)</f>
        <v>-</v>
      </c>
      <c r="CD9" s="204"/>
      <c r="CE9" s="11"/>
      <c r="CF9" s="61">
        <f t="shared" ref="CF9" si="14">IF(CF7=0,"-",CF8/CF7)</f>
        <v>0</v>
      </c>
      <c r="CG9" s="134"/>
      <c r="CH9" s="8">
        <f>IF(CH7=0,"-",CH8/CH7)</f>
        <v>0</v>
      </c>
      <c r="CI9" s="58"/>
      <c r="CJ9" s="11"/>
      <c r="CK9" s="61">
        <f t="shared" ref="CK9" si="15">IF(CK7=0,"-",CK8/CK7)</f>
        <v>0</v>
      </c>
      <c r="CL9" s="134"/>
      <c r="CM9" s="8">
        <f t="shared" ref="CM9" si="16">IF(CM7=0,"-",CM8/CM7)</f>
        <v>0</v>
      </c>
      <c r="CN9" s="58"/>
    </row>
    <row r="10" spans="1:92" x14ac:dyDescent="0.2">
      <c r="B10" s="64"/>
      <c r="C10" s="65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194"/>
      <c r="AG10" s="100"/>
      <c r="AH10" s="100"/>
      <c r="AI10" s="100"/>
      <c r="AJ10" s="214"/>
      <c r="AK10" s="214"/>
      <c r="AL10" s="11"/>
      <c r="AM10" s="2"/>
      <c r="AN10" s="71"/>
      <c r="AO10" s="11"/>
      <c r="AP10" s="194"/>
      <c r="AQ10" s="100"/>
      <c r="AR10" s="65"/>
      <c r="AS10" s="2"/>
      <c r="AT10" s="214"/>
      <c r="AU10" s="214"/>
      <c r="AV10" s="11"/>
      <c r="AW10" s="2"/>
      <c r="AX10" s="71"/>
      <c r="AY10" s="11"/>
      <c r="AZ10" s="194"/>
      <c r="BA10" s="65"/>
      <c r="BB10" s="2"/>
      <c r="BC10" s="214"/>
      <c r="BD10" s="214"/>
      <c r="BE10" s="11"/>
      <c r="BF10" s="2"/>
      <c r="BG10" s="71"/>
      <c r="BH10" s="11"/>
      <c r="BI10" s="11"/>
      <c r="BJ10" s="11"/>
      <c r="BK10" s="214"/>
      <c r="BL10" s="214"/>
      <c r="BM10" s="2"/>
      <c r="BN10" s="11"/>
      <c r="BO10" s="11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65"/>
      <c r="CD10" s="205"/>
      <c r="CE10" s="11"/>
      <c r="CF10" s="71"/>
      <c r="CG10" s="137"/>
      <c r="CH10" s="65"/>
      <c r="CI10" s="11"/>
      <c r="CJ10" s="2"/>
      <c r="CK10" s="71"/>
      <c r="CL10" s="137"/>
      <c r="CM10" s="65"/>
      <c r="CN10" s="2"/>
    </row>
    <row r="11" spans="1:92" x14ac:dyDescent="0.2">
      <c r="A11" s="40">
        <v>9</v>
      </c>
      <c r="B11" s="66"/>
      <c r="C11" s="67" t="s">
        <v>58</v>
      </c>
      <c r="D11" s="51"/>
      <c r="E11" s="96">
        <f t="shared" ref="E11:P11" si="17">IF(ISERROR(VLOOKUP(CONCATENATE($B$2,E$5),TBCHISTORIQUE,9,FALSE)/1000),0,VLOOKUP(CONCATENATE($B$2,E$5),TBCHISTORIQUE,9,FALSE)/1000)</f>
        <v>0</v>
      </c>
      <c r="F11" s="169">
        <f t="shared" si="17"/>
        <v>0</v>
      </c>
      <c r="G11" s="169">
        <f t="shared" si="17"/>
        <v>0</v>
      </c>
      <c r="H11" s="169">
        <f t="shared" si="17"/>
        <v>0</v>
      </c>
      <c r="I11" s="169">
        <f t="shared" si="17"/>
        <v>0</v>
      </c>
      <c r="J11" s="169">
        <f t="shared" si="17"/>
        <v>0</v>
      </c>
      <c r="K11" s="169">
        <f t="shared" si="17"/>
        <v>0</v>
      </c>
      <c r="L11" s="169">
        <f t="shared" si="17"/>
        <v>0</v>
      </c>
      <c r="M11" s="169">
        <f t="shared" si="17"/>
        <v>0</v>
      </c>
      <c r="N11" s="169">
        <f t="shared" si="17"/>
        <v>0</v>
      </c>
      <c r="O11" s="169">
        <f t="shared" si="17"/>
        <v>0</v>
      </c>
      <c r="P11" s="170">
        <f t="shared" si="17"/>
        <v>0</v>
      </c>
      <c r="Q11" s="187">
        <f>SUMIF($E$5:$P$5,"&lt;="&amp;mois,E11:P11)</f>
        <v>0</v>
      </c>
      <c r="R11" s="51"/>
      <c r="S11" s="96">
        <f t="shared" ref="S11:AC11" si="18">IF(ISERROR(VLOOKUP(CONCATENATE($B$2,S$5),TBCA,9,FALSE)/1000),0,VLOOKUP(CONCATENATE($B$2,S$5),TBCA,9,FALSE)/1000)</f>
        <v>0</v>
      </c>
      <c r="T11" s="169">
        <f t="shared" si="18"/>
        <v>0</v>
      </c>
      <c r="U11" s="169">
        <f t="shared" si="18"/>
        <v>0</v>
      </c>
      <c r="V11" s="169">
        <f t="shared" si="18"/>
        <v>0</v>
      </c>
      <c r="W11" s="169">
        <f t="shared" si="18"/>
        <v>0</v>
      </c>
      <c r="X11" s="169">
        <f t="shared" si="18"/>
        <v>0</v>
      </c>
      <c r="Y11" s="169">
        <f t="shared" si="18"/>
        <v>0</v>
      </c>
      <c r="Z11" s="169">
        <f t="shared" si="18"/>
        <v>0</v>
      </c>
      <c r="AA11" s="169">
        <f t="shared" si="18"/>
        <v>0</v>
      </c>
      <c r="AB11" s="169">
        <f t="shared" si="18"/>
        <v>0</v>
      </c>
      <c r="AC11" s="169">
        <f t="shared" si="18"/>
        <v>0</v>
      </c>
      <c r="AD11" s="170">
        <f>IF(ISERROR(VLOOKUP(CONCATENATE($B$2,AD$5),TBCA,7,FALSE)/1000),0,VLOOKUP(CONCATENATE($B$2,AD$5),TBCA,7,FALSE)/1000)</f>
        <v>0</v>
      </c>
      <c r="AE11" s="324">
        <f>SUMIF($S$5:$AD$5,"&lt;="&amp;mois,S11:AD11)</f>
        <v>0</v>
      </c>
      <c r="AF11" s="294"/>
      <c r="AG11" s="104">
        <f>AE11-AF11</f>
        <v>0</v>
      </c>
      <c r="AH11" s="104" t="e">
        <f>IF(EXCERCICE="PA",AE11-($CC11/12*(mois)),IF(EXCERCICE="LB1",AE11-($CF11/12*(mois)),AE11-($CK11/12*(mois))))</f>
        <v>#REF!</v>
      </c>
      <c r="AI11" s="175">
        <f>IF(ISERROR(AE11/Q11),0,AE11/Q11)</f>
        <v>0</v>
      </c>
      <c r="AJ11" s="175">
        <f>IF(ISERROR(IF(EXCERCICE="PA",AE11/$CC11,IF(EXCERCICE="LB1",AE11/$CF11,AE11/$CK11))),0,IF(EXCERCICE="PA",AE11/$CC11,IF(EXCERCICE="LB1",AE11/$CF11,AE11/$CK11)))</f>
        <v>0</v>
      </c>
      <c r="AK11" s="223" t="str">
        <f>IF(ISERROR(AE11/HLOOKUP(mois,$BQ$5:$CB$39,7,FALSE)),"",AE11/HLOOKUP(mois,$BQ$5:$CB$39,7,FALSE))</f>
        <v/>
      </c>
      <c r="AL11" s="54"/>
      <c r="AM11" s="54"/>
      <c r="AN11" s="250">
        <f>SUMIF(INDICATEURS,$C11,SAISIEPREVM1)</f>
        <v>0</v>
      </c>
      <c r="AO11" s="96" t="e">
        <f>IF(mois+1&gt;12,AN11,+$AE11+AN11)</f>
        <v>#REF!</v>
      </c>
      <c r="AP11" s="294"/>
      <c r="AQ11" s="104" t="e">
        <f>AO11-AP11</f>
        <v>#REF!</v>
      </c>
      <c r="AR11" s="68" t="e">
        <f>IF(mois+1&gt;12,0,IF(mois=12,IF(EXCERCICE="PA",AO11-($CC11/12),IF(EXCERCICE="LB1",AO11-($CF11/12),AO11-($CK11/12))),IF(EXCERCICE="PA",AO11-($CC11/12*(mois+1)),IF(EXCERCICE="LB1",AO11-($CF11/12*(mois+1)),AO11-($CK11/12*(mois+1))))))</f>
        <v>#REF!</v>
      </c>
      <c r="AS11" s="200" t="e">
        <f>IF(mois+1&gt;12,AO11/SUMPRODUCT((($S$6:$U$6)&lt;=mois+1)*$S11:$U11),AO11/SUMPRODUCT((($E$5:$P$5)&lt;=mois+1)*$E11:$P11))</f>
        <v>#REF!</v>
      </c>
      <c r="AT11" s="175" t="e">
        <f>IF(mois+1&gt;12,0,IF(ISERROR(IF(EXCERCICE="PA",AO11/$CC11,IF(EXCERCICE="LB1",AO11/$CF11,AO11/$CK11))),0,IF(EXCERCICE="PA",AO11/$CC11,IF(EXCERCICE="LB1",AO11/$CF11,AO11/$CK11))))</f>
        <v>#REF!</v>
      </c>
      <c r="AU11" s="223" t="str">
        <f>IF(ISERROR(AO11/HLOOKUP(mois+1,$BQ$5:$CB$39,7,FALSE)),"",AO11/HLOOKUP(mois+1,$BQ$5:$CB$39,7,FALSE))</f>
        <v/>
      </c>
      <c r="AV11" s="11"/>
      <c r="AW11" s="54"/>
      <c r="AX11" s="250">
        <f>SUMIF(INDICATEURS,$C11,SAISIEPREVM2)</f>
        <v>0</v>
      </c>
      <c r="AY11" s="96" t="e">
        <f>IF(mois+2=13,AX11,IF(mois+2&gt;14,AX11,$AO11+AX11))</f>
        <v>#REF!</v>
      </c>
      <c r="AZ11" s="294"/>
      <c r="BA11" s="68" t="e">
        <f>IF(mois+2&gt;12,0,IF(mois=12,IF(EXCERCICE="PA",AY11-($CC11/12),IF(EXCERCICE="LB1",AY11-($CF11/12),AY11-($CK11/12))),IF(EXCERCICE="PA",AY11-($CC11/12*(mois+2)),IF(EXCERCICE="LB1",AY11-($CF11/12*(mois+2)),AY11-($CK11/12*(mois+2))))))</f>
        <v>#REF!</v>
      </c>
      <c r="BB11" s="200" t="e">
        <f>IF(mois+1&gt;12,AY11/SUMPRODUCT((($S$6:$U$6)&lt;=mois+2)*$S11:$U11),AY11/SUMPRODUCT((($E$5:$P$5)&lt;=mois+2)*$E11:$P11))</f>
        <v>#REF!</v>
      </c>
      <c r="BC11" s="175" t="e">
        <f>IF(mois+2&gt;12,0,IF(ISERROR(IF(EXCERCICE="PA",AY11/$CC11,IF(EXCERCICE="LB1",AY11/$CF11,AY11/$CK11))),0,IF(EXCERCICE="PA",AY11/$CC11,IF(EXCERCICE="LB1",AY11/$CF11,AY11/$CK11))))</f>
        <v>#REF!</v>
      </c>
      <c r="BD11" s="223" t="str">
        <f>IF(ISERROR(AY11/HLOOKUP(mois+2,$BQ$5:$CB$39,7,FALSE)),"",AY11/HLOOKUP(mois+2,$BQ$5:$CB$39,7,FALSE))</f>
        <v/>
      </c>
      <c r="BE11" s="52"/>
      <c r="BF11" s="54"/>
      <c r="BG11" s="250">
        <f>SUMIF(INDICATEURS,$C11,SAISIEPREVM3)</f>
        <v>0</v>
      </c>
      <c r="BH11" s="96" t="e">
        <f>IF(mois+3=13,BG11,IF(mois+3&gt;15,BG11,+$AY11+BG11))</f>
        <v>#REF!</v>
      </c>
      <c r="BI11" s="68" t="e">
        <f>IF(mois+3&gt;12,0,IF(mois=12,IF(EXCERCICE="PA",BH11-($CC11/12),IF(EXCERCICE="LB1",BH11-($CF11/12),BH11-($CK11/12))),IF(EXCERCICE="PA",BH11-($CC11/12*(mois+3)),IF(EXCERCICE="LB1",BH11-($CF11/12*(mois+3)),BH11-($CK11/12*(mois+3))))))</f>
        <v>#REF!</v>
      </c>
      <c r="BJ11" s="200" t="e">
        <f>IF(mois+1&gt;12,BH11/SUMPRODUCT((($S$6:$U$6)&lt;=mois+3)*$S11:$U11),BH11/SUMPRODUCT((($E$5:$P$5)&lt;=mois+3)*$E11:$P11))</f>
        <v>#REF!</v>
      </c>
      <c r="BK11" s="175" t="e">
        <f>IF(mois+3&gt;12,0,IF(ISERROR(IF(EXCERCICE="PA",BH11/$CC11,IF(EXCERCICE="LB1",BH11/$CF11,BH11/$CK11))),0,IF(EXCERCICE="PA",BH11/$CC11,IF(EXCERCICE="LB1",BH11/$CF11,BH11/$CK11))))</f>
        <v>#REF!</v>
      </c>
      <c r="BL11" s="223" t="str">
        <f>IF(ISERROR(BH11/HLOOKUP(mois+3,$BQ$5:$CB$39,7,FALSE)),"",BH11/HLOOKUP(mois+3,$BQ$5:$CB$39,7,FALSE))</f>
        <v/>
      </c>
      <c r="BM11" s="2"/>
      <c r="BN11" s="131" t="e">
        <f>IF(mois&gt;=12,IF(EXCERCICE="PA",CC11-AE11,IF(EXCERCICE="LB1",CF11-AE11,IF(EXCERCICE="LB2",$CK11-AE11))),
IF(mois+1&lt;=13,IF(EXCERCICE="PA",CC11-AO11,IF(EXCERCICE="LB1",CF11-AO11,IF(EXCERCICE="LB2",$CK11-AO11))),
IF(mois+2&lt;=14,IF(EXCERCICE="PA",CC11-AY11,IF(EXCERCICE="LB1",CF11-AY11,IF(EXCERCICE="LB2",$CK11-AY11))),
IF(mois+3&lt;=15,IF(EXCERCICE="PA",CC11-BH11,IF(EXCERCICE="LB1",CF11-BH11,IF(EXCERCICE="LB2",$CK11-BH11))),0))))</f>
        <v>#REF!</v>
      </c>
      <c r="BO11" s="131" t="e">
        <f>IF(BN11&lt;0,0,BN11/(12-mois))</f>
        <v>#REF!</v>
      </c>
      <c r="BQ11" s="196">
        <v>1000</v>
      </c>
      <c r="BR11" s="196">
        <v>2150</v>
      </c>
      <c r="BS11" s="196">
        <v>3950</v>
      </c>
      <c r="BT11" s="196">
        <v>5950</v>
      </c>
      <c r="BU11" s="196">
        <v>7050</v>
      </c>
      <c r="BV11" s="196">
        <v>9050</v>
      </c>
      <c r="BW11" s="196">
        <v>10650</v>
      </c>
      <c r="BX11" s="196">
        <v>12050</v>
      </c>
      <c r="BY11" s="196">
        <v>13450</v>
      </c>
      <c r="BZ11" s="196">
        <v>15050</v>
      </c>
      <c r="CA11" s="196">
        <v>16350</v>
      </c>
      <c r="CB11" s="196">
        <v>17542</v>
      </c>
      <c r="CC11" s="131">
        <f>IF(ISERROR(VLOOKUP($B$2,VALIDATION_PA,7,FALSE)),0,VLOOKUP($B$2,VALIDATION_PA,7,FALSE))/1000</f>
        <v>0</v>
      </c>
      <c r="CD11" s="206"/>
      <c r="CE11" s="54"/>
      <c r="CF11" s="96"/>
      <c r="CG11" s="138"/>
      <c r="CH11" s="68">
        <f>CF11-$CC11</f>
        <v>0</v>
      </c>
      <c r="CI11" s="52"/>
      <c r="CJ11" s="54"/>
      <c r="CK11" s="96"/>
      <c r="CL11" s="138"/>
      <c r="CM11" s="68">
        <f>CK11-$CC11</f>
        <v>0</v>
      </c>
      <c r="CN11" s="52"/>
    </row>
    <row r="12" spans="1:92" x14ac:dyDescent="0.2">
      <c r="B12" s="64"/>
      <c r="C12" s="6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194"/>
      <c r="AG12" s="100"/>
      <c r="AH12" s="100"/>
      <c r="AI12" s="100"/>
      <c r="AJ12" s="214"/>
      <c r="AK12" s="214"/>
      <c r="AL12" s="11"/>
      <c r="AM12" s="2"/>
      <c r="AN12" s="71"/>
      <c r="AO12" s="11"/>
      <c r="AP12" s="194"/>
      <c r="AQ12" s="100"/>
      <c r="AR12" s="65"/>
      <c r="AS12" s="2"/>
      <c r="AT12" s="214"/>
      <c r="AU12" s="214"/>
      <c r="AV12" s="11"/>
      <c r="AW12" s="2"/>
      <c r="AX12" s="71"/>
      <c r="AY12" s="11"/>
      <c r="AZ12" s="194"/>
      <c r="BA12" s="65"/>
      <c r="BB12" s="2"/>
      <c r="BC12" s="214"/>
      <c r="BD12" s="214"/>
      <c r="BE12" s="11"/>
      <c r="BF12" s="2"/>
      <c r="BG12" s="71"/>
      <c r="BH12" s="11"/>
      <c r="BI12" s="11"/>
      <c r="BJ12" s="11"/>
      <c r="BK12" s="214"/>
      <c r="BL12" s="214"/>
      <c r="BM12" s="2"/>
      <c r="BN12" s="11"/>
      <c r="BO12" s="11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65"/>
      <c r="CD12" s="205"/>
      <c r="CE12" s="11"/>
      <c r="CF12" s="71"/>
      <c r="CG12" s="137"/>
      <c r="CH12" s="65"/>
      <c r="CI12" s="11"/>
      <c r="CJ12" s="2"/>
      <c r="CK12" s="71"/>
      <c r="CL12" s="137"/>
      <c r="CM12" s="65"/>
      <c r="CN12" s="2"/>
    </row>
    <row r="13" spans="1:92" x14ac:dyDescent="0.2">
      <c r="A13" s="40">
        <v>10</v>
      </c>
      <c r="B13" s="49"/>
      <c r="C13" s="50" t="s">
        <v>59</v>
      </c>
      <c r="D13" s="51"/>
      <c r="E13" s="92">
        <f t="shared" ref="E13:P13" si="19">IF(ISERROR(VLOOKUP(CONCATENATE($B$2,E$5),TBCHISTORIQUE,10,FALSE)/1000),0,VLOOKUP(CONCATENATE($B$2,E$5),TBCHISTORIQUE,10,FALSE)/1000)</f>
        <v>0</v>
      </c>
      <c r="F13" s="93">
        <f t="shared" si="19"/>
        <v>0</v>
      </c>
      <c r="G13" s="93">
        <f t="shared" si="19"/>
        <v>0</v>
      </c>
      <c r="H13" s="93">
        <f t="shared" si="19"/>
        <v>0</v>
      </c>
      <c r="I13" s="93">
        <f t="shared" si="19"/>
        <v>0</v>
      </c>
      <c r="J13" s="93">
        <f t="shared" si="19"/>
        <v>0</v>
      </c>
      <c r="K13" s="93">
        <f t="shared" si="19"/>
        <v>0</v>
      </c>
      <c r="L13" s="93">
        <f t="shared" si="19"/>
        <v>0</v>
      </c>
      <c r="M13" s="93">
        <f t="shared" si="19"/>
        <v>0</v>
      </c>
      <c r="N13" s="93">
        <f t="shared" si="19"/>
        <v>0</v>
      </c>
      <c r="O13" s="93">
        <f t="shared" si="19"/>
        <v>0</v>
      </c>
      <c r="P13" s="94">
        <f t="shared" si="19"/>
        <v>0</v>
      </c>
      <c r="Q13" s="184">
        <f>SUMIF($E$5:$P$5,"&lt;="&amp;mois,E13:P13)</f>
        <v>0</v>
      </c>
      <c r="R13" s="51"/>
      <c r="S13" s="92">
        <f t="shared" ref="S13:AD13" si="20">IF(ISERROR(VLOOKUP(CONCATENATE($B$2,S$5),TBCA,10,FALSE)/1000),0,VLOOKUP(CONCATENATE($B$2,S$5),TBCA,10,FALSE)/1000)</f>
        <v>0</v>
      </c>
      <c r="T13" s="93">
        <f t="shared" si="20"/>
        <v>0</v>
      </c>
      <c r="U13" s="93">
        <f t="shared" si="20"/>
        <v>0</v>
      </c>
      <c r="V13" s="93">
        <f t="shared" si="20"/>
        <v>0</v>
      </c>
      <c r="W13" s="93">
        <f t="shared" si="20"/>
        <v>0</v>
      </c>
      <c r="X13" s="93">
        <f t="shared" si="20"/>
        <v>0</v>
      </c>
      <c r="Y13" s="93">
        <f t="shared" si="20"/>
        <v>0</v>
      </c>
      <c r="Z13" s="93">
        <f t="shared" si="20"/>
        <v>0</v>
      </c>
      <c r="AA13" s="93">
        <f t="shared" si="20"/>
        <v>0</v>
      </c>
      <c r="AB13" s="93">
        <f t="shared" si="20"/>
        <v>0</v>
      </c>
      <c r="AC13" s="93">
        <f t="shared" si="20"/>
        <v>0</v>
      </c>
      <c r="AD13" s="94">
        <f t="shared" si="20"/>
        <v>0</v>
      </c>
      <c r="AE13" s="92">
        <f>SUMIF($S$5:$AD$5,"&lt;="&amp;mois,S13:AD13)</f>
        <v>0</v>
      </c>
      <c r="AF13" s="291"/>
      <c r="AG13" s="101">
        <f t="shared" ref="AG13:AG14" si="21">AE13-AF13</f>
        <v>0</v>
      </c>
      <c r="AH13" s="101" t="e">
        <f>IF(EXCERCICE="PA",AE13-($CC13/12*(mois)),IF(EXCERCICE="LB1",AE13-($CF13/12*(mois)),AE13-($CK13/12*(mois))))</f>
        <v>#REF!</v>
      </c>
      <c r="AI13" s="176">
        <f>IF(ISERROR(AE13/Q13),0,AE13/Q13)</f>
        <v>0</v>
      </c>
      <c r="AJ13" s="176">
        <f>IF(ISERROR(IF(EXCERCICE="PA",AE13/$CC13,IF(EXCERCICE="LB1",AE13/$CF13,AE13/$CK13))),0,IF(EXCERCICE="PA",AE13/$CC13,IF(EXCERCICE="LB1",AE13/$CF13,AE13/$CK13)))</f>
        <v>0</v>
      </c>
      <c r="AK13" s="176" t="str">
        <f>IF(ISERROR(AE13/HLOOKUP(mois,$BQ$5:$CB$39,9,FALSE)),"",AE13/HLOOKUP(mois,$BQ$5:$CB$39,9,FALSE))</f>
        <v/>
      </c>
      <c r="AL13" s="52"/>
      <c r="AM13" s="54"/>
      <c r="AN13" s="242">
        <f>SUMIF(INDICATEURS,$C13,SAISIEPREVM1)</f>
        <v>0</v>
      </c>
      <c r="AO13" s="92" t="e">
        <f>IF(mois+1&gt;12,AN13,+$AE13+AN13)</f>
        <v>#REF!</v>
      </c>
      <c r="AP13" s="291"/>
      <c r="AQ13" s="101" t="e">
        <f>AO13-AP13</f>
        <v>#REF!</v>
      </c>
      <c r="AR13" s="55" t="e">
        <f>IF(mois+1&gt;12,0,IF(mois=12,IF(EXCERCICE="PA",AO13-($CC13/12),IF(EXCERCICE="LB1",AO13-($CF13/12),AO13-($CK13/12))),IF(EXCERCICE="PA",AO13-($CC13/12*(mois+1)),IF(EXCERCICE="LB1",AO13-($CF13/12*(mois+1)),AO13-($CK13/12*(mois+1))))))</f>
        <v>#REF!</v>
      </c>
      <c r="AS13" s="176" t="e">
        <f>IF(mois+1&gt;12,AO13/SUMPRODUCT((($S$6:$U$6)&lt;=mois+1)*$S13:$U13),AO13/SUMPRODUCT((($E$5:$P$5)&lt;=mois+1)*$E13:$P13))</f>
        <v>#REF!</v>
      </c>
      <c r="AT13" s="176" t="e">
        <f>IF(mois+1&gt;12,0,IF(ISERROR(IF(EXCERCICE="PA",AO13/$CC13,IF(EXCERCICE="LB1",AO13/$CF13,AO13/$CK13))),0,IF(EXCERCICE="PA",AO13/$CC13,IF(EXCERCICE="LB1",AO13/$CF13,AO13/$CK13))))</f>
        <v>#REF!</v>
      </c>
      <c r="AU13" s="224" t="str">
        <f>IF(ISERROR(AO13/HLOOKUP(mois+1,$BQ$5:$CB$39,9,FALSE)),"",AO13/HLOOKUP(mois+1,$BQ$5:$CB$39,9,FALSE))</f>
        <v/>
      </c>
      <c r="AV13" s="11"/>
      <c r="AW13" s="54"/>
      <c r="AX13" s="242">
        <f>SUMIF(INDICATEURS,$C13,SAISIEPREVM2)</f>
        <v>0</v>
      </c>
      <c r="AY13" s="92" t="e">
        <f>IF(mois+2=13,AX13,IF(mois+2&gt;14,AX13,$AO13+AX13))</f>
        <v>#REF!</v>
      </c>
      <c r="AZ13" s="291"/>
      <c r="BA13" s="55" t="e">
        <f>IF(mois+2&gt;12,0,IF(mois=12,IF(EXCERCICE="PA",AY13-($CC13/12),IF(EXCERCICE="LB1",AY13-($CF13/12),AY13-($CK13/12))),IF(EXCERCICE="PA",AY13-($CC13/12*(mois+2)),IF(EXCERCICE="LB1",AY13-($CF13/12*(mois+2)),AY13-($CK13/12*(mois+2))))))</f>
        <v>#REF!</v>
      </c>
      <c r="BB13" s="176" t="e">
        <f>IF(mois+1&gt;12,AY13/SUMPRODUCT((($S$6:$U$6)&lt;=mois+2)*$S13:$U13),AY13/SUMPRODUCT((($E$5:$P$5)&lt;=mois+2)*$E13:$P13))</f>
        <v>#REF!</v>
      </c>
      <c r="BC13" s="176" t="e">
        <f>IF(mois+2&gt;12,0,IF(ISERROR(IF(EXCERCICE="PA",AY13/$CC13,IF(EXCERCICE="LB1",AY13/$CF13,AY13/$CK13))),0,IF(EXCERCICE="PA",AY13/$CC13,IF(EXCERCICE="LB1",AY13/$CF13,AY13/$CK13))))</f>
        <v>#REF!</v>
      </c>
      <c r="BD13" s="224" t="str">
        <f>IF(ISERROR(AY13/HLOOKUP(mois+2,$BQ$5:$CB$39,9,FALSE)),"",AY13/HLOOKUP(mois+2,$BQ$5:$CB$39,9,FALSE))</f>
        <v/>
      </c>
      <c r="BE13" s="52"/>
      <c r="BF13" s="54"/>
      <c r="BG13" s="242">
        <f>SUMIF(INDICATEURS,$C13,SAISIEPREVM3)</f>
        <v>0</v>
      </c>
      <c r="BH13" s="92" t="e">
        <f>IF(mois+3=13,BG13,IF(mois+3&gt;15,BG13,+$AY13+BG13))</f>
        <v>#REF!</v>
      </c>
      <c r="BI13" s="55" t="e">
        <f>IF(mois+3&gt;12,0,IF(mois=12,IF(EXCERCICE="PA",BH13-($CC13/12),IF(EXCERCICE="LB1",BH13-($CF13/12),BH13-($CK13/12))),IF(EXCERCICE="PA",BH13-($CC13/12*(mois+3)),IF(EXCERCICE="LB1",BH13-($CF13/12*(mois+3)),BH13-($CK13/12*(mois+3))))))</f>
        <v>#REF!</v>
      </c>
      <c r="BJ13" s="176" t="e">
        <f>IF(mois+1&gt;12,BA13/SUMPRODUCT((($S$6:$U$6)&lt;=mois+3)*$S13:$U13),BA13/SUMPRODUCT((($E$5:$P$5)&lt;=mois+3)*$E13:$P13))</f>
        <v>#REF!</v>
      </c>
      <c r="BK13" s="176" t="e">
        <f>IF(mois+3&gt;12,0,IF(ISERROR(IF(EXCERCICE="PA",BH13/$CC13,IF(EXCERCICE="LB1",BH13/$CF13,BH13/$CK13))),0,IF(EXCERCICE="PA",BH13/$CC13,IF(EXCERCICE="LB1",BH13/$CF13,BH13/$CK13))))</f>
        <v>#REF!</v>
      </c>
      <c r="BL13" s="224" t="str">
        <f>IF(ISERROR(BH13/HLOOKUP(mois+3,$BQ$5:$CB$39,9,FALSE)),"",BH13/HLOOKUP(mois+3,$BQ$5:$CB$39,9,FALSE))</f>
        <v/>
      </c>
      <c r="BM13" s="2"/>
      <c r="BN13" s="231" t="e">
        <f>IF(mois&gt;=12,IF(EXCERCICE="PA",CC13-AE13,IF(EXCERCICE="LB1",CF13-AE13,IF(EXCERCICE="LB2",$CK13-AE13))),
IF(mois+1&lt;=13,IF(EXCERCICE="PA",CC13-AO13,IF(EXCERCICE="LB1",CF13-AO13,IF(EXCERCICE="LB2",$CK13-AO13))),
IF(mois+2&lt;=14,IF(EXCERCICE="PA",CC13-AY13,IF(EXCERCICE="LB1",CF13-AY13,IF(EXCERCICE="LB2",$CK13-AY13))),
IF(mois+3&lt;=15,IF(EXCERCICE="PA",CC13-BH13,IF(EXCERCICE="LB1",CF13-BH13,IF(EXCERCICE="LB2",$CK13-BH13))),0))))</f>
        <v>#REF!</v>
      </c>
      <c r="BO13" s="231" t="e">
        <f>IF(BN13&lt;0,0,BN13/(12-mois))</f>
        <v>#REF!</v>
      </c>
      <c r="BP13" s="2"/>
      <c r="BQ13" s="196">
        <v>900</v>
      </c>
      <c r="BR13" s="196">
        <v>2000</v>
      </c>
      <c r="BS13" s="196">
        <v>3550</v>
      </c>
      <c r="BT13" s="196">
        <v>5250</v>
      </c>
      <c r="BU13" s="196">
        <v>7000</v>
      </c>
      <c r="BV13" s="196">
        <v>8900</v>
      </c>
      <c r="BW13" s="196">
        <v>10650</v>
      </c>
      <c r="BX13" s="196">
        <v>12350</v>
      </c>
      <c r="BY13" s="196">
        <v>13750</v>
      </c>
      <c r="BZ13" s="196">
        <v>15300</v>
      </c>
      <c r="CA13" s="196">
        <v>16650</v>
      </c>
      <c r="CB13" s="196">
        <v>18021</v>
      </c>
      <c r="CC13" s="92">
        <f>IF(ISERROR(VLOOKUP($B$2,VALIDATION_PA,8,FALSE)),0,VLOOKUP($B$2,VALIDATION_PA,8,FALSE))/1000</f>
        <v>0</v>
      </c>
      <c r="CD13" s="207">
        <f>IF(ISERROR(AE13/$CC13),0,AE13/$CC13)</f>
        <v>0</v>
      </c>
      <c r="CE13" s="54"/>
      <c r="CF13" s="92"/>
      <c r="CG13" s="128">
        <f>IF(ISERROR($CF13/$BH13),0,$CF13/$BH13)</f>
        <v>0</v>
      </c>
      <c r="CH13" s="53">
        <f t="shared" ref="CH13:CH14" si="22">CF13-CC13</f>
        <v>0</v>
      </c>
      <c r="CI13" s="52"/>
      <c r="CJ13" s="54"/>
      <c r="CK13" s="92"/>
      <c r="CL13" s="128">
        <f>IF(ISERROR($CK13/$BH13),0,$CK13/$BH13)</f>
        <v>0</v>
      </c>
      <c r="CM13" s="55">
        <f t="shared" ref="CM13:CM14" si="23">CK13-$CC13</f>
        <v>0</v>
      </c>
      <c r="CN13" s="52"/>
    </row>
    <row r="14" spans="1:92" x14ac:dyDescent="0.2">
      <c r="A14" s="40">
        <v>11</v>
      </c>
      <c r="B14" s="56"/>
      <c r="C14" s="57" t="s">
        <v>60</v>
      </c>
      <c r="D14" s="2"/>
      <c r="E14" s="95">
        <f t="shared" ref="E14:P14" si="24">IF(ISERROR(VLOOKUP(CONCATENATE($B$2,E$5),TBCHISTORIQUE,11,FALSE)/1000),0,VLOOKUP(CONCATENATE($B$2,E$5),TBCHISTORIQUE,11,FALSE)/1000)</f>
        <v>0</v>
      </c>
      <c r="F14" s="167">
        <f t="shared" si="24"/>
        <v>0</v>
      </c>
      <c r="G14" s="167">
        <f t="shared" si="24"/>
        <v>0</v>
      </c>
      <c r="H14" s="167">
        <f t="shared" si="24"/>
        <v>0</v>
      </c>
      <c r="I14" s="167">
        <f t="shared" si="24"/>
        <v>0</v>
      </c>
      <c r="J14" s="167">
        <f t="shared" si="24"/>
        <v>0</v>
      </c>
      <c r="K14" s="167">
        <f t="shared" si="24"/>
        <v>0</v>
      </c>
      <c r="L14" s="167">
        <f t="shared" si="24"/>
        <v>0</v>
      </c>
      <c r="M14" s="167">
        <f t="shared" si="24"/>
        <v>0</v>
      </c>
      <c r="N14" s="167">
        <f t="shared" si="24"/>
        <v>0</v>
      </c>
      <c r="O14" s="167">
        <f t="shared" si="24"/>
        <v>0</v>
      </c>
      <c r="P14" s="168">
        <f t="shared" si="24"/>
        <v>0</v>
      </c>
      <c r="Q14" s="185">
        <f>SUMIF($E$5:$P$5,"&lt;="&amp;mois,E14:P14)</f>
        <v>0</v>
      </c>
      <c r="R14" s="2"/>
      <c r="S14" s="95">
        <f t="shared" ref="S14:AD14" si="25">IF(ISERROR(VLOOKUP(CONCATENATE($B$2,S$5),TBCA,11,FALSE)/1000),0,VLOOKUP(CONCATENATE($B$2,S$5),TBCA,11,FALSE)/1000)</f>
        <v>0</v>
      </c>
      <c r="T14" s="167">
        <f t="shared" si="25"/>
        <v>0</v>
      </c>
      <c r="U14" s="167">
        <f t="shared" si="25"/>
        <v>0</v>
      </c>
      <c r="V14" s="167">
        <f t="shared" si="25"/>
        <v>0</v>
      </c>
      <c r="W14" s="167">
        <f t="shared" si="25"/>
        <v>0</v>
      </c>
      <c r="X14" s="167">
        <f t="shared" si="25"/>
        <v>0</v>
      </c>
      <c r="Y14" s="167">
        <f t="shared" si="25"/>
        <v>0</v>
      </c>
      <c r="Z14" s="167">
        <f t="shared" si="25"/>
        <v>0</v>
      </c>
      <c r="AA14" s="167">
        <f t="shared" si="25"/>
        <v>0</v>
      </c>
      <c r="AB14" s="167">
        <f t="shared" si="25"/>
        <v>0</v>
      </c>
      <c r="AC14" s="167">
        <f t="shared" si="25"/>
        <v>0</v>
      </c>
      <c r="AD14" s="168">
        <f t="shared" si="25"/>
        <v>0</v>
      </c>
      <c r="AE14" s="95">
        <f>SUMIF($S$5:$AD$5,"&lt;="&amp;mois,S14:AD14)</f>
        <v>0</v>
      </c>
      <c r="AF14" s="292"/>
      <c r="AG14" s="102">
        <f t="shared" si="21"/>
        <v>0</v>
      </c>
      <c r="AH14" s="102" t="e">
        <f>IF(EXCERCICE="PA",AE14-($CC14/12*(mois)),IF(EXCERCICE="LB1",AE14-($CF14/12*(mois)),AE14-($CK14/12*(mois))))</f>
        <v>#REF!</v>
      </c>
      <c r="AI14" s="102"/>
      <c r="AJ14" s="212">
        <f>IF(ISERROR(IF(EXCERCICE="PA",AE14/$CC14,IF(EXCERCICE="LB1",AE14/$CF14,AE14/$CK14))),0,IF(EXCERCICE="PA",AE14/$CC14,IF(EXCERCICE="LB1",AE14/$CF14,AE14/$CK14)))</f>
        <v>0</v>
      </c>
      <c r="AK14" s="212"/>
      <c r="AL14" s="58"/>
      <c r="AM14" s="11"/>
      <c r="AN14" s="243">
        <f>SUMIF(INDICATEURS,$C14,SAISIEPREVM1)</f>
        <v>0</v>
      </c>
      <c r="AO14" s="95" t="e">
        <f>IF(mois+1&gt;12,AN14,+$AE14+AN14)</f>
        <v>#REF!</v>
      </c>
      <c r="AP14" s="292"/>
      <c r="AQ14" s="102" t="e">
        <f>AO14-AP14</f>
        <v>#REF!</v>
      </c>
      <c r="AR14" s="17" t="e">
        <f>IF(mois+1&gt;12,0,IF(mois=12,IF(EXCERCICE="PA",AO14-($CC14/12),IF(EXCERCICE="LB1",AO14-($CF14/12),AO14-($CK14/12))),IF(EXCERCICE="PA",AO14-($CC14/12*(mois+1)),IF(EXCERCICE="LB1",AO14-($CF14/12*(mois+1)),AO14-($CK14/12*(mois+1))))))</f>
        <v>#REF!</v>
      </c>
      <c r="AS14" s="179"/>
      <c r="AT14" s="212" t="e">
        <f>IF(mois+1&gt;12,0,IF(ISERROR(IF(EXCERCICE="PA",AO14/$CC14,IF(EXCERCICE="LB1",AO14/$CF14,AO14/$CK14))),0,IF(EXCERCICE="PA",AO14/$CC14,IF(EXCERCICE="LB1",AO14/$CF14,AO14/$CK14))))</f>
        <v>#REF!</v>
      </c>
      <c r="AU14" s="221"/>
      <c r="AV14" s="11"/>
      <c r="AW14" s="11"/>
      <c r="AX14" s="243">
        <f>SUMIF(INDICATEURS,$C14,SAISIEPREVM2)</f>
        <v>0</v>
      </c>
      <c r="AY14" s="95" t="e">
        <f>IF(mois+2=13,AX14,IF(mois+2&gt;14,AX14,$AO14+AX14))</f>
        <v>#REF!</v>
      </c>
      <c r="AZ14" s="292"/>
      <c r="BA14" s="17" t="e">
        <f>IF(mois+2&gt;12,0,IF(mois=12,IF(EXCERCICE="PA",AY14-($CC14/12),IF(EXCERCICE="LB1",AY14-($CF14/12),AY14-($CK14/12))),IF(EXCERCICE="PA",AY14-($CC14/12*(mois+2)),IF(EXCERCICE="LB1",AY14-($CF14/12*(mois+2)),AY14-($CK14/12*(mois+2))))))</f>
        <v>#REF!</v>
      </c>
      <c r="BB14" s="179"/>
      <c r="BC14" s="212" t="e">
        <f>IF(mois+2&gt;12,0,IF(ISERROR(IF(EXCERCICE="PA",AY14/$CC14,IF(EXCERCICE="LB1",AY14/$CF14,AY14/$CK14))),0,IF(EXCERCICE="PA",AY14/$CC14,IF(EXCERCICE="LB1",AY14/$CF14,AY14/$CK14))))</f>
        <v>#REF!</v>
      </c>
      <c r="BD14" s="221"/>
      <c r="BE14" s="58"/>
      <c r="BF14" s="11"/>
      <c r="BG14" s="243">
        <f>SUMIF(INDICATEURS,$C14,SAISIEPREVM3)</f>
        <v>0</v>
      </c>
      <c r="BH14" s="95" t="e">
        <f>IF(mois+3=13,BG14,IF(mois+3&gt;15,BG14,+$AY14+BG14))</f>
        <v>#REF!</v>
      </c>
      <c r="BI14" s="17" t="e">
        <f>IF(mois+3&gt;12,0,IF(mois=12,IF(EXCERCICE="PA",BH14-($CC14/12),IF(EXCERCICE="LB1",BH14-($CF14/12),BH14-($CK14/12))),IF(EXCERCICE="PA",BH14-($CC14/12*(mois+3)),IF(EXCERCICE="LB1",BH14-($CF14/12*(mois+3)),BH14-($CK14/12*(mois+3))))))</f>
        <v>#REF!</v>
      </c>
      <c r="BJ14" s="17"/>
      <c r="BK14" s="212" t="e">
        <f>IF(mois+3&gt;12,0,IF(ISERROR(IF(EXCERCICE="PA",BH14/$CC14,IF(EXCERCICE="LB1",BH14/$CF14,BH14/$CK14))),0,IF(EXCERCICE="PA",BH14/$CC14,IF(EXCERCICE="LB1",BH14/$CF14,BH14/$CK14))))</f>
        <v>#REF!</v>
      </c>
      <c r="BL14" s="221"/>
      <c r="BM14" s="2"/>
      <c r="BN14" s="123" t="e">
        <f>IF(mois&gt;=12,IF(EXCERCICE="PA",CC14-AE14,IF(EXCERCICE="LB1",CF14-AE14,IF(EXCERCICE="LB2",$CK14-AE14))),
IF(mois+1&lt;=13,IF(EXCERCICE="PA",CC14-AO14,IF(EXCERCICE="LB1",CF14-AO14,IF(EXCERCICE="LB2",$CK14-AO14))),
IF(mois+2&lt;=14,IF(EXCERCICE="PA",CC14-AY14,IF(EXCERCICE="LB1",CF14-AY14,IF(EXCERCICE="LB2",$CK14-AY14))),
IF(mois+3&lt;=15,IF(EXCERCICE="PA",CC14-BH14,IF(EXCERCICE="LB1",CF14-BH14,IF(EXCERCICE="LB2",$CK14-BH14))),0))))</f>
        <v>#REF!</v>
      </c>
      <c r="BO14" s="123" t="e">
        <f>IF(BN14&lt;0,0,BN14/(12-mois))</f>
        <v>#REF!</v>
      </c>
      <c r="BP14" s="2"/>
      <c r="BQ14" s="173"/>
      <c r="BR14" s="173"/>
      <c r="BS14" s="173"/>
      <c r="BT14" s="173"/>
      <c r="BU14" s="173"/>
      <c r="BV14" s="173"/>
      <c r="BW14" s="173"/>
      <c r="BX14" s="173"/>
      <c r="BY14" s="173"/>
      <c r="BZ14" s="173"/>
      <c r="CA14" s="173"/>
      <c r="CB14" s="173"/>
      <c r="CC14" s="95">
        <f>IF(ISERROR(VLOOKUP($B$2,VALIDATION_PA,9,FALSE)),0,VLOOKUP($B$2,VALIDATION_PA,9,FALSE))/1000</f>
        <v>0</v>
      </c>
      <c r="CD14" s="203">
        <f>IF(ISERROR(AE14/$CC14),0,AE14/$CC14)</f>
        <v>0</v>
      </c>
      <c r="CE14" s="11"/>
      <c r="CF14" s="95"/>
      <c r="CG14" s="125">
        <f>IF(ISERROR($CF14/$BH14),0,$CF14/$BH14)</f>
        <v>0</v>
      </c>
      <c r="CH14" s="59">
        <f t="shared" si="22"/>
        <v>0</v>
      </c>
      <c r="CI14" s="58"/>
      <c r="CJ14" s="11"/>
      <c r="CK14" s="95"/>
      <c r="CL14" s="125">
        <f>IF(ISERROR($CK14/$BH14),0,$CK14/$BH14)</f>
        <v>0</v>
      </c>
      <c r="CM14" s="17">
        <f t="shared" si="23"/>
        <v>0</v>
      </c>
      <c r="CN14" s="58"/>
    </row>
    <row r="15" spans="1:92" x14ac:dyDescent="0.2">
      <c r="B15" s="56"/>
      <c r="C15" s="142" t="s">
        <v>63</v>
      </c>
      <c r="D15" s="2"/>
      <c r="E15" s="69" t="str">
        <f>IF(E13=0,"-",E14/E13)</f>
        <v>-</v>
      </c>
      <c r="F15" s="9" t="str">
        <f t="shared" ref="F15:Q15" si="26">IF(F13=0,"-",F14/F13)</f>
        <v>-</v>
      </c>
      <c r="G15" s="9" t="str">
        <f t="shared" si="26"/>
        <v>-</v>
      </c>
      <c r="H15" s="9" t="str">
        <f t="shared" si="26"/>
        <v>-</v>
      </c>
      <c r="I15" s="9" t="str">
        <f t="shared" si="26"/>
        <v>-</v>
      </c>
      <c r="J15" s="9" t="str">
        <f t="shared" si="26"/>
        <v>-</v>
      </c>
      <c r="K15" s="9" t="str">
        <f t="shared" si="26"/>
        <v>-</v>
      </c>
      <c r="L15" s="9" t="str">
        <f t="shared" si="26"/>
        <v>-</v>
      </c>
      <c r="M15" s="9" t="str">
        <f t="shared" si="26"/>
        <v>-</v>
      </c>
      <c r="N15" s="9" t="str">
        <f t="shared" si="26"/>
        <v>-</v>
      </c>
      <c r="O15" s="9" t="str">
        <f t="shared" si="26"/>
        <v>-</v>
      </c>
      <c r="P15" s="9" t="str">
        <f t="shared" si="26"/>
        <v>-</v>
      </c>
      <c r="Q15" s="188" t="str">
        <f t="shared" si="26"/>
        <v>-</v>
      </c>
      <c r="R15" s="2"/>
      <c r="S15" s="69" t="str">
        <f>IF(S13=0,"-",S14/S13)</f>
        <v>-</v>
      </c>
      <c r="T15" s="9" t="str">
        <f t="shared" ref="T15:AD15" si="27">IF(T13=0,"-",T14/T13)</f>
        <v>-</v>
      </c>
      <c r="U15" s="9" t="str">
        <f t="shared" si="27"/>
        <v>-</v>
      </c>
      <c r="V15" s="9" t="str">
        <f t="shared" si="27"/>
        <v>-</v>
      </c>
      <c r="W15" s="9" t="str">
        <f t="shared" si="27"/>
        <v>-</v>
      </c>
      <c r="X15" s="9" t="str">
        <f t="shared" si="27"/>
        <v>-</v>
      </c>
      <c r="Y15" s="9" t="str">
        <f t="shared" si="27"/>
        <v>-</v>
      </c>
      <c r="Z15" s="9" t="str">
        <f t="shared" si="27"/>
        <v>-</v>
      </c>
      <c r="AA15" s="9" t="str">
        <f t="shared" si="27"/>
        <v>-</v>
      </c>
      <c r="AB15" s="9" t="str">
        <f t="shared" si="27"/>
        <v>-</v>
      </c>
      <c r="AC15" s="9" t="str">
        <f t="shared" si="27"/>
        <v>-</v>
      </c>
      <c r="AD15" s="9" t="str">
        <f t="shared" si="27"/>
        <v>-</v>
      </c>
      <c r="AE15" s="69" t="str">
        <f>IF(AE13=0,"-",AE14/AE13)</f>
        <v>-</v>
      </c>
      <c r="AF15" s="295" t="str">
        <f t="shared" ref="AF15" si="28">IF(AF13=0,"-",AF14/AF13)</f>
        <v>-</v>
      </c>
      <c r="AG15" s="105" t="str">
        <f t="shared" ref="AG15:AH15" si="29">IF(AG13=0,"-",AG14/AG13)</f>
        <v>-</v>
      </c>
      <c r="AH15" s="105" t="e">
        <f t="shared" si="29"/>
        <v>#REF!</v>
      </c>
      <c r="AI15" s="105"/>
      <c r="AJ15" s="212"/>
      <c r="AK15" s="212"/>
      <c r="AL15" s="58"/>
      <c r="AM15" s="11"/>
      <c r="AN15" s="244" t="str">
        <f t="shared" ref="AN15" si="30">IF(AN13=0,"-",AN14/AN13)</f>
        <v>-</v>
      </c>
      <c r="AO15" s="69" t="e">
        <f t="shared" ref="AO15:AR15" si="31">IF(AO13=0,"-",AO14/AO13)</f>
        <v>#REF!</v>
      </c>
      <c r="AP15" s="295" t="str">
        <f t="shared" si="31"/>
        <v>-</v>
      </c>
      <c r="AQ15" s="105" t="e">
        <f t="shared" si="31"/>
        <v>#REF!</v>
      </c>
      <c r="AR15" s="9" t="e">
        <f t="shared" si="31"/>
        <v>#REF!</v>
      </c>
      <c r="AS15" s="105"/>
      <c r="AT15" s="212"/>
      <c r="AU15" s="221"/>
      <c r="AV15" s="11"/>
      <c r="AW15" s="11"/>
      <c r="AX15" s="244" t="str">
        <f t="shared" ref="AX15" si="32">IF(AX13=0,"-",AX14/AX13)</f>
        <v>-</v>
      </c>
      <c r="AY15" s="69" t="e">
        <f t="shared" ref="AY15:BA15" si="33">IF(AY13=0,"-",AY14/AY13)</f>
        <v>#REF!</v>
      </c>
      <c r="AZ15" s="295" t="str">
        <f t="shared" si="33"/>
        <v>-</v>
      </c>
      <c r="BA15" s="9" t="e">
        <f t="shared" si="33"/>
        <v>#REF!</v>
      </c>
      <c r="BB15" s="105"/>
      <c r="BC15" s="212"/>
      <c r="BD15" s="221"/>
      <c r="BE15" s="58"/>
      <c r="BF15" s="11"/>
      <c r="BG15" s="244" t="str">
        <f t="shared" ref="BG15" si="34">IF(BG13=0,"-",BG14/BG13)</f>
        <v>-</v>
      </c>
      <c r="BH15" s="69" t="e">
        <f t="shared" ref="BH15:BI15" si="35">IF(BH13=0,"-",BH14/BH13)</f>
        <v>#REF!</v>
      </c>
      <c r="BI15" s="9" t="e">
        <f t="shared" si="35"/>
        <v>#REF!</v>
      </c>
      <c r="BJ15" s="9"/>
      <c r="BK15" s="212"/>
      <c r="BL15" s="221"/>
      <c r="BM15" s="2"/>
      <c r="BN15" s="232"/>
      <c r="BO15" s="232"/>
      <c r="BP15" s="2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69" t="str">
        <f>IF(CC13=0,"-",CC14/CC13)</f>
        <v>-</v>
      </c>
      <c r="CD15" s="203"/>
      <c r="CE15" s="11"/>
      <c r="CF15" s="69" t="str">
        <f t="shared" ref="CF15" si="36">IF(CF13=0,"-",CF14/CF13)</f>
        <v>-</v>
      </c>
      <c r="CG15" s="135"/>
      <c r="CH15" s="149" t="str">
        <f>IF(CH13=0,"-",CH14/CH13)</f>
        <v>-</v>
      </c>
      <c r="CI15" s="58"/>
      <c r="CJ15" s="11"/>
      <c r="CK15" s="69" t="str">
        <f t="shared" ref="CK15" si="37">IF(CK13=0,"-",CK14/CK13)</f>
        <v>-</v>
      </c>
      <c r="CL15" s="135"/>
      <c r="CM15" s="10" t="str">
        <f>IF(CM13=0,"-",CM14/CM13)</f>
        <v>-</v>
      </c>
      <c r="CN15" s="58"/>
    </row>
    <row r="16" spans="1:92" ht="4.5" customHeight="1" x14ac:dyDescent="0.2">
      <c r="B16" s="56"/>
      <c r="C16" s="70"/>
      <c r="D16" s="2"/>
      <c r="E16" s="58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89"/>
      <c r="R16" s="2"/>
      <c r="S16" s="58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58"/>
      <c r="AF16" s="296"/>
      <c r="AG16" s="106"/>
      <c r="AH16" s="106"/>
      <c r="AI16" s="106"/>
      <c r="AJ16" s="198"/>
      <c r="AK16" s="198"/>
      <c r="AL16" s="58"/>
      <c r="AM16" s="11"/>
      <c r="AN16" s="245"/>
      <c r="AO16" s="58"/>
      <c r="AP16" s="296"/>
      <c r="AQ16" s="106"/>
      <c r="AR16" s="71"/>
      <c r="AS16" s="106"/>
      <c r="AT16" s="198"/>
      <c r="AU16" s="225"/>
      <c r="AV16" s="11"/>
      <c r="AW16" s="11"/>
      <c r="AX16" s="245"/>
      <c r="AY16" s="58"/>
      <c r="AZ16" s="296"/>
      <c r="BA16" s="71"/>
      <c r="BB16" s="106"/>
      <c r="BC16" s="198"/>
      <c r="BD16" s="225"/>
      <c r="BE16" s="58"/>
      <c r="BF16" s="11"/>
      <c r="BG16" s="245"/>
      <c r="BH16" s="58"/>
      <c r="BI16" s="11"/>
      <c r="BJ16" s="11"/>
      <c r="BK16" s="198"/>
      <c r="BL16" s="225"/>
      <c r="BM16" s="2"/>
      <c r="BN16" s="233"/>
      <c r="BO16" s="233"/>
      <c r="BP16" s="2"/>
      <c r="BQ16" s="173"/>
      <c r="BR16" s="173"/>
      <c r="BS16" s="173"/>
      <c r="BT16" s="173"/>
      <c r="BU16" s="173"/>
      <c r="BV16" s="173"/>
      <c r="BW16" s="173"/>
      <c r="BX16" s="173"/>
      <c r="BY16" s="173"/>
      <c r="BZ16" s="173"/>
      <c r="CA16" s="173"/>
      <c r="CB16" s="173"/>
      <c r="CC16" s="133"/>
      <c r="CD16" s="208"/>
      <c r="CE16" s="11"/>
      <c r="CF16" s="133"/>
      <c r="CG16" s="125"/>
      <c r="CH16" s="70"/>
      <c r="CI16" s="58"/>
      <c r="CJ16" s="11"/>
      <c r="CK16" s="133"/>
      <c r="CL16" s="125"/>
      <c r="CM16" s="71"/>
      <c r="CN16" s="58"/>
    </row>
    <row r="17" spans="1:92" outlineLevel="1" x14ac:dyDescent="0.2">
      <c r="A17" s="40">
        <v>12</v>
      </c>
      <c r="B17" s="72"/>
      <c r="C17" s="73" t="s">
        <v>9</v>
      </c>
      <c r="D17" s="74"/>
      <c r="E17" s="97">
        <f t="shared" ref="E17:P17" si="38">IF(ISERROR(VLOOKUP(CONCATENATE($B$2,E$5),TBCHISTORIQUE,12,FALSE)/1000),0,VLOOKUP(CONCATENATE($B$2,E$5),TBCHISTORIQUE,12,FALSE)/1000)</f>
        <v>0</v>
      </c>
      <c r="F17" s="171">
        <f t="shared" si="38"/>
        <v>0</v>
      </c>
      <c r="G17" s="171">
        <f t="shared" si="38"/>
        <v>0</v>
      </c>
      <c r="H17" s="171">
        <f t="shared" si="38"/>
        <v>0</v>
      </c>
      <c r="I17" s="171">
        <f t="shared" si="38"/>
        <v>0</v>
      </c>
      <c r="J17" s="171">
        <f t="shared" si="38"/>
        <v>0</v>
      </c>
      <c r="K17" s="171">
        <f t="shared" si="38"/>
        <v>0</v>
      </c>
      <c r="L17" s="171">
        <f t="shared" si="38"/>
        <v>0</v>
      </c>
      <c r="M17" s="171">
        <f t="shared" si="38"/>
        <v>0</v>
      </c>
      <c r="N17" s="171">
        <f t="shared" si="38"/>
        <v>0</v>
      </c>
      <c r="O17" s="171">
        <f t="shared" si="38"/>
        <v>0</v>
      </c>
      <c r="P17" s="172">
        <f t="shared" si="38"/>
        <v>0</v>
      </c>
      <c r="Q17" s="190">
        <f>SUMIF($E$5:$P$5,"&lt;="&amp;mois,E17:P17)</f>
        <v>0</v>
      </c>
      <c r="R17" s="74"/>
      <c r="S17" s="97">
        <f t="shared" ref="S17:AD17" si="39">IF(ISERROR(VLOOKUP(CONCATENATE($B$2,S$5),TBCA,12,FALSE)/1000),0,VLOOKUP(CONCATENATE($B$2,S$5),TBCA,12,FALSE)/1000)</f>
        <v>0</v>
      </c>
      <c r="T17" s="171">
        <f t="shared" si="39"/>
        <v>0</v>
      </c>
      <c r="U17" s="171">
        <f t="shared" si="39"/>
        <v>0</v>
      </c>
      <c r="V17" s="171">
        <f t="shared" si="39"/>
        <v>0</v>
      </c>
      <c r="W17" s="171">
        <f t="shared" si="39"/>
        <v>0</v>
      </c>
      <c r="X17" s="171">
        <f t="shared" si="39"/>
        <v>0</v>
      </c>
      <c r="Y17" s="171">
        <f t="shared" si="39"/>
        <v>0</v>
      </c>
      <c r="Z17" s="171">
        <f t="shared" si="39"/>
        <v>0</v>
      </c>
      <c r="AA17" s="171">
        <f t="shared" si="39"/>
        <v>0</v>
      </c>
      <c r="AB17" s="171">
        <f t="shared" si="39"/>
        <v>0</v>
      </c>
      <c r="AC17" s="171">
        <f t="shared" si="39"/>
        <v>0</v>
      </c>
      <c r="AD17" s="172">
        <f t="shared" si="39"/>
        <v>0</v>
      </c>
      <c r="AE17" s="97">
        <f>SUMIF($S$5:$AD$5,"&lt;="&amp;mois,S17:AD17)</f>
        <v>0</v>
      </c>
      <c r="AF17" s="292"/>
      <c r="AG17" s="107">
        <f>AE17-AF17</f>
        <v>0</v>
      </c>
      <c r="AH17" s="107" t="e">
        <f>IF(EXCERCICE="PA",AE17-($CC17/12*(mois)),IF(EXCERCICE="LB1",AE17-($CF17/12*(mois)),AE17-($CK17/12*(mois))))</f>
        <v>#REF!</v>
      </c>
      <c r="AI17" s="107"/>
      <c r="AJ17" s="215">
        <f>IF(ISERROR(IF(EXCERCICE="PA",AE17/$CC17,IF(EXCERCICE="LB1",AE17/$CF17,AE17/$CK17))),0,IF(EXCERCICE="PA",AE17/$CC17,IF(EXCERCICE="LB1",AE17/$CF17,AE17/$CK17)))</f>
        <v>0</v>
      </c>
      <c r="AK17" s="215"/>
      <c r="AL17" s="75"/>
      <c r="AM17" s="77"/>
      <c r="AN17" s="246">
        <f>SUMIF(INDICATEURS,$C17,SAISIEPREVM1)</f>
        <v>0</v>
      </c>
      <c r="AO17" s="97" t="e">
        <f>IF(mois+1&gt;12,AN17,+$AE17+AN17)</f>
        <v>#REF!</v>
      </c>
      <c r="AP17" s="292"/>
      <c r="AQ17" s="107" t="e">
        <f>AO17-AP17</f>
        <v>#REF!</v>
      </c>
      <c r="AR17" s="78" t="e">
        <f>IF(mois+1&gt;12,0,IF(mois=12,IF(EXCERCICE="PA",AO17-($CC17/12),IF(EXCERCICE="LB1",AO17-($CF17/12),AO17-($CK17/12))),IF(EXCERCICE="PA",AO17-($CC17/12*(mois+1)),IF(EXCERCICE="LB1",AO17-($CF17/12*(mois+1)),AO17-($CK17/12*(mois+1))))))</f>
        <v>#REF!</v>
      </c>
      <c r="AS17" s="180"/>
      <c r="AT17" s="215" t="e">
        <f>IF(mois+1&gt;12,0,IF(ISERROR(IF(EXCERCICE="PA",AO17/$CC17,IF(EXCERCICE="LB1",AO17/$CF17,AO17/$CK17))),0,IF(EXCERCICE="PA",AO17/$CC17,IF(EXCERCICE="LB1",AO17/$CF17,AO17/$CK17))))</f>
        <v>#REF!</v>
      </c>
      <c r="AU17" s="226"/>
      <c r="AV17" s="11"/>
      <c r="AW17" s="77"/>
      <c r="AX17" s="246">
        <f>SUMIF(INDICATEURS,$C17,SAISIEPREVM2)</f>
        <v>0</v>
      </c>
      <c r="AY17" s="97" t="e">
        <f>IF(mois+2=13,AX17,IF(mois+2&gt;14,AX17,$AO17+AX17))</f>
        <v>#REF!</v>
      </c>
      <c r="AZ17" s="292"/>
      <c r="BA17" s="78" t="e">
        <f>IF(mois+2&gt;12,0,IF(mois=12,IF(EXCERCICE="PA",AY17-($CC17/12),IF(EXCERCICE="LB1",AY17-($CF17/12),AY17-($CK17/12))),IF(EXCERCICE="PA",AY17-($CC17/12*(mois+2)),IF(EXCERCICE="LB1",AY17-($CF17/12*(mois+2)),AY17-($CK17/12*(mois+2))))))</f>
        <v>#REF!</v>
      </c>
      <c r="BB17" s="180"/>
      <c r="BC17" s="215" t="e">
        <f>IF(mois+2&gt;12,0,IF(ISERROR(IF(EXCERCICE="PA",AY17/$CC17,IF(EXCERCICE="LB1",AY17/$CF17,AY17/$CK17))),0,IF(EXCERCICE="PA",AY17/$CC17,IF(EXCERCICE="LB1",AY17/$CF17,AY17/$CK17))))</f>
        <v>#REF!</v>
      </c>
      <c r="BD17" s="226"/>
      <c r="BE17" s="75"/>
      <c r="BF17" s="77"/>
      <c r="BG17" s="246">
        <f>SUMIF(INDICATEURS,$C17,SAISIEPREVM3)</f>
        <v>0</v>
      </c>
      <c r="BH17" s="97" t="e">
        <f>IF(mois+3=13,BG17,IF(mois+3&gt;15,BG17,+$AY17+BG17))</f>
        <v>#REF!</v>
      </c>
      <c r="BI17" s="78" t="e">
        <f>IF(mois+3&gt;12,0,IF(mois=12,IF(EXCERCICE="PA",BH17-($CC17/12),IF(EXCERCICE="LB1",BH17-($CF17/12),BH17-($CK17/12))),IF(EXCERCICE="PA",BH17-($CC17/12*(mois+3)),IF(EXCERCICE="LB1",BH17-($CF17/12*(mois+3)),BH17-($CK17/12*(mois+3))))))</f>
        <v>#REF!</v>
      </c>
      <c r="BJ17" s="78"/>
      <c r="BK17" s="215" t="e">
        <f>IF(mois+3&gt;12,0,IF(ISERROR(IF(EXCERCICE="PA",BH17/$CC17,IF(EXCERCICE="LB1",BH17/$CF17,BH17/$CK17))),0,IF(EXCERCICE="PA",BH17/$CC17,IF(EXCERCICE="LB1",BH17/$CF17,BH17/$CK17))))</f>
        <v>#REF!</v>
      </c>
      <c r="BL17" s="226"/>
      <c r="BM17" s="2"/>
      <c r="BN17" s="123" t="e">
        <f>IF(mois&gt;=12,IF(EXCERCICE="PA",CC17-AE17,IF(EXCERCICE="LB1",CF17-AE17,IF(EXCERCICE="LB2",$CK17-AE17))),
IF(mois+1&lt;=13,IF(EXCERCICE="PA",CC17-AO17,IF(EXCERCICE="LB1",CF17-AO17,IF(EXCERCICE="LB2",$CK17-AO17))),
IF(mois+2&lt;=14,IF(EXCERCICE="PA",CC17-AY17,IF(EXCERCICE="LB1",CF17-AY17,IF(EXCERCICE="LB2",$CK17-AY17))),
IF(mois+3&lt;=15,IF(EXCERCICE="PA",CC17-BH17,IF(EXCERCICE="LB1",CF17-BH17,IF(EXCERCICE="LB2",$CK17-BH17))),0))))</f>
        <v>#REF!</v>
      </c>
      <c r="BO17" s="234" t="e">
        <f>IF(BN17&lt;0,0,BN17/(12-mois))</f>
        <v>#REF!</v>
      </c>
      <c r="BP17" s="2"/>
      <c r="BQ17" s="173"/>
      <c r="BR17" s="173"/>
      <c r="BS17" s="173"/>
      <c r="BT17" s="173"/>
      <c r="BU17" s="173"/>
      <c r="BV17" s="173"/>
      <c r="BW17" s="173"/>
      <c r="BX17" s="173"/>
      <c r="BY17" s="173"/>
      <c r="BZ17" s="173"/>
      <c r="CA17" s="173"/>
      <c r="CB17" s="173"/>
      <c r="CC17" s="97">
        <f>IF(ISERROR(VLOOKUP($B$2,VALIDATION_PA,10,FALSE)),0,VLOOKUP($B$2,VALIDATION_PA,10,FALSE))/1000</f>
        <v>0</v>
      </c>
      <c r="CD17" s="209">
        <f>IF(ISERROR(AE17/$CC17),0,AE17/$CC17)</f>
        <v>0</v>
      </c>
      <c r="CE17" s="77"/>
      <c r="CF17" s="97"/>
      <c r="CG17" s="136">
        <f>IF(ISERROR($CF17/$BH17),0,$CF17/$BH17)</f>
        <v>0</v>
      </c>
      <c r="CH17" s="76">
        <f t="shared" ref="CH17:CH19" si="40">CF17-CC17</f>
        <v>0</v>
      </c>
      <c r="CI17" s="75"/>
      <c r="CJ17" s="77"/>
      <c r="CK17" s="97"/>
      <c r="CL17" s="136">
        <f>IF(ISERROR($CK17/$BH17),0,$CK17/$BH17)</f>
        <v>0</v>
      </c>
      <c r="CM17" s="78">
        <f t="shared" ref="CM17:CM19" si="41">CK17-$CC17</f>
        <v>0</v>
      </c>
      <c r="CN17" s="75"/>
    </row>
    <row r="18" spans="1:92" outlineLevel="1" x14ac:dyDescent="0.2">
      <c r="A18" s="40">
        <v>13</v>
      </c>
      <c r="B18" s="72"/>
      <c r="C18" s="73" t="s">
        <v>10</v>
      </c>
      <c r="D18" s="74"/>
      <c r="E18" s="97">
        <f t="shared" ref="E18:P18" si="42">IF(ISERROR(VLOOKUP(CONCATENATE($B$2,E$5),TBCHISTORIQUE,13,FALSE)/1000),0,VLOOKUP(CONCATENATE($B$2,E$5),TBCHISTORIQUE,13,FALSE)/1000)</f>
        <v>0</v>
      </c>
      <c r="F18" s="171">
        <f t="shared" si="42"/>
        <v>0</v>
      </c>
      <c r="G18" s="171">
        <f t="shared" si="42"/>
        <v>0</v>
      </c>
      <c r="H18" s="171">
        <f t="shared" si="42"/>
        <v>0</v>
      </c>
      <c r="I18" s="171">
        <f t="shared" si="42"/>
        <v>0</v>
      </c>
      <c r="J18" s="171">
        <f t="shared" si="42"/>
        <v>0</v>
      </c>
      <c r="K18" s="171">
        <f t="shared" si="42"/>
        <v>0</v>
      </c>
      <c r="L18" s="171">
        <f t="shared" si="42"/>
        <v>0</v>
      </c>
      <c r="M18" s="171">
        <f t="shared" si="42"/>
        <v>0</v>
      </c>
      <c r="N18" s="171">
        <f t="shared" si="42"/>
        <v>0</v>
      </c>
      <c r="O18" s="171">
        <f t="shared" si="42"/>
        <v>0</v>
      </c>
      <c r="P18" s="172">
        <f t="shared" si="42"/>
        <v>0</v>
      </c>
      <c r="Q18" s="190">
        <f>SUMIF($E$5:$P$5,"&lt;="&amp;mois,E18:P18)</f>
        <v>0</v>
      </c>
      <c r="R18" s="74"/>
      <c r="S18" s="97">
        <f t="shared" ref="S18:AD18" si="43">IF(ISERROR(VLOOKUP(CONCATENATE($B$2,S$5),TBCA,13,FALSE)/1000),0,VLOOKUP(CONCATENATE($B$2,S$5),TBCA,13,FALSE)/1000)</f>
        <v>0</v>
      </c>
      <c r="T18" s="171">
        <f t="shared" si="43"/>
        <v>0</v>
      </c>
      <c r="U18" s="171">
        <f t="shared" si="43"/>
        <v>0</v>
      </c>
      <c r="V18" s="171">
        <f t="shared" si="43"/>
        <v>0</v>
      </c>
      <c r="W18" s="171">
        <f t="shared" si="43"/>
        <v>0</v>
      </c>
      <c r="X18" s="171">
        <f t="shared" si="43"/>
        <v>0</v>
      </c>
      <c r="Y18" s="171">
        <f t="shared" si="43"/>
        <v>0</v>
      </c>
      <c r="Z18" s="171">
        <f t="shared" si="43"/>
        <v>0</v>
      </c>
      <c r="AA18" s="171">
        <f t="shared" si="43"/>
        <v>0</v>
      </c>
      <c r="AB18" s="171">
        <f t="shared" si="43"/>
        <v>0</v>
      </c>
      <c r="AC18" s="171">
        <f t="shared" si="43"/>
        <v>0</v>
      </c>
      <c r="AD18" s="172">
        <f t="shared" si="43"/>
        <v>0</v>
      </c>
      <c r="AE18" s="97">
        <f>SUMIF($S$5:$AD$5,"&lt;="&amp;mois,S18:AD18)</f>
        <v>0</v>
      </c>
      <c r="AF18" s="292"/>
      <c r="AG18" s="107">
        <f>AE18-AF18</f>
        <v>0</v>
      </c>
      <c r="AH18" s="107" t="e">
        <f>IF(EXCERCICE="PA",AE18-($CC18/12*(mois)),IF(EXCERCICE="LB1",AE18-($CF18/12*(mois)),AE18-($CK18/12*(mois))))</f>
        <v>#REF!</v>
      </c>
      <c r="AI18" s="107"/>
      <c r="AJ18" s="215">
        <f>IF(ISERROR(IF(EXCERCICE="PA",AE18/$CC18,IF(EXCERCICE="LB1",AE18/$CF18,AE18/$CK18))),0,IF(EXCERCICE="PA",AE18/$CC18,IF(EXCERCICE="LB1",AE18/$CF18,AE18/$CK18)))</f>
        <v>0</v>
      </c>
      <c r="AK18" s="215"/>
      <c r="AL18" s="75"/>
      <c r="AM18" s="77"/>
      <c r="AN18" s="246">
        <f>SUMIF(INDICATEURS,$C18,SAISIEPREVM1)</f>
        <v>0</v>
      </c>
      <c r="AO18" s="97" t="e">
        <f>IF(mois+1&gt;12,AN18,+$AE18+AN18)</f>
        <v>#REF!</v>
      </c>
      <c r="AP18" s="292"/>
      <c r="AQ18" s="107" t="e">
        <f>AO18-AP18</f>
        <v>#REF!</v>
      </c>
      <c r="AR18" s="78" t="e">
        <f>IF(mois+1&gt;12,0,IF(mois=12,IF(EXCERCICE="PA",AO18-($CC18/12),IF(EXCERCICE="LB1",AO18-($CF18/12),AO18-($CK18/12))),IF(EXCERCICE="PA",AO18-($CC18/12*(mois+1)),IF(EXCERCICE="LB1",AO18-($CF18/12*(mois+1)),AO18-($CK18/12*(mois+1))))))</f>
        <v>#REF!</v>
      </c>
      <c r="AS18" s="180"/>
      <c r="AT18" s="215" t="e">
        <f>IF(mois+1&gt;12,0,IF(ISERROR(IF(EXCERCICE="PA",AO18/$CC18,IF(EXCERCICE="LB1",AO18/$CF18,AO18/$CK18))),0,IF(EXCERCICE="PA",AO18/$CC18,IF(EXCERCICE="LB1",AO18/$CF18,AO18/$CK18))))</f>
        <v>#REF!</v>
      </c>
      <c r="AU18" s="226"/>
      <c r="AV18" s="11"/>
      <c r="AW18" s="77"/>
      <c r="AX18" s="246">
        <f>SUMIF(INDICATEURS,$C18,SAISIEPREVM2)</f>
        <v>0</v>
      </c>
      <c r="AY18" s="97" t="e">
        <f>IF(mois+2=13,AX18,IF(mois+2&gt;14,AX18,$AO18+AX18))</f>
        <v>#REF!</v>
      </c>
      <c r="AZ18" s="292"/>
      <c r="BA18" s="78" t="e">
        <f>IF(mois+2&gt;12,0,IF(mois=12,IF(EXCERCICE="PA",AY18-($CC18/12),IF(EXCERCICE="LB1",AY18-($CF18/12),AY18-($CK18/12))),IF(EXCERCICE="PA",AY18-($CC18/12*(mois+2)),IF(EXCERCICE="LB1",AY18-($CF18/12*(mois+2)),AY18-($CK18/12*(mois+2))))))</f>
        <v>#REF!</v>
      </c>
      <c r="BB18" s="180"/>
      <c r="BC18" s="215" t="e">
        <f>IF(mois+2&gt;12,0,IF(ISERROR(IF(EXCERCICE="PA",AY18/$CC18,IF(EXCERCICE="LB1",AY18/$CF18,AY18/$CK18))),0,IF(EXCERCICE="PA",AY18/$CC18,IF(EXCERCICE="LB1",AY18/$CF18,AY18/$CK18))))</f>
        <v>#REF!</v>
      </c>
      <c r="BD18" s="226"/>
      <c r="BE18" s="75"/>
      <c r="BF18" s="77"/>
      <c r="BG18" s="246">
        <f>SUMIF(INDICATEURS,$C18,SAISIEPREVM3)</f>
        <v>0</v>
      </c>
      <c r="BH18" s="97" t="e">
        <f>IF(mois+3=13,BG18,IF(mois+3&gt;15,BG18,+$AY18+BG18))</f>
        <v>#REF!</v>
      </c>
      <c r="BI18" s="78" t="e">
        <f>IF(mois+3&gt;12,0,IF(mois=12,IF(EXCERCICE="PA",BH18-($CC18/12),IF(EXCERCICE="LB1",BH18-($CF18/12),BH18-($CK18/12))),IF(EXCERCICE="PA",BH18-($CC18/12*(mois+3)),IF(EXCERCICE="LB1",BH18-($CF18/12*(mois+3)),BH18-($CK18/12*(mois+3))))))</f>
        <v>#REF!</v>
      </c>
      <c r="BJ18" s="78"/>
      <c r="BK18" s="215" t="e">
        <f>IF(mois+3&gt;12,0,IF(ISERROR(IF(EXCERCICE="PA",BH18/$CC18,IF(EXCERCICE="LB1",BH18/$CF18,BH18/$CK18))),0,IF(EXCERCICE="PA",BH18/$CC18,IF(EXCERCICE="LB1",BH18/$CF18,BH18/$CK18))))</f>
        <v>#REF!</v>
      </c>
      <c r="BL18" s="226"/>
      <c r="BM18" s="2"/>
      <c r="BN18" s="123" t="e">
        <f>IF(mois&gt;=12,IF(EXCERCICE="PA",CC18-AE18,IF(EXCERCICE="LB1",CF18-AE18,IF(EXCERCICE="LB2",$CK18-AE18))),
IF(mois+1&lt;=13,IF(EXCERCICE="PA",CC18-AO18,IF(EXCERCICE="LB1",CF18-AO18,IF(EXCERCICE="LB2",$CK18-AO18))),
IF(mois+2&lt;=14,IF(EXCERCICE="PA",CC18-AY18,IF(EXCERCICE="LB1",CF18-AY18,IF(EXCERCICE="LB2",$CK18-AY18))),
IF(mois+3&lt;=15,IF(EXCERCICE="PA",CC18-BH18,IF(EXCERCICE="LB1",CF18-BH18,IF(EXCERCICE="LB2",$CK18-BH18))),0))))</f>
        <v>#REF!</v>
      </c>
      <c r="BO18" s="234" t="e">
        <f>IF(BN18&lt;0,0,BN18/(12-mois))</f>
        <v>#REF!</v>
      </c>
      <c r="BP18" s="2"/>
      <c r="BQ18" s="173"/>
      <c r="BR18" s="173"/>
      <c r="BS18" s="173"/>
      <c r="BT18" s="173"/>
      <c r="BU18" s="173"/>
      <c r="BV18" s="173"/>
      <c r="BW18" s="173"/>
      <c r="BX18" s="173"/>
      <c r="BY18" s="173"/>
      <c r="BZ18" s="173"/>
      <c r="CA18" s="173"/>
      <c r="CB18" s="173"/>
      <c r="CC18" s="97">
        <f>IF(ISERROR(VLOOKUP($B$2,VALIDATION_PA,11,FALSE)),0,VLOOKUP($B$2,VALIDATION_PA,11,FALSE))/1000</f>
        <v>0</v>
      </c>
      <c r="CD18" s="209">
        <f>IF(ISERROR(AE18/$CC18),0,AE18/$CC18)</f>
        <v>0</v>
      </c>
      <c r="CE18" s="77"/>
      <c r="CF18" s="97"/>
      <c r="CG18" s="136">
        <f>IF(ISERROR($CF18/$BH18),0,$CF18/$BH18)</f>
        <v>0</v>
      </c>
      <c r="CH18" s="76">
        <f t="shared" si="40"/>
        <v>0</v>
      </c>
      <c r="CI18" s="75"/>
      <c r="CJ18" s="77"/>
      <c r="CK18" s="97"/>
      <c r="CL18" s="136">
        <f>IF(ISERROR($CK18/$BH18),0,$CK18/$BH18)</f>
        <v>0</v>
      </c>
      <c r="CM18" s="78">
        <f t="shared" si="41"/>
        <v>0</v>
      </c>
      <c r="CN18" s="75"/>
    </row>
    <row r="19" spans="1:92" outlineLevel="1" x14ac:dyDescent="0.2">
      <c r="B19" s="56"/>
      <c r="C19" s="79" t="s">
        <v>64</v>
      </c>
      <c r="D19" s="51"/>
      <c r="E19" s="98">
        <f>E14+SUM(E17:E18)</f>
        <v>0</v>
      </c>
      <c r="F19" s="14">
        <f t="shared" ref="F19:O19" si="44">F14+SUM(F17:F18)</f>
        <v>0</v>
      </c>
      <c r="G19" s="14">
        <f t="shared" si="44"/>
        <v>0</v>
      </c>
      <c r="H19" s="14">
        <f t="shared" si="44"/>
        <v>0</v>
      </c>
      <c r="I19" s="14">
        <f t="shared" si="44"/>
        <v>0</v>
      </c>
      <c r="J19" s="14">
        <f t="shared" si="44"/>
        <v>0</v>
      </c>
      <c r="K19" s="14">
        <f t="shared" si="44"/>
        <v>0</v>
      </c>
      <c r="L19" s="14">
        <f t="shared" si="44"/>
        <v>0</v>
      </c>
      <c r="M19" s="14">
        <f t="shared" si="44"/>
        <v>0</v>
      </c>
      <c r="N19" s="14">
        <f t="shared" si="44"/>
        <v>0</v>
      </c>
      <c r="O19" s="14">
        <f t="shared" si="44"/>
        <v>0</v>
      </c>
      <c r="P19" s="14">
        <f>P14+SUM(P17:P18)</f>
        <v>0</v>
      </c>
      <c r="Q19" s="191">
        <f>Q14+SUM(Q17:Q18)</f>
        <v>0</v>
      </c>
      <c r="R19" s="51"/>
      <c r="S19" s="98">
        <f>S14+SUM(S17:S18)</f>
        <v>0</v>
      </c>
      <c r="T19" s="14">
        <f t="shared" ref="T19:AC19" si="45">T14+SUM(T17:T18)</f>
        <v>0</v>
      </c>
      <c r="U19" s="14">
        <f t="shared" si="45"/>
        <v>0</v>
      </c>
      <c r="V19" s="14">
        <f t="shared" si="45"/>
        <v>0</v>
      </c>
      <c r="W19" s="14">
        <f t="shared" si="45"/>
        <v>0</v>
      </c>
      <c r="X19" s="14">
        <f t="shared" si="45"/>
        <v>0</v>
      </c>
      <c r="Y19" s="14">
        <f t="shared" si="45"/>
        <v>0</v>
      </c>
      <c r="Z19" s="14">
        <f t="shared" si="45"/>
        <v>0</v>
      </c>
      <c r="AA19" s="14">
        <f t="shared" si="45"/>
        <v>0</v>
      </c>
      <c r="AB19" s="14">
        <f t="shared" si="45"/>
        <v>0</v>
      </c>
      <c r="AC19" s="14">
        <f t="shared" si="45"/>
        <v>0</v>
      </c>
      <c r="AD19" s="14">
        <f>AD14+SUM(AD17:AD18)</f>
        <v>0</v>
      </c>
      <c r="AE19" s="98">
        <f>AE14+SUM(AE17:AE18)</f>
        <v>0</v>
      </c>
      <c r="AF19" s="297">
        <f>AF14+SUM(AF17:AF18)</f>
        <v>0</v>
      </c>
      <c r="AG19" s="108">
        <f>AE19-AF19</f>
        <v>0</v>
      </c>
      <c r="AH19" s="108" t="e">
        <f>IF(EXCERCICE="PA",AE19-($CC19/12*(mois)),IF(EXCERCICE="LB1",AE19-($CF19/12*(mois)),AE19-($CK19/12*(mois))))</f>
        <v>#REF!</v>
      </c>
      <c r="AI19" s="108"/>
      <c r="AJ19" s="201">
        <f>IF(ISERROR(IF(EXCERCICE="PA",AE19/$CC19,IF(EXCERCICE="LB1",AE19/$CF19,AE19/$CK19))),0,IF(EXCERCICE="PA",AE19/$CC19,IF(EXCERCICE="LB1",AE19/$CF19,AE19/$CK19)))</f>
        <v>0</v>
      </c>
      <c r="AK19" s="201"/>
      <c r="AL19" s="52"/>
      <c r="AM19" s="54"/>
      <c r="AN19" s="247">
        <f>AN14+SUM(AN17:AN18)</f>
        <v>0</v>
      </c>
      <c r="AO19" s="98" t="e">
        <f>AO14+SUM(AO17:AO18)</f>
        <v>#REF!</v>
      </c>
      <c r="AP19" s="297">
        <f>AP14+SUM(AP17:AP18)</f>
        <v>0</v>
      </c>
      <c r="AQ19" s="108" t="e">
        <f>AO19-AP19</f>
        <v>#REF!</v>
      </c>
      <c r="AR19" s="14" t="e">
        <f>AR14+SUM(AR17:AR18)</f>
        <v>#REF!</v>
      </c>
      <c r="AS19" s="108"/>
      <c r="AT19" s="201" t="e">
        <f>IF(mois+1&gt;12,0,IF(ISERROR(IF(EXCERCICE="PA",AO19/$CC19,IF(EXCERCICE="LB1",AO19/$CF19,AO19/$CK19))),0,IF(EXCERCICE="PA",AO19/$CC19,IF(EXCERCICE="LB1",AO19/$CF19,AO19/$CK19))))</f>
        <v>#REF!</v>
      </c>
      <c r="AU19" s="227"/>
      <c r="AV19" s="11"/>
      <c r="AW19" s="54"/>
      <c r="AX19" s="247">
        <f>AX14+SUM(AX17:AX18)</f>
        <v>0</v>
      </c>
      <c r="AY19" s="98" t="e">
        <f>AY14+SUM(AY17:AY18)</f>
        <v>#REF!</v>
      </c>
      <c r="AZ19" s="297">
        <f>AZ14+SUM(AZ17:AZ18)</f>
        <v>0</v>
      </c>
      <c r="BA19" s="14" t="e">
        <f>BA14+SUM(BA17:BA18)</f>
        <v>#REF!</v>
      </c>
      <c r="BB19" s="108"/>
      <c r="BC19" s="201" t="e">
        <f>IF(mois+2&gt;12,0,IF(ISERROR(IF(EXCERCICE="PA",AY19/$CC19,IF(EXCERCICE="LB1",AY19/$CF19,AY19/$CK19))),0,IF(EXCERCICE="PA",AY19/$CC19,IF(EXCERCICE="LB1",AY19/$CF19,AY19/$CK19))))</f>
        <v>#REF!</v>
      </c>
      <c r="BD19" s="227"/>
      <c r="BE19" s="52"/>
      <c r="BF19" s="54"/>
      <c r="BG19" s="247">
        <f>BG14+SUM(BG17:BG18)</f>
        <v>0</v>
      </c>
      <c r="BH19" s="98" t="e">
        <f>BH14+SUM(BH17:BH18)</f>
        <v>#REF!</v>
      </c>
      <c r="BI19" s="14" t="e">
        <f>BI14+SUM(BI17:BI18)</f>
        <v>#REF!</v>
      </c>
      <c r="BJ19" s="14"/>
      <c r="BK19" s="201" t="e">
        <f>IF(mois+3&gt;12,0,IF(ISERROR(IF(EXCERCICE="PA",BH19/$CC19,IF(EXCERCICE="LB1",BH19/$CF19,BH19/$CK19))),0,IF(EXCERCICE="PA",BH19/$CC19,IF(EXCERCICE="LB1",BH19/$CF19,BH19/$CK19))))</f>
        <v>#REF!</v>
      </c>
      <c r="BL19" s="227"/>
      <c r="BM19" s="2"/>
      <c r="BN19" s="235" t="e">
        <f>IF(mois&gt;=12,IF(EXCERCICE="PA",CC19-AE19,IF(EXCERCICE="LB1",CF19-AE19,IF(EXCERCICE="LB2",$CK19-AE19))),
IF(mois+1&lt;=13,IF(EXCERCICE="PA",CC19-AO19,IF(EXCERCICE="LB1",CF19-AO19,IF(EXCERCICE="LB2",$CK19-AO19))),
IF(mois+2&lt;=14,IF(EXCERCICE="PA",CC19-AY19,IF(EXCERCICE="LB1",CF19-AY19,IF(EXCERCICE="LB2",$CK19-AY19))),
IF(mois+3&lt;=15,IF(EXCERCICE="PA",CC19-BH19,IF(EXCERCICE="LB1",CF19-BH19,IF(EXCERCICE="LB2",$CK19-BH19))),0))))</f>
        <v>#REF!</v>
      </c>
      <c r="BO19" s="235" t="e">
        <f>IF(BN19&lt;0,0,BN19/(12-mois))</f>
        <v>#REF!</v>
      </c>
      <c r="BP19" s="2"/>
      <c r="BQ19" s="173"/>
      <c r="BR19" s="173"/>
      <c r="BS19" s="173"/>
      <c r="BT19" s="173"/>
      <c r="BU19" s="173"/>
      <c r="BV19" s="173"/>
      <c r="BW19" s="173"/>
      <c r="BX19" s="173"/>
      <c r="BY19" s="173"/>
      <c r="BZ19" s="173"/>
      <c r="CA19" s="173"/>
      <c r="CB19" s="173"/>
      <c r="CC19" s="98">
        <f t="shared" ref="CC19" si="46">CC14+SUM(CC17:CC18)</f>
        <v>0</v>
      </c>
      <c r="CD19" s="210">
        <f>IF(ISERROR(AE19/$CC19),0,AE19/$CC19)</f>
        <v>0</v>
      </c>
      <c r="CE19" s="54"/>
      <c r="CF19" s="98"/>
      <c r="CG19" s="127">
        <f>IF(ISERROR($CF19/$BH19),0,$CF19/$BH19)</f>
        <v>0</v>
      </c>
      <c r="CH19" s="80">
        <f t="shared" si="40"/>
        <v>0</v>
      </c>
      <c r="CI19" s="52"/>
      <c r="CJ19" s="54"/>
      <c r="CK19" s="98"/>
      <c r="CL19" s="127">
        <f>IF(ISERROR($CK19/$BH19),0,$CK19/$BH19)</f>
        <v>0</v>
      </c>
      <c r="CM19" s="14">
        <f t="shared" si="41"/>
        <v>0</v>
      </c>
      <c r="CN19" s="52"/>
    </row>
    <row r="20" spans="1:92" outlineLevel="1" x14ac:dyDescent="0.2">
      <c r="B20" s="56"/>
      <c r="C20" s="142" t="s">
        <v>65</v>
      </c>
      <c r="D20" s="2"/>
      <c r="E20" s="69" t="str">
        <f>IF(E13=0,"-",E19/E13)</f>
        <v>-</v>
      </c>
      <c r="F20" s="9" t="str">
        <f t="shared" ref="F20:Q20" si="47">IF(F13=0,"-",F19/F13)</f>
        <v>-</v>
      </c>
      <c r="G20" s="9" t="str">
        <f t="shared" si="47"/>
        <v>-</v>
      </c>
      <c r="H20" s="9" t="str">
        <f t="shared" si="47"/>
        <v>-</v>
      </c>
      <c r="I20" s="9" t="str">
        <f t="shared" si="47"/>
        <v>-</v>
      </c>
      <c r="J20" s="9" t="str">
        <f t="shared" si="47"/>
        <v>-</v>
      </c>
      <c r="K20" s="9" t="str">
        <f t="shared" si="47"/>
        <v>-</v>
      </c>
      <c r="L20" s="9" t="str">
        <f t="shared" si="47"/>
        <v>-</v>
      </c>
      <c r="M20" s="9" t="str">
        <f t="shared" si="47"/>
        <v>-</v>
      </c>
      <c r="N20" s="9" t="str">
        <f t="shared" si="47"/>
        <v>-</v>
      </c>
      <c r="O20" s="9" t="str">
        <f t="shared" si="47"/>
        <v>-</v>
      </c>
      <c r="P20" s="9" t="str">
        <f t="shared" si="47"/>
        <v>-</v>
      </c>
      <c r="Q20" s="188" t="str">
        <f t="shared" si="47"/>
        <v>-</v>
      </c>
      <c r="R20" s="2"/>
      <c r="S20" s="69" t="str">
        <f>IF(S13=0,"-",S19/S13)</f>
        <v>-</v>
      </c>
      <c r="T20" s="9" t="str">
        <f t="shared" ref="T20:AD20" si="48">IF(T13=0,"-",T19/T13)</f>
        <v>-</v>
      </c>
      <c r="U20" s="9" t="str">
        <f t="shared" si="48"/>
        <v>-</v>
      </c>
      <c r="V20" s="9" t="str">
        <f t="shared" si="48"/>
        <v>-</v>
      </c>
      <c r="W20" s="9" t="str">
        <f t="shared" si="48"/>
        <v>-</v>
      </c>
      <c r="X20" s="9" t="str">
        <f t="shared" si="48"/>
        <v>-</v>
      </c>
      <c r="Y20" s="9" t="str">
        <f t="shared" si="48"/>
        <v>-</v>
      </c>
      <c r="Z20" s="9" t="str">
        <f t="shared" si="48"/>
        <v>-</v>
      </c>
      <c r="AA20" s="9" t="str">
        <f t="shared" si="48"/>
        <v>-</v>
      </c>
      <c r="AB20" s="9" t="str">
        <f t="shared" si="48"/>
        <v>-</v>
      </c>
      <c r="AC20" s="9" t="str">
        <f t="shared" si="48"/>
        <v>-</v>
      </c>
      <c r="AD20" s="9" t="str">
        <f t="shared" si="48"/>
        <v>-</v>
      </c>
      <c r="AE20" s="69" t="str">
        <f t="shared" ref="AE20" si="49">IF(AE13=0,"-",AE19/AE13)</f>
        <v>-</v>
      </c>
      <c r="AF20" s="295" t="str">
        <f t="shared" ref="AF20" si="50">IF(AF13=0,"-",AF19/AF13)</f>
        <v>-</v>
      </c>
      <c r="AG20" s="105" t="str">
        <f t="shared" ref="AG20:AH20" si="51">IF(AG13=0,"-",AG19/AG13)</f>
        <v>-</v>
      </c>
      <c r="AH20" s="105" t="e">
        <f t="shared" si="51"/>
        <v>#REF!</v>
      </c>
      <c r="AI20" s="105"/>
      <c r="AJ20" s="212"/>
      <c r="AK20" s="212"/>
      <c r="AL20" s="58"/>
      <c r="AM20" s="11"/>
      <c r="AN20" s="244" t="str">
        <f t="shared" ref="AN20" si="52">IF(AN13=0,"-",AN19/AN13)</f>
        <v>-</v>
      </c>
      <c r="AO20" s="69" t="e">
        <f t="shared" ref="AO20:AQ20" si="53">IF(AO13=0,"-",AO19/AO13)</f>
        <v>#REF!</v>
      </c>
      <c r="AP20" s="295" t="str">
        <f t="shared" si="53"/>
        <v>-</v>
      </c>
      <c r="AQ20" s="105" t="e">
        <f t="shared" si="53"/>
        <v>#REF!</v>
      </c>
      <c r="AR20" s="9"/>
      <c r="AS20" s="105"/>
      <c r="AT20" s="212"/>
      <c r="AU20" s="221"/>
      <c r="AV20" s="11"/>
      <c r="AW20" s="11"/>
      <c r="AX20" s="244" t="str">
        <f t="shared" ref="AX20" si="54">IF(AX13=0,"-",AX19/AX13)</f>
        <v>-</v>
      </c>
      <c r="AY20" s="69" t="e">
        <f t="shared" ref="AY20:BA20" si="55">IF(AY13=0,"-",AY19/AY13)</f>
        <v>#REF!</v>
      </c>
      <c r="AZ20" s="295" t="str">
        <f t="shared" si="55"/>
        <v>-</v>
      </c>
      <c r="BA20" s="9" t="e">
        <f t="shared" si="55"/>
        <v>#REF!</v>
      </c>
      <c r="BB20" s="105"/>
      <c r="BC20" s="212"/>
      <c r="BD20" s="221"/>
      <c r="BE20" s="58"/>
      <c r="BF20" s="11"/>
      <c r="BG20" s="244" t="str">
        <f t="shared" ref="BG20" si="56">IF(BG13=0,"-",BG19/BG13)</f>
        <v>-</v>
      </c>
      <c r="BH20" s="69" t="e">
        <f t="shared" ref="BH20:BI20" si="57">IF(BH13=0,"-",BH19/BH13)</f>
        <v>#REF!</v>
      </c>
      <c r="BI20" s="9" t="e">
        <f t="shared" si="57"/>
        <v>#REF!</v>
      </c>
      <c r="BJ20" s="9"/>
      <c r="BK20" s="212"/>
      <c r="BL20" s="221"/>
      <c r="BM20" s="2"/>
      <c r="BN20" s="232"/>
      <c r="BO20" s="232"/>
      <c r="BP20" s="2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3"/>
      <c r="CC20" s="69" t="str">
        <f>IF(CC13=0,"-",CC19/CC13)</f>
        <v>-</v>
      </c>
      <c r="CD20" s="203"/>
      <c r="CE20" s="11"/>
      <c r="CF20" s="69" t="str">
        <f t="shared" ref="CF20" si="58">IF(CF13=0,"-",CF19/CF13)</f>
        <v>-</v>
      </c>
      <c r="CG20" s="135"/>
      <c r="CH20" s="69" t="str">
        <f>IF(CH13=0,"-",CH19/CH13)</f>
        <v>-</v>
      </c>
      <c r="CI20" s="58"/>
      <c r="CJ20" s="11"/>
      <c r="CK20" s="69" t="str">
        <f t="shared" ref="CK20" si="59">IF(CK13=0,"-",CK19/CK13)</f>
        <v>-</v>
      </c>
      <c r="CL20" s="135"/>
      <c r="CM20" s="10" t="str">
        <f t="shared" ref="CM20" si="60">IF(CM13=0,"-",CM19/CM13)</f>
        <v>-</v>
      </c>
      <c r="CN20" s="58"/>
    </row>
    <row r="21" spans="1:92" outlineLevel="1" x14ac:dyDescent="0.2">
      <c r="B21" s="56"/>
      <c r="C21" s="70"/>
      <c r="D21" s="2"/>
      <c r="E21" s="58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89"/>
      <c r="R21" s="2"/>
      <c r="S21" s="58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58"/>
      <c r="AF21" s="296"/>
      <c r="AG21" s="106"/>
      <c r="AH21" s="106"/>
      <c r="AI21" s="106"/>
      <c r="AJ21" s="198"/>
      <c r="AK21" s="198"/>
      <c r="AL21" s="58"/>
      <c r="AM21" s="11"/>
      <c r="AN21" s="245"/>
      <c r="AO21" s="58"/>
      <c r="AP21" s="296"/>
      <c r="AQ21" s="106"/>
      <c r="AR21" s="71"/>
      <c r="AS21" s="106"/>
      <c r="AT21" s="198"/>
      <c r="AU21" s="225"/>
      <c r="AV21" s="11"/>
      <c r="AW21" s="11"/>
      <c r="AX21" s="245"/>
      <c r="AY21" s="58"/>
      <c r="AZ21" s="296"/>
      <c r="BA21" s="71"/>
      <c r="BB21" s="106"/>
      <c r="BC21" s="198"/>
      <c r="BD21" s="225"/>
      <c r="BE21" s="58"/>
      <c r="BF21" s="11"/>
      <c r="BG21" s="245"/>
      <c r="BH21" s="58"/>
      <c r="BI21" s="11"/>
      <c r="BJ21" s="11"/>
      <c r="BK21" s="198"/>
      <c r="BL21" s="225"/>
      <c r="BM21" s="2"/>
      <c r="BN21" s="233"/>
      <c r="BO21" s="233"/>
      <c r="BP21" s="2"/>
      <c r="BQ21" s="173"/>
      <c r="BR21" s="173"/>
      <c r="BS21" s="173"/>
      <c r="BT21" s="173"/>
      <c r="BU21" s="173"/>
      <c r="BV21" s="173"/>
      <c r="BW21" s="173"/>
      <c r="BX21" s="173"/>
      <c r="BY21" s="173"/>
      <c r="BZ21" s="173"/>
      <c r="CA21" s="173"/>
      <c r="CB21" s="173"/>
      <c r="CC21" s="133"/>
      <c r="CD21" s="203"/>
      <c r="CE21" s="11"/>
      <c r="CF21" s="133"/>
      <c r="CG21" s="135"/>
      <c r="CH21" s="135"/>
      <c r="CI21" s="58"/>
      <c r="CJ21" s="11"/>
      <c r="CK21" s="133"/>
      <c r="CL21" s="135"/>
      <c r="CM21" s="154"/>
      <c r="CN21" s="58"/>
    </row>
    <row r="22" spans="1:92" outlineLevel="1" x14ac:dyDescent="0.2">
      <c r="A22" s="40">
        <v>17</v>
      </c>
      <c r="B22" s="72"/>
      <c r="C22" s="73" t="s">
        <v>11</v>
      </c>
      <c r="D22" s="74"/>
      <c r="E22" s="97">
        <f t="shared" ref="E22:P22" si="61">IF(ISERROR(VLOOKUP(CONCATENATE($B$2,E$5),TBCHISTORIQUE,17,FALSE)/1000),0,VLOOKUP(CONCATENATE($B$2,E$5),TBCHISTORIQUE,17,FALSE)/1000)</f>
        <v>0</v>
      </c>
      <c r="F22" s="171">
        <f t="shared" si="61"/>
        <v>0</v>
      </c>
      <c r="G22" s="171">
        <f t="shared" si="61"/>
        <v>0</v>
      </c>
      <c r="H22" s="171">
        <f t="shared" si="61"/>
        <v>0</v>
      </c>
      <c r="I22" s="171">
        <f t="shared" si="61"/>
        <v>0</v>
      </c>
      <c r="J22" s="171">
        <f t="shared" si="61"/>
        <v>0</v>
      </c>
      <c r="K22" s="171">
        <f t="shared" si="61"/>
        <v>0</v>
      </c>
      <c r="L22" s="171">
        <f t="shared" si="61"/>
        <v>0</v>
      </c>
      <c r="M22" s="171">
        <f t="shared" si="61"/>
        <v>0</v>
      </c>
      <c r="N22" s="171">
        <f t="shared" si="61"/>
        <v>0</v>
      </c>
      <c r="O22" s="171">
        <f t="shared" si="61"/>
        <v>0</v>
      </c>
      <c r="P22" s="172">
        <f t="shared" si="61"/>
        <v>0</v>
      </c>
      <c r="Q22" s="190">
        <f>SUMIF($E$5:$P$5,"&lt;="&amp;mois,E22:P22)</f>
        <v>0</v>
      </c>
      <c r="R22" s="74"/>
      <c r="S22" s="97">
        <f t="shared" ref="S22:AD22" si="62">IF(ISERROR(VLOOKUP(CONCATENATE($B$2,S$5),TBCA,17,FALSE)/1000),0,VLOOKUP(CONCATENATE($B$2,S$5),TBCA,17,FALSE)/1000)</f>
        <v>0</v>
      </c>
      <c r="T22" s="171">
        <f t="shared" si="62"/>
        <v>0</v>
      </c>
      <c r="U22" s="171">
        <f t="shared" si="62"/>
        <v>0</v>
      </c>
      <c r="V22" s="171">
        <f t="shared" si="62"/>
        <v>0</v>
      </c>
      <c r="W22" s="171">
        <f t="shared" si="62"/>
        <v>0</v>
      </c>
      <c r="X22" s="171">
        <f t="shared" si="62"/>
        <v>0</v>
      </c>
      <c r="Y22" s="171">
        <f t="shared" si="62"/>
        <v>0</v>
      </c>
      <c r="Z22" s="171">
        <f t="shared" si="62"/>
        <v>0</v>
      </c>
      <c r="AA22" s="171">
        <f t="shared" si="62"/>
        <v>0</v>
      </c>
      <c r="AB22" s="171">
        <f t="shared" si="62"/>
        <v>0</v>
      </c>
      <c r="AC22" s="171">
        <f t="shared" si="62"/>
        <v>0</v>
      </c>
      <c r="AD22" s="172">
        <f t="shared" si="62"/>
        <v>0</v>
      </c>
      <c r="AE22" s="97">
        <f>SUMIF($S$5:$AD$5,"&lt;="&amp;mois,S22:AD22)</f>
        <v>0</v>
      </c>
      <c r="AF22" s="292"/>
      <c r="AG22" s="107">
        <f>AE22-AF22</f>
        <v>0</v>
      </c>
      <c r="AH22" s="107" t="e">
        <f>IF(EXCERCICE="PA",AE22-($CC22/12*(mois)),IF(EXCERCICE="LB1",AE22-($CF22/12*(mois)),AE22-($CK22/12*(mois))))</f>
        <v>#REF!</v>
      </c>
      <c r="AI22" s="107"/>
      <c r="AJ22" s="215">
        <f>IF(ISERROR(IF(EXCERCICE="PA",AE22/$CC22,IF(EXCERCICE="LB1",AE22/$CF22,AE22/$CK22))),0,IF(EXCERCICE="PA",AE22/$CC22,IF(EXCERCICE="LB1",AE22/$CF22,AE22/$CK22)))</f>
        <v>0</v>
      </c>
      <c r="AK22" s="215"/>
      <c r="AL22" s="75"/>
      <c r="AM22" s="77"/>
      <c r="AN22" s="246">
        <f>AN67</f>
        <v>0</v>
      </c>
      <c r="AO22" s="97" t="e">
        <f>IF(mois+1&gt;12,AN22,+$AE22+AN22)</f>
        <v>#REF!</v>
      </c>
      <c r="AP22" s="292"/>
      <c r="AQ22" s="107" t="e">
        <f>AO22-AP22</f>
        <v>#REF!</v>
      </c>
      <c r="AR22" s="78" t="e">
        <f>IF(mois+1&gt;12,0,IF(mois=12,IF(EXCERCICE="PA",AO22-($CC22/12),IF(EXCERCICE="LB1",AO22-($CF22/12),AO22-($CK22/12))),IF(EXCERCICE="PA",AO22-($CC22/12*(mois+1)),IF(EXCERCICE="LB1",AO22-($CF22/12*(mois+1)),AO22-($CK22/12*(mois+1))))))</f>
        <v>#REF!</v>
      </c>
      <c r="AS22" s="180"/>
      <c r="AT22" s="215" t="e">
        <f>IF(mois+1&gt;12,0,IF(ISERROR(IF(EXCERCICE="PA",AO22/$CC22,IF(EXCERCICE="LB1",AO22/$CF22,AO22/$CK22))),0,IF(EXCERCICE="PA",AO22/$CC22,IF(EXCERCICE="LB1",AO22/$CF22,AO22/$CK22))))</f>
        <v>#REF!</v>
      </c>
      <c r="AU22" s="226"/>
      <c r="AV22" s="11"/>
      <c r="AW22" s="77"/>
      <c r="AX22" s="246">
        <f>AX67</f>
        <v>0</v>
      </c>
      <c r="AY22" s="97" t="e">
        <f>IF(mois+2=13,AX22,IF(mois+2&gt;14,AX22,$AO22+AX22))</f>
        <v>#REF!</v>
      </c>
      <c r="AZ22" s="292"/>
      <c r="BA22" s="78" t="e">
        <f>IF(mois+2&gt;12,0,IF(mois=12,IF(EXCERCICE="PA",AY22-($CC22/12),IF(EXCERCICE="LB1",AY22-($CF22/12),AY22-($CK22/12))),IF(EXCERCICE="PA",AY22-($CC22/12*(mois+2)),IF(EXCERCICE="LB1",AY22-($CF22/12*(mois+2)),AY22-($CK22/12*(mois+2))))))</f>
        <v>#REF!</v>
      </c>
      <c r="BB22" s="180"/>
      <c r="BC22" s="215" t="e">
        <f>IF(mois+2&gt;12,0,IF(ISERROR(IF(EXCERCICE="PA",AY22/$CC22,IF(EXCERCICE="LB1",AY22/$CF22,AY22/$CK22))),0,IF(EXCERCICE="PA",AY22/$CC22,IF(EXCERCICE="LB1",AY22/$CF22,AY22/$CK22))))</f>
        <v>#REF!</v>
      </c>
      <c r="BD22" s="226"/>
      <c r="BE22" s="75"/>
      <c r="BF22" s="77"/>
      <c r="BG22" s="246">
        <f>BG67</f>
        <v>0</v>
      </c>
      <c r="BH22" s="97" t="e">
        <f>IF(mois+3=13,BG22,IF(mois+3&gt;15,BG22,+$AY22+BG22))</f>
        <v>#REF!</v>
      </c>
      <c r="BI22" s="78" t="e">
        <f>IF(mois+3&gt;12,0,IF(mois=12,IF(EXCERCICE="PA",BH22-($CC22/12),IF(EXCERCICE="LB1",BH22-($CF22/12),BH22-($CK22/12))),IF(EXCERCICE="PA",BH22-($CC22/12*(mois+3)),IF(EXCERCICE="LB1",BH22-($CF22/12*(mois+3)),BH22-($CK22/12*(mois+3))))))</f>
        <v>#REF!</v>
      </c>
      <c r="BJ22" s="78"/>
      <c r="BK22" s="215" t="e">
        <f>IF(mois+3&gt;12,0,IF(ISERROR(IF(EXCERCICE="PA",BH22/$CC22,IF(EXCERCICE="LB1",BH22/$CF22,BH22/$CK22))),0,IF(EXCERCICE="PA",BH22/$CC22,IF(EXCERCICE="LB1",BH22/$CF22,BH22/$CK22))))</f>
        <v>#REF!</v>
      </c>
      <c r="BL22" s="226"/>
      <c r="BM22" s="2"/>
      <c r="BN22" s="234" t="e">
        <f>IF(mois&gt;=12,IF(EXCERCICE="PA",CC22-AE22,IF(EXCERCICE="LB1",CF22-AE22,IF(EXCERCICE="LB2",$CK22-AE22))),
IF(mois+1&lt;=13,IF(EXCERCICE="PA",CC22-AO22,IF(EXCERCICE="LB1",CF22-AO22,IF(EXCERCICE="LB2",$CK22-AO22))),
IF(mois+2&lt;=14,IF(EXCERCICE="PA",CC22-AY22,IF(EXCERCICE="LB1",CF22-AY22,IF(EXCERCICE="LB2",$CK22-AY22))),
IF(mois+3&lt;=15,IF(EXCERCICE="PA",CC22-BH22,IF(EXCERCICE="LB1",CF22-BH22,IF(EXCERCICE="LB2",$CK22-BH22))),0))))</f>
        <v>#REF!</v>
      </c>
      <c r="BO22" s="234" t="e">
        <f>IF(BN22&lt;0,0,BN22/(12-mois))</f>
        <v>#REF!</v>
      </c>
      <c r="BP22" s="2"/>
      <c r="BQ22" s="173"/>
      <c r="BR22" s="173"/>
      <c r="BS22" s="173"/>
      <c r="BT22" s="173"/>
      <c r="BU22" s="173"/>
      <c r="BV22" s="173"/>
      <c r="BW22" s="173"/>
      <c r="BX22" s="173"/>
      <c r="BY22" s="173"/>
      <c r="BZ22" s="173"/>
      <c r="CA22" s="173"/>
      <c r="CB22" s="173"/>
      <c r="CC22" s="97">
        <f>IF(ISERROR(VLOOKUP($B$2,VALIDATION_PA,14,FALSE)),0,VLOOKUP($B$2,VALIDATION_PA,14,FALSE))/1000</f>
        <v>0</v>
      </c>
      <c r="CD22" s="203">
        <f>IF(ISERROR(AE22/$CC22),0,AE22/$CC22)</f>
        <v>0</v>
      </c>
      <c r="CE22" s="77"/>
      <c r="CF22" s="97"/>
      <c r="CG22" s="125">
        <f>IF(ISERROR($CF22/$BH22),0,$CF22/$BH22)</f>
        <v>0</v>
      </c>
      <c r="CH22" s="76">
        <f>CF22-CC22</f>
        <v>0</v>
      </c>
      <c r="CI22" s="75"/>
      <c r="CJ22" s="77"/>
      <c r="CK22" s="97"/>
      <c r="CL22" s="125">
        <f>IF(ISERROR($CK22/$BH22),0,$CK22/$BH22)</f>
        <v>0</v>
      </c>
      <c r="CM22" s="78">
        <f>CK22-$CC22</f>
        <v>0</v>
      </c>
      <c r="CN22" s="75"/>
    </row>
    <row r="23" spans="1:92" outlineLevel="1" x14ac:dyDescent="0.2">
      <c r="B23" s="56"/>
      <c r="C23" s="57" t="s">
        <v>12</v>
      </c>
      <c r="D23" s="2"/>
      <c r="E23" s="69" t="str">
        <f>IF(E13=0,"-",E22/E13)</f>
        <v>-</v>
      </c>
      <c r="F23" s="9" t="str">
        <f t="shared" ref="F23:Q23" si="63">IF(F13=0,"-",F22/F13)</f>
        <v>-</v>
      </c>
      <c r="G23" s="9" t="str">
        <f t="shared" si="63"/>
        <v>-</v>
      </c>
      <c r="H23" s="9" t="str">
        <f t="shared" si="63"/>
        <v>-</v>
      </c>
      <c r="I23" s="9" t="str">
        <f t="shared" si="63"/>
        <v>-</v>
      </c>
      <c r="J23" s="9" t="str">
        <f t="shared" si="63"/>
        <v>-</v>
      </c>
      <c r="K23" s="9" t="str">
        <f t="shared" si="63"/>
        <v>-</v>
      </c>
      <c r="L23" s="9" t="str">
        <f t="shared" si="63"/>
        <v>-</v>
      </c>
      <c r="M23" s="9" t="str">
        <f t="shared" si="63"/>
        <v>-</v>
      </c>
      <c r="N23" s="9" t="str">
        <f t="shared" si="63"/>
        <v>-</v>
      </c>
      <c r="O23" s="9" t="str">
        <f t="shared" si="63"/>
        <v>-</v>
      </c>
      <c r="P23" s="9" t="str">
        <f t="shared" si="63"/>
        <v>-</v>
      </c>
      <c r="Q23" s="188" t="str">
        <f t="shared" si="63"/>
        <v>-</v>
      </c>
      <c r="R23" s="2"/>
      <c r="S23" s="69" t="str">
        <f>IF(S13=0,"-",S22/S13)</f>
        <v>-</v>
      </c>
      <c r="T23" s="9" t="str">
        <f t="shared" ref="T23:AD23" si="64">IF(T13=0,"-",T22/T13)</f>
        <v>-</v>
      </c>
      <c r="U23" s="9" t="str">
        <f t="shared" si="64"/>
        <v>-</v>
      </c>
      <c r="V23" s="9" t="str">
        <f t="shared" si="64"/>
        <v>-</v>
      </c>
      <c r="W23" s="9" t="str">
        <f t="shared" si="64"/>
        <v>-</v>
      </c>
      <c r="X23" s="9" t="str">
        <f t="shared" si="64"/>
        <v>-</v>
      </c>
      <c r="Y23" s="9" t="str">
        <f t="shared" si="64"/>
        <v>-</v>
      </c>
      <c r="Z23" s="9" t="str">
        <f t="shared" si="64"/>
        <v>-</v>
      </c>
      <c r="AA23" s="9" t="str">
        <f t="shared" si="64"/>
        <v>-</v>
      </c>
      <c r="AB23" s="9" t="str">
        <f t="shared" si="64"/>
        <v>-</v>
      </c>
      <c r="AC23" s="9" t="str">
        <f t="shared" si="64"/>
        <v>-</v>
      </c>
      <c r="AD23" s="9" t="str">
        <f t="shared" si="64"/>
        <v>-</v>
      </c>
      <c r="AE23" s="69" t="str">
        <f>IF(AE13=0,"-",AE22/AE13)</f>
        <v>-</v>
      </c>
      <c r="AF23" s="295" t="str">
        <f t="shared" ref="AF23" si="65">IF(AF13=0,"-",AF22/AF13)</f>
        <v>-</v>
      </c>
      <c r="AG23" s="105" t="str">
        <f t="shared" ref="AG23:AH23" si="66">IF(AG13=0,"-",AG22/AG13)</f>
        <v>-</v>
      </c>
      <c r="AH23" s="105" t="e">
        <f t="shared" si="66"/>
        <v>#REF!</v>
      </c>
      <c r="AI23" s="105"/>
      <c r="AJ23" s="212"/>
      <c r="AK23" s="212"/>
      <c r="AL23" s="58"/>
      <c r="AM23" s="11"/>
      <c r="AN23" s="244" t="str">
        <f t="shared" ref="AN23" si="67">IF(AN13=0,"-",AN22/AN13)</f>
        <v>-</v>
      </c>
      <c r="AO23" s="69" t="e">
        <f t="shared" ref="AO23:AR23" si="68">IF(AO13=0,"-",AO22/AO13)</f>
        <v>#REF!</v>
      </c>
      <c r="AP23" s="295" t="str">
        <f t="shared" si="68"/>
        <v>-</v>
      </c>
      <c r="AQ23" s="105" t="e">
        <f t="shared" si="68"/>
        <v>#REF!</v>
      </c>
      <c r="AR23" s="9" t="e">
        <f t="shared" si="68"/>
        <v>#REF!</v>
      </c>
      <c r="AS23" s="105"/>
      <c r="AT23" s="212"/>
      <c r="AU23" s="221"/>
      <c r="AV23" s="11"/>
      <c r="AW23" s="11"/>
      <c r="AX23" s="244" t="str">
        <f t="shared" ref="AX23" si="69">IF(AX13=0,"-",AX22/AX13)</f>
        <v>-</v>
      </c>
      <c r="AY23" s="69" t="e">
        <f t="shared" ref="AY23:AZ23" si="70">IF(AY13=0,"-",AY22/AY13)</f>
        <v>#REF!</v>
      </c>
      <c r="AZ23" s="295" t="str">
        <f t="shared" si="70"/>
        <v>-</v>
      </c>
      <c r="BA23" s="9" t="e">
        <f>IF(BA13=0,"-",BA22/BA13)</f>
        <v>#REF!</v>
      </c>
      <c r="BB23" s="105"/>
      <c r="BC23" s="212"/>
      <c r="BD23" s="221"/>
      <c r="BE23" s="58"/>
      <c r="BF23" s="11"/>
      <c r="BG23" s="244" t="str">
        <f t="shared" ref="BG23" si="71">IF(BG13=0,"-",BG22/BG13)</f>
        <v>-</v>
      </c>
      <c r="BH23" s="69" t="e">
        <f t="shared" ref="BH23:BI23" si="72">IF(BH13=0,"-",BH22/BH13)</f>
        <v>#REF!</v>
      </c>
      <c r="BI23" s="9" t="e">
        <f t="shared" si="72"/>
        <v>#REF!</v>
      </c>
      <c r="BJ23" s="9"/>
      <c r="BK23" s="212"/>
      <c r="BL23" s="221"/>
      <c r="BM23" s="2"/>
      <c r="BN23" s="232"/>
      <c r="BO23" s="232"/>
      <c r="BP23" s="2"/>
      <c r="BQ23" s="173"/>
      <c r="BR23" s="173"/>
      <c r="BS23" s="173"/>
      <c r="BT23" s="173"/>
      <c r="BU23" s="173"/>
      <c r="BV23" s="173"/>
      <c r="BW23" s="173"/>
      <c r="BX23" s="173"/>
      <c r="BY23" s="173"/>
      <c r="BZ23" s="173"/>
      <c r="CA23" s="173"/>
      <c r="CB23" s="173"/>
      <c r="CC23" s="69" t="str">
        <f t="shared" ref="CC23" si="73">IF(CC13=0,"-",CC22/CC13)</f>
        <v>-</v>
      </c>
      <c r="CD23" s="203"/>
      <c r="CE23" s="11"/>
      <c r="CF23" s="69" t="str">
        <f t="shared" ref="CF23" si="74">IF(CF13=0,"-",CF22/CF13)</f>
        <v>-</v>
      </c>
      <c r="CG23" s="135"/>
      <c r="CH23" s="69" t="str">
        <f t="shared" ref="CH23" si="75">IF(CH13=0,"-",CH22/CH13)</f>
        <v>-</v>
      </c>
      <c r="CI23" s="58"/>
      <c r="CJ23" s="11"/>
      <c r="CK23" s="69" t="str">
        <f t="shared" ref="CK23" si="76">IF(CK13=0,"-",CK22/CK13)</f>
        <v>-</v>
      </c>
      <c r="CL23" s="135"/>
      <c r="CM23" s="10" t="str">
        <f>IF(CM13=0,"-",CM22/CM13)</f>
        <v>-</v>
      </c>
      <c r="CN23" s="58"/>
    </row>
    <row r="24" spans="1:92" outlineLevel="1" x14ac:dyDescent="0.2">
      <c r="A24" s="40">
        <v>18</v>
      </c>
      <c r="B24" s="72"/>
      <c r="C24" s="73" t="s">
        <v>13</v>
      </c>
      <c r="D24" s="74"/>
      <c r="E24" s="97">
        <f t="shared" ref="E24:P24" si="77">IF(ISERROR(VLOOKUP(CONCATENATE($B$2,E$5),TBCHISTORIQUE,18,FALSE)/1000),0,VLOOKUP(CONCATENATE($B$2,E$5),TBCHISTORIQUE,18,FALSE)/1000)</f>
        <v>0</v>
      </c>
      <c r="F24" s="171">
        <f t="shared" si="77"/>
        <v>0</v>
      </c>
      <c r="G24" s="171">
        <f t="shared" si="77"/>
        <v>0</v>
      </c>
      <c r="H24" s="171">
        <f t="shared" si="77"/>
        <v>0</v>
      </c>
      <c r="I24" s="171">
        <f t="shared" si="77"/>
        <v>0</v>
      </c>
      <c r="J24" s="171">
        <f t="shared" si="77"/>
        <v>0</v>
      </c>
      <c r="K24" s="171">
        <f t="shared" si="77"/>
        <v>0</v>
      </c>
      <c r="L24" s="171">
        <f t="shared" si="77"/>
        <v>0</v>
      </c>
      <c r="M24" s="171">
        <f t="shared" si="77"/>
        <v>0</v>
      </c>
      <c r="N24" s="171">
        <f t="shared" si="77"/>
        <v>0</v>
      </c>
      <c r="O24" s="171">
        <f t="shared" si="77"/>
        <v>0</v>
      </c>
      <c r="P24" s="172">
        <f t="shared" si="77"/>
        <v>0</v>
      </c>
      <c r="Q24" s="190">
        <f>SUMIF($E$5:$P$5,"&lt;="&amp;mois,E24:P24)</f>
        <v>0</v>
      </c>
      <c r="R24" s="74"/>
      <c r="S24" s="97">
        <f t="shared" ref="S24:AD24" si="78">IF(ISERROR(VLOOKUP(CONCATENATE($B$2,S$5),TBCA,18,FALSE)/1000),0,VLOOKUP(CONCATENATE($B$2,S$5),TBCA,18,FALSE)/1000)</f>
        <v>0</v>
      </c>
      <c r="T24" s="171">
        <f t="shared" si="78"/>
        <v>0</v>
      </c>
      <c r="U24" s="171">
        <f t="shared" si="78"/>
        <v>0</v>
      </c>
      <c r="V24" s="171">
        <f t="shared" si="78"/>
        <v>0</v>
      </c>
      <c r="W24" s="171">
        <f t="shared" si="78"/>
        <v>0</v>
      </c>
      <c r="X24" s="171">
        <f t="shared" si="78"/>
        <v>0</v>
      </c>
      <c r="Y24" s="171">
        <f t="shared" si="78"/>
        <v>0</v>
      </c>
      <c r="Z24" s="171">
        <f t="shared" si="78"/>
        <v>0</v>
      </c>
      <c r="AA24" s="171">
        <f t="shared" si="78"/>
        <v>0</v>
      </c>
      <c r="AB24" s="171">
        <f t="shared" si="78"/>
        <v>0</v>
      </c>
      <c r="AC24" s="171">
        <f t="shared" si="78"/>
        <v>0</v>
      </c>
      <c r="AD24" s="172">
        <f t="shared" si="78"/>
        <v>0</v>
      </c>
      <c r="AE24" s="97">
        <f>SUMIF($S$5:$AD$5,"&lt;="&amp;mois,S24:AD24)</f>
        <v>0</v>
      </c>
      <c r="AF24" s="292"/>
      <c r="AG24" s="107">
        <f>AE24-AF24</f>
        <v>0</v>
      </c>
      <c r="AH24" s="107" t="e">
        <f>IF(EXCERCICE="PA",AE24-($CC24/12*(mois)),IF(EXCERCICE="LB1",AE24-($CF24/12*(mois)),AE24-($CK24/12*(mois))))</f>
        <v>#REF!</v>
      </c>
      <c r="AI24" s="107"/>
      <c r="AJ24" s="215">
        <f>IF(ISERROR(IF(EXCERCICE="PA",AE24/$CC24,IF(EXCERCICE="LB1",AE24/$CF24,AE24/$CK24))),0,IF(EXCERCICE="PA",AE24/$CC24,IF(EXCERCICE="LB1",AE24/$CF24,AE24/$CK24)))</f>
        <v>0</v>
      </c>
      <c r="AK24" s="215"/>
      <c r="AL24" s="75"/>
      <c r="AM24" s="77"/>
      <c r="AN24" s="246">
        <f>AN69</f>
        <v>0</v>
      </c>
      <c r="AO24" s="97" t="e">
        <f>IF(mois+1&gt;12,AN24,+$AE24+AN24)</f>
        <v>#REF!</v>
      </c>
      <c r="AP24" s="292"/>
      <c r="AQ24" s="107" t="e">
        <f>AO24-AP24</f>
        <v>#REF!</v>
      </c>
      <c r="AR24" s="78" t="e">
        <f>IF(mois+1&gt;12,0,IF(mois=12,IF(EXCERCICE="PA",AO24-($CC24/12),IF(EXCERCICE="LB1",AO24-($CF24/12),AO24-($CK24/12))),IF(EXCERCICE="PA",AO24-($CC24/12*(mois+1)),IF(EXCERCICE="LB1",AO24-($CF24/12*(mois+1)),AO24-($CK24/12*(mois+1))))))</f>
        <v>#REF!</v>
      </c>
      <c r="AS24" s="180"/>
      <c r="AT24" s="215" t="e">
        <f>IF(mois+1&gt;12,0,IF(ISERROR(IF(EXCERCICE="PA",AO24/$CC24,IF(EXCERCICE="LB1",AO24/$CF24,AO24/$CK24))),0,IF(EXCERCICE="PA",AO24/$CC24,IF(EXCERCICE="LB1",AO24/$CF24,AO24/$CK24))))</f>
        <v>#REF!</v>
      </c>
      <c r="AU24" s="226"/>
      <c r="AV24" s="11"/>
      <c r="AW24" s="77"/>
      <c r="AX24" s="246">
        <f>AX69</f>
        <v>0</v>
      </c>
      <c r="AY24" s="97" t="e">
        <f>IF(mois+2=13,AX24,IF(mois+2&gt;14,AX24,$AO24+AX24))</f>
        <v>#REF!</v>
      </c>
      <c r="AZ24" s="292"/>
      <c r="BA24" s="78" t="e">
        <f>IF(mois+2&gt;12,0,IF(mois=12,IF(EXCERCICE="PA",AY24-($CC24/12),IF(EXCERCICE="LB1",AY24-($CF24/12),AY24-($CK24/12))),IF(EXCERCICE="PA",AY24-($CC24/12*(mois+2)),IF(EXCERCICE="LB1",AY24-($CF24/12*(mois+2)),AY24-($CK24/12*(mois+2))))))</f>
        <v>#REF!</v>
      </c>
      <c r="BB24" s="180"/>
      <c r="BC24" s="215" t="e">
        <f>IF(mois+2&gt;12,0,IF(ISERROR(IF(EXCERCICE="PA",AY24/$CC24,IF(EXCERCICE="LB1",AY24/$CF24,AY24/$CK24))),0,IF(EXCERCICE="PA",AY24/$CC24,IF(EXCERCICE="LB1",AY24/$CF24,AY24/$CK24))))</f>
        <v>#REF!</v>
      </c>
      <c r="BD24" s="226"/>
      <c r="BE24" s="75"/>
      <c r="BF24" s="77"/>
      <c r="BG24" s="246">
        <f>BG69</f>
        <v>0</v>
      </c>
      <c r="BH24" s="97" t="e">
        <f>IF(mois+3=13,BG24,IF(mois+3&gt;15,BG24,+$AY24+BG24))</f>
        <v>#REF!</v>
      </c>
      <c r="BI24" s="78" t="e">
        <f>IF(mois+3&gt;12,0,IF(mois=12,IF(EXCERCICE="PA",BH24-($CC24/12),IF(EXCERCICE="LB1",BH24-($CF24/12),BH24-($CK24/12))),IF(EXCERCICE="PA",BH24-($CC24/12*(mois+3)),IF(EXCERCICE="LB1",BH24-($CF24/12*(mois+3)),BH24-($CK24/12*(mois+3))))))</f>
        <v>#REF!</v>
      </c>
      <c r="BJ24" s="78"/>
      <c r="BK24" s="215" t="e">
        <f>IF(mois+3&gt;12,0,IF(ISERROR(IF(EXCERCICE="PA",BH24/$CC24,IF(EXCERCICE="LB1",BH24/$CF24,BH24/$CK24))),0,IF(EXCERCICE="PA",BH24/$CC24,IF(EXCERCICE="LB1",BH24/$CF24,BH24/$CK24))))</f>
        <v>#REF!</v>
      </c>
      <c r="BL24" s="226"/>
      <c r="BM24" s="2"/>
      <c r="BN24" s="234" t="e">
        <f>IF(mois&gt;=12,IF(EXCERCICE="PA",CC24-AE24,IF(EXCERCICE="LB1",CF24-AE24,IF(EXCERCICE="LB2",$CK24-AE24))),
IF(mois+1&lt;=13,IF(EXCERCICE="PA",CC24-AO24,IF(EXCERCICE="LB1",CF24-AO24,IF(EXCERCICE="LB2",$CK24-AO24))),
IF(mois+2&lt;=14,IF(EXCERCICE="PA",CC24-AY24,IF(EXCERCICE="LB1",CF24-AY24,IF(EXCERCICE="LB2",$CK24-AY24))),
IF(mois+3&lt;=15,IF(EXCERCICE="PA",CC24-BH24,IF(EXCERCICE="LB1",CF24-BH24,IF(EXCERCICE="LB2",$CK24-BH24))),0))))</f>
        <v>#REF!</v>
      </c>
      <c r="BO24" s="234" t="e">
        <f>IF(BN24&lt;0,0,BN24/(12-mois))</f>
        <v>#REF!</v>
      </c>
      <c r="BP24" s="2"/>
      <c r="BQ24" s="173"/>
      <c r="BR24" s="173"/>
      <c r="BS24" s="173"/>
      <c r="BT24" s="173"/>
      <c r="BU24" s="173"/>
      <c r="BV24" s="173"/>
      <c r="BW24" s="173"/>
      <c r="BX24" s="173"/>
      <c r="BY24" s="173"/>
      <c r="BZ24" s="173"/>
      <c r="CA24" s="173"/>
      <c r="CB24" s="173"/>
      <c r="CC24" s="97">
        <f>IF(ISERROR(VLOOKUP($B$2,VALIDATION_PA,15,FALSE)),0,VLOOKUP($B$2,VALIDATION_PA,15,FALSE))/1000</f>
        <v>0</v>
      </c>
      <c r="CD24" s="203">
        <f>IF(ISERROR(AE24/$CC24),0,AE24/$CC24)</f>
        <v>0</v>
      </c>
      <c r="CE24" s="77"/>
      <c r="CF24" s="97"/>
      <c r="CG24" s="125">
        <f>IF(ISERROR($CF24/$BH24),0,$CF24/$BH24)</f>
        <v>0</v>
      </c>
      <c r="CH24" s="76">
        <f>CF24-CC24</f>
        <v>0</v>
      </c>
      <c r="CI24" s="75"/>
      <c r="CJ24" s="77"/>
      <c r="CK24" s="97"/>
      <c r="CL24" s="125">
        <f>IF(ISERROR($CK24/$BH24),0,$CK24/$BH24)</f>
        <v>0</v>
      </c>
      <c r="CM24" s="78">
        <f>CK24-$CC24</f>
        <v>0</v>
      </c>
      <c r="CN24" s="75"/>
    </row>
    <row r="25" spans="1:92" outlineLevel="1" x14ac:dyDescent="0.2">
      <c r="B25" s="56"/>
      <c r="C25" s="57" t="s">
        <v>12</v>
      </c>
      <c r="D25" s="2"/>
      <c r="E25" s="69">
        <v>0.3</v>
      </c>
      <c r="F25" s="9" t="str">
        <f t="shared" ref="F25:Q25" si="79">IF(F13=0,"-",F24/F13)</f>
        <v>-</v>
      </c>
      <c r="G25" s="9" t="str">
        <f t="shared" si="79"/>
        <v>-</v>
      </c>
      <c r="H25" s="9" t="str">
        <f t="shared" si="79"/>
        <v>-</v>
      </c>
      <c r="I25" s="9" t="str">
        <f t="shared" si="79"/>
        <v>-</v>
      </c>
      <c r="J25" s="9" t="str">
        <f t="shared" si="79"/>
        <v>-</v>
      </c>
      <c r="K25" s="9" t="str">
        <f t="shared" si="79"/>
        <v>-</v>
      </c>
      <c r="L25" s="9" t="str">
        <f t="shared" si="79"/>
        <v>-</v>
      </c>
      <c r="M25" s="9" t="str">
        <f t="shared" si="79"/>
        <v>-</v>
      </c>
      <c r="N25" s="9" t="str">
        <f t="shared" si="79"/>
        <v>-</v>
      </c>
      <c r="O25" s="9" t="str">
        <f t="shared" si="79"/>
        <v>-</v>
      </c>
      <c r="P25" s="9" t="str">
        <f t="shared" si="79"/>
        <v>-</v>
      </c>
      <c r="Q25" s="188" t="str">
        <f t="shared" si="79"/>
        <v>-</v>
      </c>
      <c r="R25" s="2"/>
      <c r="S25" s="69" t="str">
        <f>IF(S13=0,"-",S24/S13)</f>
        <v>-</v>
      </c>
      <c r="T25" s="9" t="str">
        <f t="shared" ref="T25:AD25" si="80">IF(T13=0,"-",T24/T13)</f>
        <v>-</v>
      </c>
      <c r="U25" s="9" t="str">
        <f t="shared" si="80"/>
        <v>-</v>
      </c>
      <c r="V25" s="9" t="str">
        <f t="shared" si="80"/>
        <v>-</v>
      </c>
      <c r="W25" s="9" t="str">
        <f t="shared" si="80"/>
        <v>-</v>
      </c>
      <c r="X25" s="9" t="str">
        <f t="shared" si="80"/>
        <v>-</v>
      </c>
      <c r="Y25" s="9" t="str">
        <f t="shared" si="80"/>
        <v>-</v>
      </c>
      <c r="Z25" s="9" t="str">
        <f t="shared" si="80"/>
        <v>-</v>
      </c>
      <c r="AA25" s="9" t="str">
        <f t="shared" si="80"/>
        <v>-</v>
      </c>
      <c r="AB25" s="9" t="str">
        <f t="shared" si="80"/>
        <v>-</v>
      </c>
      <c r="AC25" s="9" t="str">
        <f t="shared" si="80"/>
        <v>-</v>
      </c>
      <c r="AD25" s="9" t="str">
        <f t="shared" si="80"/>
        <v>-</v>
      </c>
      <c r="AE25" s="69" t="str">
        <f t="shared" ref="AE25" si="81">IF(AE13=0,"-",AE24/AE13)</f>
        <v>-</v>
      </c>
      <c r="AF25" s="295" t="str">
        <f t="shared" ref="AF25" si="82">IF(AF13=0,"-",AF24/AF13)</f>
        <v>-</v>
      </c>
      <c r="AG25" s="105" t="str">
        <f t="shared" ref="AG25:AH25" si="83">IF(AG13=0,"-",AG24/AG13)</f>
        <v>-</v>
      </c>
      <c r="AH25" s="105" t="e">
        <f t="shared" si="83"/>
        <v>#REF!</v>
      </c>
      <c r="AI25" s="105"/>
      <c r="AJ25" s="212"/>
      <c r="AK25" s="212"/>
      <c r="AL25" s="58"/>
      <c r="AM25" s="11"/>
      <c r="AN25" s="244" t="str">
        <f t="shared" ref="AN25" si="84">IF(AN13=0,"-",AN24/AN13)</f>
        <v>-</v>
      </c>
      <c r="AO25" s="69" t="e">
        <f t="shared" ref="AO25:AR25" si="85">IF(AO13=0,"-",AO24/AO13)</f>
        <v>#REF!</v>
      </c>
      <c r="AP25" s="295" t="str">
        <f t="shared" si="85"/>
        <v>-</v>
      </c>
      <c r="AQ25" s="105" t="e">
        <f t="shared" si="85"/>
        <v>#REF!</v>
      </c>
      <c r="AR25" s="9" t="e">
        <f t="shared" si="85"/>
        <v>#REF!</v>
      </c>
      <c r="AS25" s="105"/>
      <c r="AT25" s="212"/>
      <c r="AU25" s="221"/>
      <c r="AV25" s="11"/>
      <c r="AW25" s="11"/>
      <c r="AX25" s="244" t="str">
        <f t="shared" ref="AX25" si="86">IF(AX13=0,"-",AX24/AX13)</f>
        <v>-</v>
      </c>
      <c r="AY25" s="69" t="e">
        <f t="shared" ref="AY25:AZ25" si="87">IF(AY13=0,"-",AY24/AY13)</f>
        <v>#REF!</v>
      </c>
      <c r="AZ25" s="295" t="str">
        <f t="shared" si="87"/>
        <v>-</v>
      </c>
      <c r="BA25" s="9" t="e">
        <f>IF(BA13=0,"-",BA24/BA13)</f>
        <v>#REF!</v>
      </c>
      <c r="BB25" s="105"/>
      <c r="BC25" s="212"/>
      <c r="BD25" s="221"/>
      <c r="BE25" s="58"/>
      <c r="BF25" s="11"/>
      <c r="BG25" s="244" t="str">
        <f t="shared" ref="BG25" si="88">IF(BG13=0,"-",BG24/BG13)</f>
        <v>-</v>
      </c>
      <c r="BH25" s="69" t="e">
        <f>IF(BH13=0,"-",BH24/BH13)</f>
        <v>#REF!</v>
      </c>
      <c r="BI25" s="9" t="e">
        <f>IF(BI13=0,"-",BI24/BI13)</f>
        <v>#REF!</v>
      </c>
      <c r="BJ25" s="9"/>
      <c r="BK25" s="212"/>
      <c r="BL25" s="221"/>
      <c r="BM25" s="2"/>
      <c r="BN25" s="232"/>
      <c r="BO25" s="232"/>
      <c r="BP25" s="2"/>
      <c r="BQ25" s="173"/>
      <c r="BR25" s="173"/>
      <c r="BS25" s="173"/>
      <c r="BT25" s="173"/>
      <c r="BU25" s="173"/>
      <c r="BV25" s="173"/>
      <c r="BW25" s="173"/>
      <c r="BX25" s="173"/>
      <c r="BY25" s="173"/>
      <c r="BZ25" s="173"/>
      <c r="CA25" s="173"/>
      <c r="CB25" s="173"/>
      <c r="CC25" s="69" t="str">
        <f t="shared" ref="CC25" si="89">IF(CC13=0,"-",CC24/CC13)</f>
        <v>-</v>
      </c>
      <c r="CD25" s="203"/>
      <c r="CE25" s="11"/>
      <c r="CF25" s="69" t="str">
        <f t="shared" ref="CF25" si="90">IF(CF13=0,"-",CF24/CF13)</f>
        <v>-</v>
      </c>
      <c r="CG25" s="135"/>
      <c r="CH25" s="69" t="str">
        <f t="shared" ref="CH25" si="91">IF(CH13=0,"-",CH24/CH13)</f>
        <v>-</v>
      </c>
      <c r="CI25" s="58"/>
      <c r="CJ25" s="11"/>
      <c r="CK25" s="69" t="str">
        <f t="shared" ref="CK25" si="92">IF(CK13=0,"-",CK24/CK13)</f>
        <v>-</v>
      </c>
      <c r="CL25" s="135"/>
      <c r="CM25" s="10" t="str">
        <f t="shared" ref="CM25" si="93">IF(CM13=0,"-",CM24/CM13)</f>
        <v>-</v>
      </c>
      <c r="CN25" s="58"/>
    </row>
    <row r="26" spans="1:92" outlineLevel="1" x14ac:dyDescent="0.2">
      <c r="B26" s="56"/>
      <c r="C26" s="79" t="s">
        <v>66</v>
      </c>
      <c r="D26" s="51"/>
      <c r="E26" s="98">
        <f>E22+E24</f>
        <v>0</v>
      </c>
      <c r="F26" s="14">
        <f t="shared" ref="F26:Q26" si="94">F22+F24</f>
        <v>0</v>
      </c>
      <c r="G26" s="14">
        <f t="shared" si="94"/>
        <v>0</v>
      </c>
      <c r="H26" s="14">
        <f t="shared" si="94"/>
        <v>0</v>
      </c>
      <c r="I26" s="14">
        <f t="shared" si="94"/>
        <v>0</v>
      </c>
      <c r="J26" s="14">
        <f t="shared" si="94"/>
        <v>0</v>
      </c>
      <c r="K26" s="14">
        <f t="shared" si="94"/>
        <v>0</v>
      </c>
      <c r="L26" s="14">
        <f t="shared" si="94"/>
        <v>0</v>
      </c>
      <c r="M26" s="14">
        <f t="shared" si="94"/>
        <v>0</v>
      </c>
      <c r="N26" s="14">
        <f t="shared" si="94"/>
        <v>0</v>
      </c>
      <c r="O26" s="14">
        <f t="shared" si="94"/>
        <v>0</v>
      </c>
      <c r="P26" s="14">
        <f t="shared" si="94"/>
        <v>0</v>
      </c>
      <c r="Q26" s="191">
        <f t="shared" si="94"/>
        <v>0</v>
      </c>
      <c r="R26" s="51"/>
      <c r="S26" s="98">
        <f>S22+S24</f>
        <v>0</v>
      </c>
      <c r="T26" s="14">
        <f t="shared" ref="T26:AH26" si="95">T22+T24</f>
        <v>0</v>
      </c>
      <c r="U26" s="14">
        <f t="shared" si="95"/>
        <v>0</v>
      </c>
      <c r="V26" s="14">
        <f t="shared" si="95"/>
        <v>0</v>
      </c>
      <c r="W26" s="14">
        <f t="shared" si="95"/>
        <v>0</v>
      </c>
      <c r="X26" s="14">
        <f t="shared" si="95"/>
        <v>0</v>
      </c>
      <c r="Y26" s="14">
        <f t="shared" si="95"/>
        <v>0</v>
      </c>
      <c r="Z26" s="14">
        <f t="shared" si="95"/>
        <v>0</v>
      </c>
      <c r="AA26" s="14">
        <f t="shared" si="95"/>
        <v>0</v>
      </c>
      <c r="AB26" s="14">
        <f t="shared" si="95"/>
        <v>0</v>
      </c>
      <c r="AC26" s="14">
        <f t="shared" si="95"/>
        <v>0</v>
      </c>
      <c r="AD26" s="14">
        <f t="shared" si="95"/>
        <v>0</v>
      </c>
      <c r="AE26" s="98">
        <f t="shared" si="95"/>
        <v>0</v>
      </c>
      <c r="AF26" s="297">
        <f t="shared" si="95"/>
        <v>0</v>
      </c>
      <c r="AG26" s="108">
        <f>AE26-AF26</f>
        <v>0</v>
      </c>
      <c r="AH26" s="107" t="e">
        <f t="shared" si="95"/>
        <v>#REF!</v>
      </c>
      <c r="AI26" s="108"/>
      <c r="AJ26" s="201">
        <f>IF(ISERROR(IF(EXCERCICE="PA",AE26/$CC26,IF(EXCERCICE="LB1",AE26/$CF26,AE26/$CK26))),0,IF(EXCERCICE="PA",AE26/$CC26,IF(EXCERCICE="LB1",AE26/$CF26,AE26/$CK26)))</f>
        <v>0</v>
      </c>
      <c r="AK26" s="201"/>
      <c r="AL26" s="52"/>
      <c r="AM26" s="54"/>
      <c r="AN26" s="247">
        <f t="shared" ref="AN26:AR26" si="96">AN22+AN24</f>
        <v>0</v>
      </c>
      <c r="AO26" s="98" t="e">
        <f t="shared" si="96"/>
        <v>#REF!</v>
      </c>
      <c r="AP26" s="297">
        <f t="shared" si="96"/>
        <v>0</v>
      </c>
      <c r="AQ26" s="108" t="e">
        <f>AO26-AP26</f>
        <v>#REF!</v>
      </c>
      <c r="AR26" s="14" t="e">
        <f t="shared" si="96"/>
        <v>#REF!</v>
      </c>
      <c r="AS26" s="108"/>
      <c r="AT26" s="201" t="e">
        <f>IF(mois+1&gt;12,0,IF(ISERROR(IF(EXCERCICE="PA",AO26/$CC26,IF(EXCERCICE="LB1",AO26/$CF26,AO26/$CK26))),0,IF(EXCERCICE="PA",AO26/$CC26,IF(EXCERCICE="LB1",AO26/$CF26,AO26/$CK26))))</f>
        <v>#REF!</v>
      </c>
      <c r="AU26" s="227"/>
      <c r="AV26" s="11"/>
      <c r="AW26" s="54"/>
      <c r="AX26" s="247">
        <f t="shared" ref="AX26" si="97">AX22+AX24</f>
        <v>0</v>
      </c>
      <c r="AY26" s="98" t="e">
        <f t="shared" ref="AY26" si="98">AY22+AY24</f>
        <v>#REF!</v>
      </c>
      <c r="AZ26" s="297">
        <f t="shared" ref="AZ26:BA26" si="99">AZ22+AZ24</f>
        <v>0</v>
      </c>
      <c r="BA26" s="14" t="e">
        <f t="shared" si="99"/>
        <v>#REF!</v>
      </c>
      <c r="BB26" s="108"/>
      <c r="BC26" s="201" t="e">
        <f>IF(mois+2&gt;12,0,IF(ISERROR(IF(EXCERCICE="PA",AY26/$CC26,IF(EXCERCICE="LB1",AY26/$CF26,AY26/$CK26))),0,IF(EXCERCICE="PA",AY26/$CC26,IF(EXCERCICE="LB1",AY26/$CF26,AY26/$CK26))))</f>
        <v>#REF!</v>
      </c>
      <c r="BD26" s="227"/>
      <c r="BE26" s="52"/>
      <c r="BF26" s="54"/>
      <c r="BG26" s="247">
        <f t="shared" ref="BG26" si="100">BG22+BG24</f>
        <v>0</v>
      </c>
      <c r="BH26" s="98" t="e">
        <f>BH22+BH24</f>
        <v>#REF!</v>
      </c>
      <c r="BI26" s="14" t="e">
        <f t="shared" ref="BI26" si="101">BI22+BI24</f>
        <v>#REF!</v>
      </c>
      <c r="BJ26" s="14"/>
      <c r="BK26" s="201" t="e">
        <f>IF(mois+3&gt;12,0,IF(ISERROR(IF(EXCERCICE="PA",BH26/$CC26,IF(EXCERCICE="LB1",BH26/$CF26,BH26/$CK26))),0,IF(EXCERCICE="PA",BH26/$CC26,IF(EXCERCICE="LB1",BH26/$CF26,BH26/$CK26))))</f>
        <v>#REF!</v>
      </c>
      <c r="BL26" s="227"/>
      <c r="BM26" s="2"/>
      <c r="BN26" s="235" t="e">
        <f>IF(mois&gt;=12,IF(EXCERCICE="PA",CC26-AE26,IF(EXCERCICE="LB1",CF26-AE26,IF(EXCERCICE="LB2",$CK26-AE26))),
IF(mois+1&lt;=13,IF(EXCERCICE="PA",CC26-AO26,IF(EXCERCICE="LB1",CF26-AO26,IF(EXCERCICE="LB2",$CK26-AO26))),
IF(mois+2&lt;=14,IF(EXCERCICE="PA",CC26-AY26,IF(EXCERCICE="LB1",CF26-AY26,IF(EXCERCICE="LB2",$CK26-AY26))),
IF(mois+3&lt;=15,IF(EXCERCICE="PA",CC26-BH26,IF(EXCERCICE="LB1",CF26-BH26,IF(EXCERCICE="LB2",$CK26-BH26))),0))))</f>
        <v>#REF!</v>
      </c>
      <c r="BO26" s="235" t="e">
        <f>IF(BN26&lt;0,0,BN26/(12-mois))</f>
        <v>#REF!</v>
      </c>
      <c r="BP26" s="2"/>
      <c r="BQ26" s="173"/>
      <c r="BR26" s="173"/>
      <c r="BS26" s="173"/>
      <c r="BT26" s="173"/>
      <c r="BU26" s="173"/>
      <c r="BV26" s="173"/>
      <c r="BW26" s="173"/>
      <c r="BX26" s="173"/>
      <c r="BY26" s="173"/>
      <c r="BZ26" s="173"/>
      <c r="CA26" s="173"/>
      <c r="CB26" s="173"/>
      <c r="CC26" s="98">
        <f t="shared" ref="CC26" si="102">CC22+CC24</f>
        <v>0</v>
      </c>
      <c r="CD26" s="210">
        <f>IF(ISERROR(AE26/$CC26),0,AE26/$CC26)</f>
        <v>0</v>
      </c>
      <c r="CE26" s="54"/>
      <c r="CF26" s="98"/>
      <c r="CG26" s="127">
        <f>IF(ISERROR($CF26/$BH26),0,$CF26/$BH26)</f>
        <v>0</v>
      </c>
      <c r="CH26" s="80">
        <f>CF26-CC26</f>
        <v>0</v>
      </c>
      <c r="CI26" s="52"/>
      <c r="CJ26" s="54"/>
      <c r="CK26" s="98"/>
      <c r="CL26" s="127">
        <f>IF(ISERROR($CK26/$BH26),0,$CK26/$BH26)</f>
        <v>0</v>
      </c>
      <c r="CM26" s="14">
        <f>CK26-$CC26</f>
        <v>0</v>
      </c>
      <c r="CN26" s="52"/>
    </row>
    <row r="27" spans="1:92" outlineLevel="1" x14ac:dyDescent="0.2">
      <c r="B27" s="56"/>
      <c r="C27" s="57" t="s">
        <v>12</v>
      </c>
      <c r="D27" s="2"/>
      <c r="E27" s="69" t="str">
        <f>IF(E13=0,"-",E26/E13)</f>
        <v>-</v>
      </c>
      <c r="F27" s="9" t="str">
        <f t="shared" ref="F27:Q27" si="103">IF(F13=0,"-",F26/F13)</f>
        <v>-</v>
      </c>
      <c r="G27" s="9" t="str">
        <f t="shared" si="103"/>
        <v>-</v>
      </c>
      <c r="H27" s="9" t="str">
        <f t="shared" si="103"/>
        <v>-</v>
      </c>
      <c r="I27" s="9" t="str">
        <f t="shared" si="103"/>
        <v>-</v>
      </c>
      <c r="J27" s="9" t="str">
        <f t="shared" si="103"/>
        <v>-</v>
      </c>
      <c r="K27" s="9" t="str">
        <f t="shared" si="103"/>
        <v>-</v>
      </c>
      <c r="L27" s="9" t="str">
        <f t="shared" si="103"/>
        <v>-</v>
      </c>
      <c r="M27" s="9" t="str">
        <f t="shared" si="103"/>
        <v>-</v>
      </c>
      <c r="N27" s="9" t="str">
        <f t="shared" si="103"/>
        <v>-</v>
      </c>
      <c r="O27" s="9" t="str">
        <f t="shared" si="103"/>
        <v>-</v>
      </c>
      <c r="P27" s="9" t="str">
        <f t="shared" si="103"/>
        <v>-</v>
      </c>
      <c r="Q27" s="188" t="str">
        <f t="shared" si="103"/>
        <v>-</v>
      </c>
      <c r="R27" s="2"/>
      <c r="S27" s="69" t="str">
        <f>IF(S13=0,"-",S26/S13)</f>
        <v>-</v>
      </c>
      <c r="T27" s="9" t="str">
        <f t="shared" ref="T27:AD27" si="104">IF(T13=0,"-",T26/T13)</f>
        <v>-</v>
      </c>
      <c r="U27" s="9" t="str">
        <f t="shared" si="104"/>
        <v>-</v>
      </c>
      <c r="V27" s="9" t="str">
        <f t="shared" si="104"/>
        <v>-</v>
      </c>
      <c r="W27" s="9" t="str">
        <f t="shared" si="104"/>
        <v>-</v>
      </c>
      <c r="X27" s="9" t="str">
        <f t="shared" si="104"/>
        <v>-</v>
      </c>
      <c r="Y27" s="9" t="str">
        <f t="shared" si="104"/>
        <v>-</v>
      </c>
      <c r="Z27" s="9" t="str">
        <f t="shared" si="104"/>
        <v>-</v>
      </c>
      <c r="AA27" s="9" t="str">
        <f t="shared" si="104"/>
        <v>-</v>
      </c>
      <c r="AB27" s="9" t="str">
        <f t="shared" si="104"/>
        <v>-</v>
      </c>
      <c r="AC27" s="9" t="str">
        <f t="shared" si="104"/>
        <v>-</v>
      </c>
      <c r="AD27" s="9" t="str">
        <f t="shared" si="104"/>
        <v>-</v>
      </c>
      <c r="AE27" s="69" t="str">
        <f t="shared" ref="AE27" si="105">IF(AE13=0,"-",AE26/AE13)</f>
        <v>-</v>
      </c>
      <c r="AF27" s="295" t="str">
        <f t="shared" ref="AF27" si="106">IF(AF13=0,"-",AF26/AF13)</f>
        <v>-</v>
      </c>
      <c r="AG27" s="105" t="str">
        <f t="shared" ref="AG27:AH27" si="107">IF(AG13=0,"-",AG26/AG13)</f>
        <v>-</v>
      </c>
      <c r="AH27" s="105" t="e">
        <f t="shared" si="107"/>
        <v>#REF!</v>
      </c>
      <c r="AI27" s="105"/>
      <c r="AJ27" s="212"/>
      <c r="AK27" s="212"/>
      <c r="AL27" s="58"/>
      <c r="AM27" s="11"/>
      <c r="AN27" s="244" t="str">
        <f t="shared" ref="AN27" si="108">IF(AN13=0,"-",AN26/AN13)</f>
        <v>-</v>
      </c>
      <c r="AO27" s="69" t="e">
        <f t="shared" ref="AO27:AQ27" si="109">IF(AO13=0,"-",AO26/AO13)</f>
        <v>#REF!</v>
      </c>
      <c r="AP27" s="295" t="str">
        <f t="shared" si="109"/>
        <v>-</v>
      </c>
      <c r="AQ27" s="105" t="e">
        <f t="shared" si="109"/>
        <v>#REF!</v>
      </c>
      <c r="AR27" s="9"/>
      <c r="AS27" s="105"/>
      <c r="AT27" s="212"/>
      <c r="AU27" s="221"/>
      <c r="AV27" s="11"/>
      <c r="AW27" s="11"/>
      <c r="AX27" s="244" t="str">
        <f t="shared" ref="AX27" si="110">IF(AX13=0,"-",AX26/AX13)</f>
        <v>-</v>
      </c>
      <c r="AY27" s="69" t="e">
        <f t="shared" ref="AY27:BA27" si="111">IF(AY13=0,"-",AY26/AY13)</f>
        <v>#REF!</v>
      </c>
      <c r="AZ27" s="295" t="str">
        <f t="shared" si="111"/>
        <v>-</v>
      </c>
      <c r="BA27" s="9" t="e">
        <f t="shared" si="111"/>
        <v>#REF!</v>
      </c>
      <c r="BB27" s="105"/>
      <c r="BC27" s="212"/>
      <c r="BD27" s="221"/>
      <c r="BE27" s="58"/>
      <c r="BF27" s="11"/>
      <c r="BG27" s="244" t="str">
        <f t="shared" ref="BG27" si="112">IF(BG13=0,"-",BG26/BG13)</f>
        <v>-</v>
      </c>
      <c r="BH27" s="69" t="e">
        <f t="shared" ref="BH27:BI27" si="113">IF(BH13=0,"-",BH26/BH13)</f>
        <v>#REF!</v>
      </c>
      <c r="BI27" s="9" t="e">
        <f t="shared" si="113"/>
        <v>#REF!</v>
      </c>
      <c r="BJ27" s="9"/>
      <c r="BK27" s="212"/>
      <c r="BL27" s="221"/>
      <c r="BM27" s="2"/>
      <c r="BN27" s="232"/>
      <c r="BO27" s="232"/>
      <c r="BP27" s="2"/>
      <c r="BQ27" s="173"/>
      <c r="BR27" s="173"/>
      <c r="BS27" s="173"/>
      <c r="BT27" s="173"/>
      <c r="BU27" s="173"/>
      <c r="BV27" s="173"/>
      <c r="BW27" s="173"/>
      <c r="BX27" s="173"/>
      <c r="BY27" s="173"/>
      <c r="BZ27" s="173"/>
      <c r="CA27" s="173"/>
      <c r="CB27" s="173"/>
      <c r="CC27" s="69" t="str">
        <f t="shared" ref="CC27" si="114">IF(CC13=0,"-",CC26/CC13)</f>
        <v>-</v>
      </c>
      <c r="CD27" s="203"/>
      <c r="CE27" s="11"/>
      <c r="CF27" s="69" t="str">
        <f t="shared" ref="CF27" si="115">IF(CF13=0,"-",CF26/CF13)</f>
        <v>-</v>
      </c>
      <c r="CG27" s="135"/>
      <c r="CH27" s="69" t="str">
        <f t="shared" ref="CH27" si="116">IF(CH13=0,"-",CH26/CH13)</f>
        <v>-</v>
      </c>
      <c r="CI27" s="58"/>
      <c r="CJ27" s="11"/>
      <c r="CK27" s="69" t="str">
        <f t="shared" ref="CK27" si="117">IF(CK13=0,"-",CK26/CK13)</f>
        <v>-</v>
      </c>
      <c r="CL27" s="135"/>
      <c r="CM27" s="10" t="str">
        <f>IF(CM13=0,"-",CM26/CM13)</f>
        <v>-</v>
      </c>
      <c r="CN27" s="58"/>
    </row>
    <row r="28" spans="1:92" outlineLevel="1" x14ac:dyDescent="0.2">
      <c r="B28" s="56"/>
      <c r="C28" s="70"/>
      <c r="D28" s="2"/>
      <c r="E28" s="58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89"/>
      <c r="R28" s="2"/>
      <c r="S28" s="58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58"/>
      <c r="AF28" s="296"/>
      <c r="AG28" s="106"/>
      <c r="AH28" s="106"/>
      <c r="AI28" s="106"/>
      <c r="AJ28" s="198"/>
      <c r="AK28" s="198"/>
      <c r="AL28" s="58"/>
      <c r="AM28" s="11"/>
      <c r="AN28" s="245"/>
      <c r="AO28" s="58"/>
      <c r="AP28" s="296"/>
      <c r="AQ28" s="106"/>
      <c r="AR28" s="71"/>
      <c r="AS28" s="106"/>
      <c r="AT28" s="198"/>
      <c r="AU28" s="225"/>
      <c r="AV28" s="11"/>
      <c r="AW28" s="11"/>
      <c r="AX28" s="245"/>
      <c r="AY28" s="58"/>
      <c r="AZ28" s="296"/>
      <c r="BA28" s="71"/>
      <c r="BB28" s="106"/>
      <c r="BC28" s="198"/>
      <c r="BD28" s="225"/>
      <c r="BE28" s="58"/>
      <c r="BF28" s="11"/>
      <c r="BG28" s="245"/>
      <c r="BH28" s="58"/>
      <c r="BI28" s="11"/>
      <c r="BJ28" s="11"/>
      <c r="BK28" s="198"/>
      <c r="BL28" s="225"/>
      <c r="BM28" s="2"/>
      <c r="BN28" s="233"/>
      <c r="BO28" s="233"/>
      <c r="BP28" s="2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33"/>
      <c r="CD28" s="203"/>
      <c r="CE28" s="11"/>
      <c r="CF28" s="133"/>
      <c r="CG28" s="135"/>
      <c r="CH28" s="135"/>
      <c r="CI28" s="58"/>
      <c r="CJ28" s="11"/>
      <c r="CK28" s="133"/>
      <c r="CL28" s="135"/>
      <c r="CM28" s="154"/>
      <c r="CN28" s="58"/>
    </row>
    <row r="29" spans="1:92" outlineLevel="1" x14ac:dyDescent="0.2">
      <c r="A29" s="40">
        <v>20</v>
      </c>
      <c r="B29" s="72"/>
      <c r="C29" s="73" t="s">
        <v>14</v>
      </c>
      <c r="D29" s="74"/>
      <c r="E29" s="97">
        <f t="shared" ref="E29:P29" si="118">IF(ISERROR(VLOOKUP(CONCATENATE($B$2,E$5),TBCHISTORIQUE,19,FALSE)/1000),0,VLOOKUP(CONCATENATE($B$2,E$5),TBCHISTORIQUE,19,FALSE)/1000)</f>
        <v>0</v>
      </c>
      <c r="F29" s="171">
        <f t="shared" si="118"/>
        <v>0</v>
      </c>
      <c r="G29" s="171">
        <f t="shared" si="118"/>
        <v>0</v>
      </c>
      <c r="H29" s="171">
        <f t="shared" si="118"/>
        <v>0</v>
      </c>
      <c r="I29" s="171">
        <f t="shared" si="118"/>
        <v>0</v>
      </c>
      <c r="J29" s="171">
        <f t="shared" si="118"/>
        <v>0</v>
      </c>
      <c r="K29" s="171">
        <f t="shared" si="118"/>
        <v>0</v>
      </c>
      <c r="L29" s="171">
        <f t="shared" si="118"/>
        <v>0</v>
      </c>
      <c r="M29" s="171">
        <f t="shared" si="118"/>
        <v>0</v>
      </c>
      <c r="N29" s="171">
        <f t="shared" si="118"/>
        <v>0</v>
      </c>
      <c r="O29" s="171">
        <f t="shared" si="118"/>
        <v>0</v>
      </c>
      <c r="P29" s="172">
        <f t="shared" si="118"/>
        <v>0</v>
      </c>
      <c r="Q29" s="190">
        <f t="shared" ref="Q29:Q34" si="119">SUMIF($E$5:$P$5,"&lt;="&amp;mois,E29:P29)</f>
        <v>0</v>
      </c>
      <c r="R29" s="74"/>
      <c r="S29" s="97">
        <f t="shared" ref="S29:AD29" si="120">IF(ISERROR(VLOOKUP(CONCATENATE($B$2,S$5),TBCA,19,FALSE)/1000),0,VLOOKUP(CONCATENATE($B$2,S$5),TBCA,19,FALSE)/1000)</f>
        <v>0</v>
      </c>
      <c r="T29" s="171">
        <f t="shared" si="120"/>
        <v>0</v>
      </c>
      <c r="U29" s="171">
        <f t="shared" si="120"/>
        <v>0</v>
      </c>
      <c r="V29" s="171">
        <f t="shared" si="120"/>
        <v>0</v>
      </c>
      <c r="W29" s="171">
        <f t="shared" si="120"/>
        <v>0</v>
      </c>
      <c r="X29" s="171">
        <f t="shared" si="120"/>
        <v>0</v>
      </c>
      <c r="Y29" s="171">
        <f t="shared" si="120"/>
        <v>0</v>
      </c>
      <c r="Z29" s="171">
        <f t="shared" si="120"/>
        <v>0</v>
      </c>
      <c r="AA29" s="171">
        <f t="shared" si="120"/>
        <v>0</v>
      </c>
      <c r="AB29" s="171">
        <f t="shared" si="120"/>
        <v>0</v>
      </c>
      <c r="AC29" s="171">
        <f t="shared" si="120"/>
        <v>0</v>
      </c>
      <c r="AD29" s="172">
        <f t="shared" si="120"/>
        <v>0</v>
      </c>
      <c r="AE29" s="97">
        <f t="shared" ref="AE29:AE34" si="121">SUMIF($S$5:$AD$5,"&lt;="&amp;mois,S29:AD29)</f>
        <v>0</v>
      </c>
      <c r="AF29" s="292"/>
      <c r="AG29" s="107">
        <f t="shared" ref="AG29:AG34" si="122">AE29-AF29</f>
        <v>0</v>
      </c>
      <c r="AH29" s="107" t="e">
        <f t="shared" ref="AH29:AH35" si="123">IF(EXCERCICE="PA",AE29-($CC29/12*(mois)),IF(EXCERCICE="LB1",AE29-($CF29/12*(mois)),AE29-($CK29/12*(mois))))</f>
        <v>#REF!</v>
      </c>
      <c r="AI29" s="107"/>
      <c r="AJ29" s="215">
        <f t="shared" ref="AJ29:AJ35" si="124">IF(ISERROR(IF(EXCERCICE="PA",AE29/$CC29,IF(EXCERCICE="LB1",AE29/$CF29,AE29/$CK29))),0,IF(EXCERCICE="PA",AE29/$CC29,IF(EXCERCICE="LB1",AE29/$CF29,AE29/$CK29)))</f>
        <v>0</v>
      </c>
      <c r="AK29" s="215"/>
      <c r="AL29" s="75"/>
      <c r="AM29" s="77"/>
      <c r="AN29" s="246">
        <f>AN74</f>
        <v>0</v>
      </c>
      <c r="AO29" s="97" t="e">
        <f t="shared" ref="AO29:AO37" si="125">IF(mois+1&gt;12,AN29,+$AE29+AN29)</f>
        <v>#REF!</v>
      </c>
      <c r="AP29" s="292"/>
      <c r="AQ29" s="107" t="e">
        <f t="shared" ref="AQ29:AQ35" si="126">AO29-AP29</f>
        <v>#REF!</v>
      </c>
      <c r="AR29" s="78" t="e">
        <f t="shared" ref="AR29:AR34" si="127">IF(mois+1&gt;12,0,IF(mois=12,IF(EXCERCICE="PA",AO29-($CC29/12),IF(EXCERCICE="LB1",AO29-($CF29/12),AO29-($CK29/12))),IF(EXCERCICE="PA",AO29-($CC29/12*(mois+1)),IF(EXCERCICE="LB1",AO29-($CF29/12*(mois+1)),AO29-($CK29/12*(mois+1))))))</f>
        <v>#REF!</v>
      </c>
      <c r="AS29" s="180"/>
      <c r="AT29" s="215" t="e">
        <f t="shared" ref="AT29:AT35" si="128">IF(mois+1&gt;12,0,IF(ISERROR(IF(EXCERCICE="PA",AO29/$CC29,IF(EXCERCICE="LB1",AO29/$CF29,AO29/$CK29))),0,IF(EXCERCICE="PA",AO29/$CC29,IF(EXCERCICE="LB1",AO29/$CF29,AO29/$CK29))))</f>
        <v>#REF!</v>
      </c>
      <c r="AU29" s="226"/>
      <c r="AV29" s="11"/>
      <c r="AW29" s="77"/>
      <c r="AX29" s="246">
        <f>AX74</f>
        <v>0</v>
      </c>
      <c r="AY29" s="97" t="e">
        <f t="shared" ref="AY29:AY34" si="129">IF(mois+2=13,AX29,IF(mois+2&gt;14,AX29,$AO29+AX29))</f>
        <v>#REF!</v>
      </c>
      <c r="AZ29" s="292"/>
      <c r="BA29" s="78" t="e">
        <f t="shared" ref="BA29:BA34" si="130">IF(mois+2&gt;12,0,IF(mois=12,IF(EXCERCICE="PA",AY29-($CC29/12),IF(EXCERCICE="LB1",AY29-($CF29/12),AY29-($CK29/12))),IF(EXCERCICE="PA",AY29-($CC29/12*(mois+2)),IF(EXCERCICE="LB1",AY29-($CF29/12*(mois+2)),AY29-($CK29/12*(mois+2))))))</f>
        <v>#REF!</v>
      </c>
      <c r="BB29" s="180"/>
      <c r="BC29" s="215" t="e">
        <f t="shared" ref="BC29:BC35" si="131">IF(mois+2&gt;12,0,IF(ISERROR(IF(EXCERCICE="PA",AY29/$CC29,IF(EXCERCICE="LB1",AY29/$CF29,AY29/$CK29))),0,IF(EXCERCICE="PA",AY29/$CC29,IF(EXCERCICE="LB1",AY29/$CF29,AY29/$CK29))))</f>
        <v>#REF!</v>
      </c>
      <c r="BD29" s="226"/>
      <c r="BE29" s="75"/>
      <c r="BF29" s="77"/>
      <c r="BG29" s="246">
        <f>BG74</f>
        <v>0</v>
      </c>
      <c r="BH29" s="97" t="e">
        <f t="shared" ref="BH29:BH34" si="132">IF(mois+3=13,BG29,IF(mois+3&gt;15,BG29,+$AY29+BG29))</f>
        <v>#REF!</v>
      </c>
      <c r="BI29" s="78" t="e">
        <f t="shared" ref="BI29:BI34" si="133">IF(mois+3&gt;12,0,IF(mois=12,IF(EXCERCICE="PA",BH29-($CC29/12),IF(EXCERCICE="LB1",BH29-($CF29/12),BH29-($CK29/12))),IF(EXCERCICE="PA",BH29-($CC29/12*(mois+3)),IF(EXCERCICE="LB1",BH29-($CF29/12*(mois+3)),BH29-($CK29/12*(mois+3))))))</f>
        <v>#REF!</v>
      </c>
      <c r="BJ29" s="78"/>
      <c r="BK29" s="215" t="e">
        <f t="shared" ref="BK29:BK35" si="134">IF(mois+3&gt;12,0,IF(ISERROR(IF(EXCERCICE="PA",BH29/$CC29,IF(EXCERCICE="LB1",BH29/$CF29,BH29/$CK29))),0,IF(EXCERCICE="PA",BH29/$CC29,IF(EXCERCICE="LB1",BH29/$CF29,BH29/$CK29))))</f>
        <v>#REF!</v>
      </c>
      <c r="BL29" s="226"/>
      <c r="BM29" s="2"/>
      <c r="BN29" s="234" t="e">
        <f t="shared" ref="BN29:BN35" si="135">IF(mois&gt;=12,IF(EXCERCICE="PA",CC29-AE29,IF(EXCERCICE="LB1",CF29-AE29,IF(EXCERCICE="LB2",$CK29-AE29))),
IF(mois+1&lt;=13,IF(EXCERCICE="PA",CC29-AO29,IF(EXCERCICE="LB1",CF29-AO29,IF(EXCERCICE="LB2",$CK29-AO29))),
IF(mois+2&lt;=14,IF(EXCERCICE="PA",CC29-AY29,IF(EXCERCICE="LB1",CF29-AY29,IF(EXCERCICE="LB2",$CK29-AY29))),
IF(mois+3&lt;=15,IF(EXCERCICE="PA",CC29-BH29,IF(EXCERCICE="LB1",CF29-BH29,IF(EXCERCICE="LB2",$CK29-BH29))),0))))</f>
        <v>#REF!</v>
      </c>
      <c r="BO29" s="234" t="e">
        <f t="shared" ref="BO29:BO35" si="136">IF(BN29&lt;0,0,BN29/(12-mois))</f>
        <v>#REF!</v>
      </c>
      <c r="BP29" s="2"/>
      <c r="BQ29" s="173"/>
      <c r="BR29" s="173"/>
      <c r="BS29" s="173"/>
      <c r="BT29" s="173"/>
      <c r="BU29" s="173"/>
      <c r="BV29" s="173"/>
      <c r="BW29" s="173"/>
      <c r="BX29" s="173"/>
      <c r="BY29" s="173"/>
      <c r="BZ29" s="173"/>
      <c r="CA29" s="173"/>
      <c r="CB29" s="173"/>
      <c r="CC29" s="97">
        <f>IF(ISERROR(VLOOKUP($B$2,VALIDATION_PA,16,FALSE)),0,VLOOKUP($B$2,VALIDATION_PA,16,FALSE))/1000</f>
        <v>0</v>
      </c>
      <c r="CD29" s="203">
        <f t="shared" ref="CD29:CD35" si="137">IF(ISERROR(AE29/$CC29),0,AE29/$CC29)</f>
        <v>0</v>
      </c>
      <c r="CE29" s="77"/>
      <c r="CF29" s="97"/>
      <c r="CG29" s="125">
        <f t="shared" ref="CG29:CG35" si="138">IF(ISERROR($CF29/$BH29),0,$CF29/$BH29)</f>
        <v>0</v>
      </c>
      <c r="CH29" s="76">
        <f t="shared" ref="CH29:CH35" si="139">CF29-CC29</f>
        <v>0</v>
      </c>
      <c r="CI29" s="75"/>
      <c r="CJ29" s="77"/>
      <c r="CK29" s="97"/>
      <c r="CL29" s="125">
        <f t="shared" ref="CL29:CL35" si="140">IF(ISERROR($CK29/$BH29),0,$CK29/$BH29)</f>
        <v>0</v>
      </c>
      <c r="CM29" s="78">
        <f t="shared" ref="CM29:CM35" si="141">CK29-$CC29</f>
        <v>0</v>
      </c>
      <c r="CN29" s="75"/>
    </row>
    <row r="30" spans="1:92" outlineLevel="1" x14ac:dyDescent="0.2">
      <c r="A30" s="40">
        <v>20</v>
      </c>
      <c r="B30" s="72"/>
      <c r="C30" s="73" t="s">
        <v>15</v>
      </c>
      <c r="D30" s="74"/>
      <c r="E30" s="97">
        <f t="shared" ref="E30:P30" si="142">IF(ISERROR(VLOOKUP(CONCATENATE($B$2,E$5),TBCHISTORIQUE,20,FALSE)/1000),0,VLOOKUP(CONCATENATE($B$2,E$5),TBCHISTORIQUE,20,FALSE)/1000)</f>
        <v>0</v>
      </c>
      <c r="F30" s="171">
        <f t="shared" si="142"/>
        <v>0</v>
      </c>
      <c r="G30" s="171">
        <f t="shared" si="142"/>
        <v>0</v>
      </c>
      <c r="H30" s="171">
        <f t="shared" si="142"/>
        <v>0</v>
      </c>
      <c r="I30" s="171">
        <f t="shared" si="142"/>
        <v>0</v>
      </c>
      <c r="J30" s="171">
        <f t="shared" si="142"/>
        <v>0</v>
      </c>
      <c r="K30" s="171">
        <f t="shared" si="142"/>
        <v>0</v>
      </c>
      <c r="L30" s="171">
        <f t="shared" si="142"/>
        <v>0</v>
      </c>
      <c r="M30" s="171">
        <f t="shared" si="142"/>
        <v>0</v>
      </c>
      <c r="N30" s="171">
        <f t="shared" si="142"/>
        <v>0</v>
      </c>
      <c r="O30" s="171">
        <f t="shared" si="142"/>
        <v>0</v>
      </c>
      <c r="P30" s="172">
        <f t="shared" si="142"/>
        <v>0</v>
      </c>
      <c r="Q30" s="190">
        <f t="shared" si="119"/>
        <v>0</v>
      </c>
      <c r="R30" s="74"/>
      <c r="S30" s="97">
        <f t="shared" ref="S30:AD30" si="143">IF(ISERROR(VLOOKUP(CONCATENATE($B$2,S$5),TBCA,20,FALSE)/1000),0,VLOOKUP(CONCATENATE($B$2,S$5),TBCA,20,FALSE)/1000)</f>
        <v>0</v>
      </c>
      <c r="T30" s="171">
        <f t="shared" si="143"/>
        <v>0</v>
      </c>
      <c r="U30" s="171">
        <f t="shared" si="143"/>
        <v>0</v>
      </c>
      <c r="V30" s="171">
        <f t="shared" si="143"/>
        <v>0</v>
      </c>
      <c r="W30" s="171">
        <f t="shared" si="143"/>
        <v>0</v>
      </c>
      <c r="X30" s="171">
        <f t="shared" si="143"/>
        <v>0</v>
      </c>
      <c r="Y30" s="171">
        <f t="shared" si="143"/>
        <v>0</v>
      </c>
      <c r="Z30" s="171">
        <f t="shared" si="143"/>
        <v>0</v>
      </c>
      <c r="AA30" s="171">
        <f t="shared" si="143"/>
        <v>0</v>
      </c>
      <c r="AB30" s="171">
        <f t="shared" si="143"/>
        <v>0</v>
      </c>
      <c r="AC30" s="171">
        <f t="shared" si="143"/>
        <v>0</v>
      </c>
      <c r="AD30" s="172">
        <f t="shared" si="143"/>
        <v>0</v>
      </c>
      <c r="AE30" s="97">
        <f t="shared" si="121"/>
        <v>0</v>
      </c>
      <c r="AF30" s="292"/>
      <c r="AG30" s="107">
        <f t="shared" si="122"/>
        <v>0</v>
      </c>
      <c r="AH30" s="107" t="e">
        <f t="shared" si="123"/>
        <v>#REF!</v>
      </c>
      <c r="AI30" s="107"/>
      <c r="AJ30" s="215">
        <f t="shared" si="124"/>
        <v>0</v>
      </c>
      <c r="AK30" s="215"/>
      <c r="AL30" s="75"/>
      <c r="AM30" s="77"/>
      <c r="AN30" s="246">
        <f t="shared" ref="AN30:AN34" si="144">AN75</f>
        <v>0</v>
      </c>
      <c r="AO30" s="97" t="e">
        <f t="shared" si="125"/>
        <v>#REF!</v>
      </c>
      <c r="AP30" s="292"/>
      <c r="AQ30" s="107" t="e">
        <f t="shared" si="126"/>
        <v>#REF!</v>
      </c>
      <c r="AR30" s="78" t="e">
        <f t="shared" si="127"/>
        <v>#REF!</v>
      </c>
      <c r="AS30" s="180"/>
      <c r="AT30" s="215" t="e">
        <f t="shared" si="128"/>
        <v>#REF!</v>
      </c>
      <c r="AU30" s="226"/>
      <c r="AV30" s="11"/>
      <c r="AW30" s="77"/>
      <c r="AX30" s="246">
        <f t="shared" ref="AX30:AX34" si="145">AX75</f>
        <v>0</v>
      </c>
      <c r="AY30" s="97" t="e">
        <f t="shared" si="129"/>
        <v>#REF!</v>
      </c>
      <c r="AZ30" s="292"/>
      <c r="BA30" s="78" t="e">
        <f t="shared" si="130"/>
        <v>#REF!</v>
      </c>
      <c r="BB30" s="180"/>
      <c r="BC30" s="215" t="e">
        <f t="shared" si="131"/>
        <v>#REF!</v>
      </c>
      <c r="BD30" s="226"/>
      <c r="BE30" s="75"/>
      <c r="BF30" s="77"/>
      <c r="BG30" s="246">
        <f t="shared" ref="BG30:BG34" si="146">BG75</f>
        <v>0</v>
      </c>
      <c r="BH30" s="97" t="e">
        <f t="shared" si="132"/>
        <v>#REF!</v>
      </c>
      <c r="BI30" s="78" t="e">
        <f t="shared" si="133"/>
        <v>#REF!</v>
      </c>
      <c r="BJ30" s="78"/>
      <c r="BK30" s="215" t="e">
        <f t="shared" si="134"/>
        <v>#REF!</v>
      </c>
      <c r="BL30" s="226"/>
      <c r="BM30" s="2"/>
      <c r="BN30" s="234" t="e">
        <f t="shared" si="135"/>
        <v>#REF!</v>
      </c>
      <c r="BO30" s="234" t="e">
        <f t="shared" si="136"/>
        <v>#REF!</v>
      </c>
      <c r="BP30" s="2"/>
      <c r="BQ30" s="173"/>
      <c r="BR30" s="173"/>
      <c r="BS30" s="173"/>
      <c r="BT30" s="173"/>
      <c r="BU30" s="173"/>
      <c r="BV30" s="173"/>
      <c r="BW30" s="173"/>
      <c r="BX30" s="173"/>
      <c r="BY30" s="173"/>
      <c r="BZ30" s="173"/>
      <c r="CA30" s="173"/>
      <c r="CB30" s="173"/>
      <c r="CC30" s="97">
        <f>IF(ISERROR(VLOOKUP($B$2,VALIDATION_PA,17,FALSE)),0,VLOOKUP($B$2,VALIDATION_PA,17,FALSE))/1000</f>
        <v>0</v>
      </c>
      <c r="CD30" s="203">
        <f t="shared" si="137"/>
        <v>0</v>
      </c>
      <c r="CE30" s="77"/>
      <c r="CF30" s="97"/>
      <c r="CG30" s="125">
        <f t="shared" si="138"/>
        <v>0</v>
      </c>
      <c r="CH30" s="76">
        <f t="shared" si="139"/>
        <v>0</v>
      </c>
      <c r="CI30" s="75"/>
      <c r="CJ30" s="77"/>
      <c r="CK30" s="97"/>
      <c r="CL30" s="125">
        <f t="shared" si="140"/>
        <v>0</v>
      </c>
      <c r="CM30" s="78">
        <f t="shared" si="141"/>
        <v>0</v>
      </c>
      <c r="CN30" s="75"/>
    </row>
    <row r="31" spans="1:92" outlineLevel="1" x14ac:dyDescent="0.2">
      <c r="A31" s="40">
        <v>21</v>
      </c>
      <c r="B31" s="72"/>
      <c r="C31" s="73" t="s">
        <v>16</v>
      </c>
      <c r="D31" s="74"/>
      <c r="E31" s="97">
        <f t="shared" ref="E31:P31" si="147">IF(ISERROR(VLOOKUP(CONCATENATE($B$2,E$5),TBCHISTORIQUE,21,FALSE)/1000),0,VLOOKUP(CONCATENATE($B$2,E$5),TBCHISTORIQUE,21,FALSE)/1000)</f>
        <v>0</v>
      </c>
      <c r="F31" s="171">
        <f t="shared" si="147"/>
        <v>0</v>
      </c>
      <c r="G31" s="171">
        <f t="shared" si="147"/>
        <v>0</v>
      </c>
      <c r="H31" s="171">
        <f t="shared" si="147"/>
        <v>0</v>
      </c>
      <c r="I31" s="171">
        <f t="shared" si="147"/>
        <v>0</v>
      </c>
      <c r="J31" s="171">
        <f t="shared" si="147"/>
        <v>0</v>
      </c>
      <c r="K31" s="171">
        <f t="shared" si="147"/>
        <v>0</v>
      </c>
      <c r="L31" s="171">
        <f t="shared" si="147"/>
        <v>0</v>
      </c>
      <c r="M31" s="171">
        <f t="shared" si="147"/>
        <v>0</v>
      </c>
      <c r="N31" s="171">
        <f t="shared" si="147"/>
        <v>0</v>
      </c>
      <c r="O31" s="171">
        <f t="shared" si="147"/>
        <v>0</v>
      </c>
      <c r="P31" s="172">
        <f t="shared" si="147"/>
        <v>0</v>
      </c>
      <c r="Q31" s="190">
        <f t="shared" si="119"/>
        <v>0</v>
      </c>
      <c r="R31" s="74"/>
      <c r="S31" s="97">
        <f t="shared" ref="S31:AD31" si="148">IF(ISERROR(VLOOKUP(CONCATENATE($B$2,S$5),TBCA,21,FALSE)/1000),0,VLOOKUP(CONCATENATE($B$2,S$5),TBCA,21,FALSE)/1000)</f>
        <v>0</v>
      </c>
      <c r="T31" s="171">
        <f t="shared" si="148"/>
        <v>0</v>
      </c>
      <c r="U31" s="171">
        <f t="shared" si="148"/>
        <v>0</v>
      </c>
      <c r="V31" s="171">
        <f t="shared" si="148"/>
        <v>0</v>
      </c>
      <c r="W31" s="171">
        <f t="shared" si="148"/>
        <v>0</v>
      </c>
      <c r="X31" s="171">
        <f t="shared" si="148"/>
        <v>0</v>
      </c>
      <c r="Y31" s="171">
        <f t="shared" si="148"/>
        <v>0</v>
      </c>
      <c r="Z31" s="171">
        <f t="shared" si="148"/>
        <v>0</v>
      </c>
      <c r="AA31" s="171">
        <f t="shared" si="148"/>
        <v>0</v>
      </c>
      <c r="AB31" s="171">
        <f t="shared" si="148"/>
        <v>0</v>
      </c>
      <c r="AC31" s="171">
        <f t="shared" si="148"/>
        <v>0</v>
      </c>
      <c r="AD31" s="172">
        <f t="shared" si="148"/>
        <v>0</v>
      </c>
      <c r="AE31" s="97">
        <f t="shared" si="121"/>
        <v>0</v>
      </c>
      <c r="AF31" s="292"/>
      <c r="AG31" s="107">
        <f t="shared" si="122"/>
        <v>0</v>
      </c>
      <c r="AH31" s="107" t="e">
        <f t="shared" si="123"/>
        <v>#REF!</v>
      </c>
      <c r="AI31" s="107"/>
      <c r="AJ31" s="215">
        <f t="shared" si="124"/>
        <v>0</v>
      </c>
      <c r="AK31" s="215"/>
      <c r="AL31" s="75"/>
      <c r="AM31" s="77"/>
      <c r="AN31" s="246">
        <f t="shared" si="144"/>
        <v>0</v>
      </c>
      <c r="AO31" s="97" t="e">
        <f t="shared" si="125"/>
        <v>#REF!</v>
      </c>
      <c r="AP31" s="292"/>
      <c r="AQ31" s="107" t="e">
        <f t="shared" si="126"/>
        <v>#REF!</v>
      </c>
      <c r="AR31" s="78" t="e">
        <f t="shared" si="127"/>
        <v>#REF!</v>
      </c>
      <c r="AS31" s="180"/>
      <c r="AT31" s="215" t="e">
        <f t="shared" si="128"/>
        <v>#REF!</v>
      </c>
      <c r="AU31" s="226"/>
      <c r="AV31" s="11"/>
      <c r="AW31" s="77"/>
      <c r="AX31" s="246">
        <f t="shared" si="145"/>
        <v>0</v>
      </c>
      <c r="AY31" s="97" t="e">
        <f t="shared" si="129"/>
        <v>#REF!</v>
      </c>
      <c r="AZ31" s="292"/>
      <c r="BA31" s="78" t="e">
        <f t="shared" si="130"/>
        <v>#REF!</v>
      </c>
      <c r="BB31" s="180"/>
      <c r="BC31" s="215" t="e">
        <f t="shared" si="131"/>
        <v>#REF!</v>
      </c>
      <c r="BD31" s="226"/>
      <c r="BE31" s="75"/>
      <c r="BF31" s="77"/>
      <c r="BG31" s="246">
        <f t="shared" si="146"/>
        <v>0</v>
      </c>
      <c r="BH31" s="97" t="e">
        <f t="shared" si="132"/>
        <v>#REF!</v>
      </c>
      <c r="BI31" s="78" t="e">
        <f t="shared" si="133"/>
        <v>#REF!</v>
      </c>
      <c r="BJ31" s="78"/>
      <c r="BK31" s="215" t="e">
        <f t="shared" si="134"/>
        <v>#REF!</v>
      </c>
      <c r="BL31" s="226"/>
      <c r="BM31" s="2"/>
      <c r="BN31" s="234" t="e">
        <f t="shared" si="135"/>
        <v>#REF!</v>
      </c>
      <c r="BO31" s="234" t="e">
        <f t="shared" si="136"/>
        <v>#REF!</v>
      </c>
      <c r="BP31" s="2"/>
      <c r="BQ31" s="173"/>
      <c r="BR31" s="173"/>
      <c r="BS31" s="173"/>
      <c r="BT31" s="173"/>
      <c r="BU31" s="173"/>
      <c r="BV31" s="173"/>
      <c r="BW31" s="173"/>
      <c r="BX31" s="173"/>
      <c r="BY31" s="173"/>
      <c r="BZ31" s="173"/>
      <c r="CA31" s="173"/>
      <c r="CB31" s="173"/>
      <c r="CC31" s="97">
        <f>IF(ISERROR(VLOOKUP($B$2,VALIDATION_PA,18,FALSE)),0,VLOOKUP($B$2,VALIDATION_PA,18,FALSE))/1000</f>
        <v>0</v>
      </c>
      <c r="CD31" s="203">
        <f t="shared" si="137"/>
        <v>0</v>
      </c>
      <c r="CE31" s="77"/>
      <c r="CF31" s="97"/>
      <c r="CG31" s="125">
        <f t="shared" si="138"/>
        <v>0</v>
      </c>
      <c r="CH31" s="76">
        <f t="shared" si="139"/>
        <v>0</v>
      </c>
      <c r="CI31" s="75"/>
      <c r="CJ31" s="77"/>
      <c r="CK31" s="97"/>
      <c r="CL31" s="125">
        <f t="shared" si="140"/>
        <v>0</v>
      </c>
      <c r="CM31" s="78">
        <f t="shared" si="141"/>
        <v>0</v>
      </c>
      <c r="CN31" s="75"/>
    </row>
    <row r="32" spans="1:92" outlineLevel="1" x14ac:dyDescent="0.2">
      <c r="A32" s="40">
        <v>22</v>
      </c>
      <c r="B32" s="72"/>
      <c r="C32" s="73" t="s">
        <v>17</v>
      </c>
      <c r="D32" s="74"/>
      <c r="E32" s="97">
        <f t="shared" ref="E32:P32" si="149">IF(ISERROR(VLOOKUP(CONCATENATE($B$2,E$5),TBCHISTORIQUE,22,FALSE)/1000),0,VLOOKUP(CONCATENATE($B$2,E$5),TBCHISTORIQUE,22,FALSE)/1000)</f>
        <v>0</v>
      </c>
      <c r="F32" s="171">
        <f t="shared" si="149"/>
        <v>0</v>
      </c>
      <c r="G32" s="171">
        <f t="shared" si="149"/>
        <v>0</v>
      </c>
      <c r="H32" s="171">
        <f t="shared" si="149"/>
        <v>0</v>
      </c>
      <c r="I32" s="171">
        <f t="shared" si="149"/>
        <v>0</v>
      </c>
      <c r="J32" s="171">
        <f t="shared" si="149"/>
        <v>0</v>
      </c>
      <c r="K32" s="171">
        <f t="shared" si="149"/>
        <v>0</v>
      </c>
      <c r="L32" s="171">
        <f t="shared" si="149"/>
        <v>0</v>
      </c>
      <c r="M32" s="171">
        <f t="shared" si="149"/>
        <v>0</v>
      </c>
      <c r="N32" s="171">
        <f t="shared" si="149"/>
        <v>0</v>
      </c>
      <c r="O32" s="171">
        <f t="shared" si="149"/>
        <v>0</v>
      </c>
      <c r="P32" s="172">
        <f t="shared" si="149"/>
        <v>0</v>
      </c>
      <c r="Q32" s="190">
        <f t="shared" si="119"/>
        <v>0</v>
      </c>
      <c r="R32" s="74"/>
      <c r="S32" s="97">
        <f t="shared" ref="S32:AD32" si="150">IF(ISERROR(VLOOKUP(CONCATENATE($B$2,S$5),TBCA,22,FALSE)/1000),0,VLOOKUP(CONCATENATE($B$2,S$5),TBCA,22,FALSE)/1000)</f>
        <v>0</v>
      </c>
      <c r="T32" s="171">
        <f t="shared" si="150"/>
        <v>0</v>
      </c>
      <c r="U32" s="171">
        <f t="shared" si="150"/>
        <v>0</v>
      </c>
      <c r="V32" s="171">
        <f t="shared" si="150"/>
        <v>0</v>
      </c>
      <c r="W32" s="171">
        <f t="shared" si="150"/>
        <v>0</v>
      </c>
      <c r="X32" s="171">
        <f t="shared" si="150"/>
        <v>0</v>
      </c>
      <c r="Y32" s="171">
        <f t="shared" si="150"/>
        <v>0</v>
      </c>
      <c r="Z32" s="171">
        <f t="shared" si="150"/>
        <v>0</v>
      </c>
      <c r="AA32" s="171">
        <f t="shared" si="150"/>
        <v>0</v>
      </c>
      <c r="AB32" s="171">
        <f t="shared" si="150"/>
        <v>0</v>
      </c>
      <c r="AC32" s="171">
        <f t="shared" si="150"/>
        <v>0</v>
      </c>
      <c r="AD32" s="172">
        <f t="shared" si="150"/>
        <v>0</v>
      </c>
      <c r="AE32" s="97">
        <f t="shared" si="121"/>
        <v>0</v>
      </c>
      <c r="AF32" s="292"/>
      <c r="AG32" s="107">
        <f t="shared" si="122"/>
        <v>0</v>
      </c>
      <c r="AH32" s="107" t="e">
        <f t="shared" si="123"/>
        <v>#REF!</v>
      </c>
      <c r="AI32" s="107"/>
      <c r="AJ32" s="215">
        <f t="shared" si="124"/>
        <v>0</v>
      </c>
      <c r="AK32" s="215"/>
      <c r="AL32" s="75"/>
      <c r="AM32" s="77"/>
      <c r="AN32" s="246">
        <f t="shared" si="144"/>
        <v>0</v>
      </c>
      <c r="AO32" s="97" t="e">
        <f t="shared" si="125"/>
        <v>#REF!</v>
      </c>
      <c r="AP32" s="292"/>
      <c r="AQ32" s="107" t="e">
        <f t="shared" si="126"/>
        <v>#REF!</v>
      </c>
      <c r="AR32" s="78" t="e">
        <f t="shared" si="127"/>
        <v>#REF!</v>
      </c>
      <c r="AS32" s="180"/>
      <c r="AT32" s="215" t="e">
        <f t="shared" si="128"/>
        <v>#REF!</v>
      </c>
      <c r="AU32" s="226"/>
      <c r="AV32" s="11"/>
      <c r="AW32" s="77"/>
      <c r="AX32" s="246">
        <f t="shared" si="145"/>
        <v>0</v>
      </c>
      <c r="AY32" s="97" t="e">
        <f t="shared" si="129"/>
        <v>#REF!</v>
      </c>
      <c r="AZ32" s="292"/>
      <c r="BA32" s="78" t="e">
        <f t="shared" si="130"/>
        <v>#REF!</v>
      </c>
      <c r="BB32" s="180"/>
      <c r="BC32" s="215" t="e">
        <f t="shared" si="131"/>
        <v>#REF!</v>
      </c>
      <c r="BD32" s="226"/>
      <c r="BE32" s="75"/>
      <c r="BF32" s="77"/>
      <c r="BG32" s="246">
        <f t="shared" si="146"/>
        <v>0</v>
      </c>
      <c r="BH32" s="97" t="e">
        <f t="shared" si="132"/>
        <v>#REF!</v>
      </c>
      <c r="BI32" s="78" t="e">
        <f t="shared" si="133"/>
        <v>#REF!</v>
      </c>
      <c r="BJ32" s="78"/>
      <c r="BK32" s="215" t="e">
        <f t="shared" si="134"/>
        <v>#REF!</v>
      </c>
      <c r="BL32" s="226"/>
      <c r="BM32" s="2"/>
      <c r="BN32" s="234" t="e">
        <f t="shared" si="135"/>
        <v>#REF!</v>
      </c>
      <c r="BO32" s="234" t="e">
        <f t="shared" si="136"/>
        <v>#REF!</v>
      </c>
      <c r="BP32" s="2"/>
      <c r="BQ32" s="173"/>
      <c r="BR32" s="173"/>
      <c r="BS32" s="173"/>
      <c r="BT32" s="173"/>
      <c r="BU32" s="173"/>
      <c r="BV32" s="173"/>
      <c r="BW32" s="173"/>
      <c r="BX32" s="173"/>
      <c r="BY32" s="173"/>
      <c r="BZ32" s="173"/>
      <c r="CA32" s="173"/>
      <c r="CB32" s="173"/>
      <c r="CC32" s="97">
        <f>IF(ISERROR(VLOOKUP($B$2,VALIDATION_PA,19,FALSE)),0,VLOOKUP($B$2,VALIDATION_PA,19,FALSE))/1000</f>
        <v>0</v>
      </c>
      <c r="CD32" s="203">
        <f t="shared" si="137"/>
        <v>0</v>
      </c>
      <c r="CE32" s="77"/>
      <c r="CF32" s="97"/>
      <c r="CG32" s="125">
        <f t="shared" si="138"/>
        <v>0</v>
      </c>
      <c r="CH32" s="76">
        <f t="shared" si="139"/>
        <v>0</v>
      </c>
      <c r="CI32" s="75"/>
      <c r="CJ32" s="77"/>
      <c r="CK32" s="97"/>
      <c r="CL32" s="125">
        <f t="shared" si="140"/>
        <v>0</v>
      </c>
      <c r="CM32" s="78">
        <f t="shared" si="141"/>
        <v>0</v>
      </c>
      <c r="CN32" s="75"/>
    </row>
    <row r="33" spans="1:92" outlineLevel="1" x14ac:dyDescent="0.2">
      <c r="A33" s="40">
        <v>23</v>
      </c>
      <c r="B33" s="72"/>
      <c r="C33" s="73" t="s">
        <v>18</v>
      </c>
      <c r="D33" s="74"/>
      <c r="E33" s="97">
        <f t="shared" ref="E33:P33" si="151">IF(ISERROR(VLOOKUP(CONCATENATE($B$2,E$5),TBCHISTORIQUE,23,FALSE)/1000),0,VLOOKUP(CONCATENATE($B$2,E$5),TBCHISTORIQUE,23,FALSE)/1000)</f>
        <v>0</v>
      </c>
      <c r="F33" s="171">
        <f t="shared" si="151"/>
        <v>0</v>
      </c>
      <c r="G33" s="171">
        <f t="shared" si="151"/>
        <v>0</v>
      </c>
      <c r="H33" s="171">
        <f t="shared" si="151"/>
        <v>0</v>
      </c>
      <c r="I33" s="171">
        <f t="shared" si="151"/>
        <v>0</v>
      </c>
      <c r="J33" s="171">
        <f t="shared" si="151"/>
        <v>0</v>
      </c>
      <c r="K33" s="171">
        <f t="shared" si="151"/>
        <v>0</v>
      </c>
      <c r="L33" s="171">
        <f t="shared" si="151"/>
        <v>0</v>
      </c>
      <c r="M33" s="171">
        <f t="shared" si="151"/>
        <v>0</v>
      </c>
      <c r="N33" s="171">
        <f t="shared" si="151"/>
        <v>0</v>
      </c>
      <c r="O33" s="171">
        <f t="shared" si="151"/>
        <v>0</v>
      </c>
      <c r="P33" s="172">
        <f t="shared" si="151"/>
        <v>0</v>
      </c>
      <c r="Q33" s="190">
        <f t="shared" si="119"/>
        <v>0</v>
      </c>
      <c r="R33" s="74"/>
      <c r="S33" s="97">
        <f t="shared" ref="S33:AD33" si="152">IF(ISERROR(VLOOKUP(CONCATENATE($B$2,S$5),TBCA,23,FALSE)/1000),0,VLOOKUP(CONCATENATE($B$2,S$5),TBCA,23,FALSE)/1000)</f>
        <v>0</v>
      </c>
      <c r="T33" s="171">
        <f t="shared" si="152"/>
        <v>0</v>
      </c>
      <c r="U33" s="171">
        <f t="shared" si="152"/>
        <v>0</v>
      </c>
      <c r="V33" s="171">
        <f t="shared" si="152"/>
        <v>0</v>
      </c>
      <c r="W33" s="171">
        <f t="shared" si="152"/>
        <v>0</v>
      </c>
      <c r="X33" s="171">
        <f t="shared" si="152"/>
        <v>0</v>
      </c>
      <c r="Y33" s="171">
        <f t="shared" si="152"/>
        <v>0</v>
      </c>
      <c r="Z33" s="171">
        <f t="shared" si="152"/>
        <v>0</v>
      </c>
      <c r="AA33" s="171">
        <f t="shared" si="152"/>
        <v>0</v>
      </c>
      <c r="AB33" s="171">
        <f t="shared" si="152"/>
        <v>0</v>
      </c>
      <c r="AC33" s="171">
        <f t="shared" si="152"/>
        <v>0</v>
      </c>
      <c r="AD33" s="172">
        <f t="shared" si="152"/>
        <v>0</v>
      </c>
      <c r="AE33" s="97">
        <f t="shared" si="121"/>
        <v>0</v>
      </c>
      <c r="AF33" s="292"/>
      <c r="AG33" s="107">
        <f>AE33-AF33</f>
        <v>0</v>
      </c>
      <c r="AH33" s="107" t="e">
        <f t="shared" si="123"/>
        <v>#REF!</v>
      </c>
      <c r="AI33" s="107"/>
      <c r="AJ33" s="215">
        <f t="shared" si="124"/>
        <v>0</v>
      </c>
      <c r="AK33" s="215"/>
      <c r="AL33" s="75"/>
      <c r="AM33" s="77"/>
      <c r="AN33" s="246">
        <f t="shared" si="144"/>
        <v>0</v>
      </c>
      <c r="AO33" s="97" t="e">
        <f t="shared" si="125"/>
        <v>#REF!</v>
      </c>
      <c r="AP33" s="292"/>
      <c r="AQ33" s="107" t="e">
        <f t="shared" si="126"/>
        <v>#REF!</v>
      </c>
      <c r="AR33" s="78" t="e">
        <f t="shared" si="127"/>
        <v>#REF!</v>
      </c>
      <c r="AS33" s="180"/>
      <c r="AT33" s="215" t="e">
        <f t="shared" si="128"/>
        <v>#REF!</v>
      </c>
      <c r="AU33" s="226"/>
      <c r="AV33" s="11"/>
      <c r="AW33" s="77"/>
      <c r="AX33" s="246">
        <f t="shared" si="145"/>
        <v>0</v>
      </c>
      <c r="AY33" s="97" t="e">
        <f t="shared" si="129"/>
        <v>#REF!</v>
      </c>
      <c r="AZ33" s="292"/>
      <c r="BA33" s="78" t="e">
        <f t="shared" si="130"/>
        <v>#REF!</v>
      </c>
      <c r="BB33" s="180"/>
      <c r="BC33" s="215" t="e">
        <f t="shared" si="131"/>
        <v>#REF!</v>
      </c>
      <c r="BD33" s="226"/>
      <c r="BE33" s="75"/>
      <c r="BF33" s="77"/>
      <c r="BG33" s="246">
        <f t="shared" si="146"/>
        <v>0</v>
      </c>
      <c r="BH33" s="97" t="e">
        <f t="shared" si="132"/>
        <v>#REF!</v>
      </c>
      <c r="BI33" s="78" t="e">
        <f t="shared" si="133"/>
        <v>#REF!</v>
      </c>
      <c r="BJ33" s="78"/>
      <c r="BK33" s="215" t="e">
        <f t="shared" si="134"/>
        <v>#REF!</v>
      </c>
      <c r="BL33" s="226"/>
      <c r="BM33" s="2"/>
      <c r="BN33" s="234" t="e">
        <f t="shared" si="135"/>
        <v>#REF!</v>
      </c>
      <c r="BO33" s="234" t="e">
        <f t="shared" si="136"/>
        <v>#REF!</v>
      </c>
      <c r="BP33" s="2"/>
      <c r="BQ33" s="173"/>
      <c r="BR33" s="173"/>
      <c r="BS33" s="173"/>
      <c r="BT33" s="173"/>
      <c r="BU33" s="173"/>
      <c r="BV33" s="173"/>
      <c r="BW33" s="173"/>
      <c r="BX33" s="173"/>
      <c r="BY33" s="173"/>
      <c r="BZ33" s="173"/>
      <c r="CA33" s="173"/>
      <c r="CB33" s="173"/>
      <c r="CC33" s="97">
        <f>IF(ISERROR(VLOOKUP($B$2,VALIDATION_PA,20,FALSE)),0,VLOOKUP($B$2,VALIDATION_PA,20,FALSE))/1000</f>
        <v>0</v>
      </c>
      <c r="CD33" s="203">
        <f t="shared" si="137"/>
        <v>0</v>
      </c>
      <c r="CE33" s="77"/>
      <c r="CF33" s="97"/>
      <c r="CG33" s="125">
        <f t="shared" si="138"/>
        <v>0</v>
      </c>
      <c r="CH33" s="76">
        <f t="shared" si="139"/>
        <v>0</v>
      </c>
      <c r="CI33" s="75"/>
      <c r="CJ33" s="77"/>
      <c r="CK33" s="97"/>
      <c r="CL33" s="125">
        <f t="shared" si="140"/>
        <v>0</v>
      </c>
      <c r="CM33" s="78">
        <f t="shared" si="141"/>
        <v>0</v>
      </c>
      <c r="CN33" s="75"/>
    </row>
    <row r="34" spans="1:92" outlineLevel="1" x14ac:dyDescent="0.2">
      <c r="A34" s="40">
        <v>24</v>
      </c>
      <c r="B34" s="72"/>
      <c r="C34" s="73" t="s">
        <v>19</v>
      </c>
      <c r="D34" s="74"/>
      <c r="E34" s="97">
        <f t="shared" ref="E34:P34" si="153">IF(ISERROR(VLOOKUP(CONCATENATE($B$2,E$5),TBCHISTORIQUE,24,FALSE)/1000),0,VLOOKUP(CONCATENATE($B$2,E$5),TBCHISTORIQUE,24,FALSE)/1000)</f>
        <v>0</v>
      </c>
      <c r="F34" s="171">
        <f t="shared" si="153"/>
        <v>0</v>
      </c>
      <c r="G34" s="171">
        <f t="shared" si="153"/>
        <v>0</v>
      </c>
      <c r="H34" s="171">
        <f t="shared" si="153"/>
        <v>0</v>
      </c>
      <c r="I34" s="171">
        <f t="shared" si="153"/>
        <v>0</v>
      </c>
      <c r="J34" s="171">
        <f t="shared" si="153"/>
        <v>0</v>
      </c>
      <c r="K34" s="171">
        <f t="shared" si="153"/>
        <v>0</v>
      </c>
      <c r="L34" s="171">
        <f t="shared" si="153"/>
        <v>0</v>
      </c>
      <c r="M34" s="171">
        <f t="shared" si="153"/>
        <v>0</v>
      </c>
      <c r="N34" s="171">
        <f t="shared" si="153"/>
        <v>0</v>
      </c>
      <c r="O34" s="171">
        <f t="shared" si="153"/>
        <v>0</v>
      </c>
      <c r="P34" s="172">
        <f t="shared" si="153"/>
        <v>0</v>
      </c>
      <c r="Q34" s="190">
        <f t="shared" si="119"/>
        <v>0</v>
      </c>
      <c r="R34" s="74"/>
      <c r="S34" s="97">
        <f t="shared" ref="S34:AD34" si="154">IF(ISERROR(VLOOKUP(CONCATENATE($B$2,S$5),TBCA,24,FALSE)/1000),0,VLOOKUP(CONCATENATE($B$2,S$5),TBCA,24,FALSE)/1000)</f>
        <v>0</v>
      </c>
      <c r="T34" s="171">
        <f t="shared" si="154"/>
        <v>0</v>
      </c>
      <c r="U34" s="171">
        <f t="shared" si="154"/>
        <v>0</v>
      </c>
      <c r="V34" s="171">
        <f t="shared" si="154"/>
        <v>0</v>
      </c>
      <c r="W34" s="171">
        <f t="shared" si="154"/>
        <v>0</v>
      </c>
      <c r="X34" s="171">
        <f t="shared" si="154"/>
        <v>0</v>
      </c>
      <c r="Y34" s="171">
        <f t="shared" si="154"/>
        <v>0</v>
      </c>
      <c r="Z34" s="171">
        <f t="shared" si="154"/>
        <v>0</v>
      </c>
      <c r="AA34" s="171">
        <f t="shared" si="154"/>
        <v>0</v>
      </c>
      <c r="AB34" s="171">
        <f t="shared" si="154"/>
        <v>0</v>
      </c>
      <c r="AC34" s="171">
        <f t="shared" si="154"/>
        <v>0</v>
      </c>
      <c r="AD34" s="172">
        <f t="shared" si="154"/>
        <v>0</v>
      </c>
      <c r="AE34" s="97">
        <f t="shared" si="121"/>
        <v>0</v>
      </c>
      <c r="AF34" s="292"/>
      <c r="AG34" s="107">
        <f t="shared" si="122"/>
        <v>0</v>
      </c>
      <c r="AH34" s="107" t="e">
        <f t="shared" si="123"/>
        <v>#REF!</v>
      </c>
      <c r="AI34" s="107"/>
      <c r="AJ34" s="215">
        <f t="shared" si="124"/>
        <v>0</v>
      </c>
      <c r="AK34" s="215"/>
      <c r="AL34" s="75"/>
      <c r="AM34" s="77"/>
      <c r="AN34" s="246">
        <f t="shared" si="144"/>
        <v>0</v>
      </c>
      <c r="AO34" s="97" t="e">
        <f t="shared" si="125"/>
        <v>#REF!</v>
      </c>
      <c r="AP34" s="292"/>
      <c r="AQ34" s="107" t="e">
        <f t="shared" si="126"/>
        <v>#REF!</v>
      </c>
      <c r="AR34" s="78" t="e">
        <f t="shared" si="127"/>
        <v>#REF!</v>
      </c>
      <c r="AS34" s="180"/>
      <c r="AT34" s="215" t="e">
        <f t="shared" si="128"/>
        <v>#REF!</v>
      </c>
      <c r="AU34" s="226"/>
      <c r="AV34" s="11"/>
      <c r="AW34" s="77"/>
      <c r="AX34" s="246">
        <f t="shared" si="145"/>
        <v>0</v>
      </c>
      <c r="AY34" s="97" t="e">
        <f t="shared" si="129"/>
        <v>#REF!</v>
      </c>
      <c r="AZ34" s="292"/>
      <c r="BA34" s="78" t="e">
        <f t="shared" si="130"/>
        <v>#REF!</v>
      </c>
      <c r="BB34" s="180"/>
      <c r="BC34" s="215" t="e">
        <f t="shared" si="131"/>
        <v>#REF!</v>
      </c>
      <c r="BD34" s="226"/>
      <c r="BE34" s="75"/>
      <c r="BF34" s="77"/>
      <c r="BG34" s="246">
        <f t="shared" si="146"/>
        <v>0</v>
      </c>
      <c r="BH34" s="97" t="e">
        <f t="shared" si="132"/>
        <v>#REF!</v>
      </c>
      <c r="BI34" s="78" t="e">
        <f t="shared" si="133"/>
        <v>#REF!</v>
      </c>
      <c r="BJ34" s="78"/>
      <c r="BK34" s="215" t="e">
        <f t="shared" si="134"/>
        <v>#REF!</v>
      </c>
      <c r="BL34" s="226"/>
      <c r="BM34" s="2"/>
      <c r="BN34" s="234" t="e">
        <f t="shared" si="135"/>
        <v>#REF!</v>
      </c>
      <c r="BO34" s="234" t="e">
        <f t="shared" si="136"/>
        <v>#REF!</v>
      </c>
      <c r="BP34" s="2"/>
      <c r="BQ34" s="173"/>
      <c r="BR34" s="173"/>
      <c r="BS34" s="173"/>
      <c r="BT34" s="173"/>
      <c r="BU34" s="173"/>
      <c r="BV34" s="173"/>
      <c r="BW34" s="173"/>
      <c r="BX34" s="173"/>
      <c r="BY34" s="173"/>
      <c r="BZ34" s="173"/>
      <c r="CA34" s="173"/>
      <c r="CB34" s="173"/>
      <c r="CC34" s="97">
        <f>IF(ISERROR(VLOOKUP($B$2,VALIDATION_PA,21,FALSE)),0,VLOOKUP($B$2,VALIDATION_PA,21,FALSE))/1000</f>
        <v>0</v>
      </c>
      <c r="CD34" s="203">
        <f t="shared" si="137"/>
        <v>0</v>
      </c>
      <c r="CE34" s="77"/>
      <c r="CF34" s="97"/>
      <c r="CG34" s="125">
        <f t="shared" si="138"/>
        <v>0</v>
      </c>
      <c r="CH34" s="76">
        <f t="shared" si="139"/>
        <v>0</v>
      </c>
      <c r="CI34" s="75"/>
      <c r="CJ34" s="77"/>
      <c r="CK34" s="97"/>
      <c r="CL34" s="125">
        <f t="shared" si="140"/>
        <v>0</v>
      </c>
      <c r="CM34" s="78">
        <f t="shared" si="141"/>
        <v>0</v>
      </c>
      <c r="CN34" s="75"/>
    </row>
    <row r="35" spans="1:92" x14ac:dyDescent="0.2">
      <c r="B35" s="81"/>
      <c r="C35" s="82" t="s">
        <v>20</v>
      </c>
      <c r="D35" s="83"/>
      <c r="E35" s="99">
        <f>SUM(E19,E26,E29:E34)</f>
        <v>0</v>
      </c>
      <c r="F35" s="87">
        <f t="shared" ref="F35:Q35" si="155">SUM(F19,F26,F29:F34)</f>
        <v>0</v>
      </c>
      <c r="G35" s="87">
        <f t="shared" si="155"/>
        <v>0</v>
      </c>
      <c r="H35" s="87">
        <f t="shared" si="155"/>
        <v>0</v>
      </c>
      <c r="I35" s="87">
        <f t="shared" si="155"/>
        <v>0</v>
      </c>
      <c r="J35" s="87">
        <f t="shared" si="155"/>
        <v>0</v>
      </c>
      <c r="K35" s="87">
        <f t="shared" si="155"/>
        <v>0</v>
      </c>
      <c r="L35" s="87">
        <f t="shared" si="155"/>
        <v>0</v>
      </c>
      <c r="M35" s="87">
        <f t="shared" si="155"/>
        <v>0</v>
      </c>
      <c r="N35" s="87">
        <f t="shared" si="155"/>
        <v>0</v>
      </c>
      <c r="O35" s="87">
        <f t="shared" si="155"/>
        <v>0</v>
      </c>
      <c r="P35" s="87">
        <f t="shared" si="155"/>
        <v>0</v>
      </c>
      <c r="Q35" s="192">
        <f t="shared" si="155"/>
        <v>0</v>
      </c>
      <c r="R35" s="83"/>
      <c r="S35" s="99">
        <f>SUM(S19,S26,S29:S34)</f>
        <v>0</v>
      </c>
      <c r="T35" s="87">
        <f t="shared" ref="T35:AF35" si="156">SUM(T19,T26,T29:T34)</f>
        <v>0</v>
      </c>
      <c r="U35" s="87">
        <f t="shared" si="156"/>
        <v>0</v>
      </c>
      <c r="V35" s="87">
        <f t="shared" si="156"/>
        <v>0</v>
      </c>
      <c r="W35" s="87">
        <f t="shared" si="156"/>
        <v>0</v>
      </c>
      <c r="X35" s="87">
        <f t="shared" si="156"/>
        <v>0</v>
      </c>
      <c r="Y35" s="87">
        <f t="shared" si="156"/>
        <v>0</v>
      </c>
      <c r="Z35" s="87">
        <f t="shared" si="156"/>
        <v>0</v>
      </c>
      <c r="AA35" s="87">
        <f t="shared" si="156"/>
        <v>0</v>
      </c>
      <c r="AB35" s="87">
        <f t="shared" si="156"/>
        <v>0</v>
      </c>
      <c r="AC35" s="87">
        <f t="shared" si="156"/>
        <v>0</v>
      </c>
      <c r="AD35" s="87">
        <f t="shared" si="156"/>
        <v>0</v>
      </c>
      <c r="AE35" s="99">
        <f t="shared" si="156"/>
        <v>0</v>
      </c>
      <c r="AF35" s="297">
        <f t="shared" si="156"/>
        <v>0</v>
      </c>
      <c r="AG35" s="109">
        <f>AE35-AF35</f>
        <v>0</v>
      </c>
      <c r="AH35" s="109" t="e">
        <f t="shared" si="123"/>
        <v>#REF!</v>
      </c>
      <c r="AI35" s="177">
        <f>IF(ISERROR(AE35/Q35),0,AE35/Q35)</f>
        <v>0</v>
      </c>
      <c r="AJ35" s="177">
        <f t="shared" si="124"/>
        <v>0</v>
      </c>
      <c r="AK35" s="177" t="str">
        <f>IF(ISERROR(AE35/HLOOKUP(mois,$BQ$5:$CB$39,31,FALSE)),"",AE35/HLOOKUP(mois,$BQ$5:$CB$39,31,FALSE))</f>
        <v/>
      </c>
      <c r="AL35" s="84"/>
      <c r="AM35" s="86"/>
      <c r="AN35" s="248">
        <f t="shared" ref="AN35:AR35" si="157">SUM(AN19,AN26,AN29:AN34)</f>
        <v>0</v>
      </c>
      <c r="AO35" s="99" t="e">
        <f t="shared" si="157"/>
        <v>#REF!</v>
      </c>
      <c r="AP35" s="297">
        <f t="shared" si="157"/>
        <v>0</v>
      </c>
      <c r="AQ35" s="109" t="e">
        <f t="shared" si="126"/>
        <v>#REF!</v>
      </c>
      <c r="AR35" s="87" t="e">
        <f t="shared" si="157"/>
        <v>#REF!</v>
      </c>
      <c r="AS35" s="201" t="e">
        <f>IF(mois+1&gt;12,AO35/SUMPRODUCT((($S$6:$U$6)&lt;=mois+1)*$S35:$U35),AO35/SUMPRODUCT((($E$5:$P$5)&lt;=mois+1)*$E35:$P35))</f>
        <v>#REF!</v>
      </c>
      <c r="AT35" s="177" t="e">
        <f t="shared" si="128"/>
        <v>#REF!</v>
      </c>
      <c r="AU35" s="228" t="str">
        <f>IF(ISERROR(AO35/HLOOKUP(mois+1,$BQ$5:$CB$39,31,FALSE)),"",AO35/HLOOKUP(mois+1,$BQ$5:$CB$39,31,FALSE))</f>
        <v/>
      </c>
      <c r="AV35" s="11"/>
      <c r="AW35" s="86"/>
      <c r="AX35" s="248">
        <f t="shared" ref="AX35" si="158">SUM(AX19,AX26,AX29:AX34)</f>
        <v>0</v>
      </c>
      <c r="AY35" s="99" t="e">
        <f t="shared" ref="AY35:BA35" si="159">SUM(AY19,AY26,AY29:AY34)</f>
        <v>#REF!</v>
      </c>
      <c r="AZ35" s="297">
        <f t="shared" si="159"/>
        <v>0</v>
      </c>
      <c r="BA35" s="87" t="e">
        <f t="shared" si="159"/>
        <v>#REF!</v>
      </c>
      <c r="BB35" s="177" t="e">
        <f>IF(mois+1&gt;12,AY35/SUMPRODUCT((($S$6:$U$6)&lt;=mois+2)*$S35:$U35),AY35/SUMPRODUCT((($E$5:$P$5)&lt;=mois+2)*$E35:$P35))</f>
        <v>#REF!</v>
      </c>
      <c r="BC35" s="177" t="e">
        <f t="shared" si="131"/>
        <v>#REF!</v>
      </c>
      <c r="BD35" s="228" t="str">
        <f>IF(ISERROR(AY35/HLOOKUP(mois+2,$BQ$5:$CB$39,31,FALSE)),"",AY35/HLOOKUP(mois+2,$BQ$5:$CB$39,31,FALSE))</f>
        <v/>
      </c>
      <c r="BE35" s="84"/>
      <c r="BF35" s="86"/>
      <c r="BG35" s="248">
        <f t="shared" ref="BG35" si="160">SUM(BG19,BG26,BG29:BG34)</f>
        <v>0</v>
      </c>
      <c r="BH35" s="99" t="e">
        <f>SUM(BH19,BH26,BH29:BH34)</f>
        <v>#REF!</v>
      </c>
      <c r="BI35" s="87" t="e">
        <f>SUM(BI19,BI26,BI29:BI34)</f>
        <v>#REF!</v>
      </c>
      <c r="BJ35" s="177" t="e">
        <f>IF(mois+1&gt;12,BA35/SUMPRODUCT((($S$6:$U$6)&lt;=mois+3)*$S35:$U35),BA35/SUMPRODUCT((($E$5:$P$5)&lt;=mois+3)*$E35:$P35))</f>
        <v>#REF!</v>
      </c>
      <c r="BK35" s="177" t="e">
        <f t="shared" si="134"/>
        <v>#REF!</v>
      </c>
      <c r="BL35" s="228" t="str">
        <f>IF(ISERROR(BH35/HLOOKUP(mois+3,$BQ$5:$CB$39,31,FALSE)),"",BH35/HLOOKUP(mois+3,$BQ$5:$CB$39,31,FALSE))</f>
        <v/>
      </c>
      <c r="BM35" s="2"/>
      <c r="BN35" s="132" t="e">
        <f t="shared" si="135"/>
        <v>#REF!</v>
      </c>
      <c r="BO35" s="132" t="e">
        <f t="shared" si="136"/>
        <v>#REF!</v>
      </c>
      <c r="BP35" s="2"/>
      <c r="BQ35" s="196">
        <v>40</v>
      </c>
      <c r="BR35" s="196">
        <v>80</v>
      </c>
      <c r="BS35" s="196">
        <v>140</v>
      </c>
      <c r="BT35" s="196">
        <v>300</v>
      </c>
      <c r="BU35" s="196">
        <v>360</v>
      </c>
      <c r="BV35" s="196">
        <v>420</v>
      </c>
      <c r="BW35" s="196">
        <v>500</v>
      </c>
      <c r="BX35" s="196">
        <v>560</v>
      </c>
      <c r="BY35" s="196">
        <v>640</v>
      </c>
      <c r="BZ35" s="196">
        <v>690</v>
      </c>
      <c r="CA35" s="196">
        <v>740</v>
      </c>
      <c r="CB35" s="196">
        <v>804</v>
      </c>
      <c r="CC35" s="99">
        <f t="shared" ref="CC35" si="161">SUM(CC19,CC26,CC29:CC34)</f>
        <v>0</v>
      </c>
      <c r="CD35" s="210">
        <f t="shared" si="137"/>
        <v>0</v>
      </c>
      <c r="CE35" s="86"/>
      <c r="CF35" s="99"/>
      <c r="CG35" s="127">
        <f t="shared" si="138"/>
        <v>0</v>
      </c>
      <c r="CH35" s="85">
        <f t="shared" si="139"/>
        <v>0</v>
      </c>
      <c r="CI35" s="84"/>
      <c r="CJ35" s="86"/>
      <c r="CK35" s="99"/>
      <c r="CL35" s="127">
        <f t="shared" si="140"/>
        <v>0</v>
      </c>
      <c r="CM35" s="87">
        <f t="shared" si="141"/>
        <v>0</v>
      </c>
      <c r="CN35" s="84"/>
    </row>
    <row r="36" spans="1:92" x14ac:dyDescent="0.2">
      <c r="B36" s="60"/>
      <c r="C36" s="257" t="s">
        <v>12</v>
      </c>
      <c r="E36" s="61" t="str">
        <f>IF(E13=0,"-",E35/E13)</f>
        <v>-</v>
      </c>
      <c r="F36" s="7" t="str">
        <f t="shared" ref="F36:Q36" si="162">IF(F13=0,"-",F35/F13)</f>
        <v>-</v>
      </c>
      <c r="G36" s="7" t="str">
        <f t="shared" si="162"/>
        <v>-</v>
      </c>
      <c r="H36" s="7" t="str">
        <f t="shared" si="162"/>
        <v>-</v>
      </c>
      <c r="I36" s="7" t="str">
        <f t="shared" si="162"/>
        <v>-</v>
      </c>
      <c r="J36" s="7" t="str">
        <f t="shared" si="162"/>
        <v>-</v>
      </c>
      <c r="K36" s="7" t="str">
        <f t="shared" si="162"/>
        <v>-</v>
      </c>
      <c r="L36" s="7" t="str">
        <f t="shared" si="162"/>
        <v>-</v>
      </c>
      <c r="M36" s="7" t="str">
        <f t="shared" si="162"/>
        <v>-</v>
      </c>
      <c r="N36" s="7" t="str">
        <f t="shared" si="162"/>
        <v>-</v>
      </c>
      <c r="O36" s="7" t="str">
        <f t="shared" si="162"/>
        <v>-</v>
      </c>
      <c r="P36" s="7" t="str">
        <f t="shared" si="162"/>
        <v>-</v>
      </c>
      <c r="Q36" s="186" t="str">
        <f t="shared" si="162"/>
        <v>-</v>
      </c>
      <c r="S36" s="61" t="str">
        <f>IF(S13=0,"-",S35/S13)</f>
        <v>-</v>
      </c>
      <c r="T36" s="7" t="str">
        <f t="shared" ref="T36:AD36" si="163">IF(T13=0,"-",T35/T13)</f>
        <v>-</v>
      </c>
      <c r="U36" s="7" t="str">
        <f t="shared" si="163"/>
        <v>-</v>
      </c>
      <c r="V36" s="7" t="str">
        <f t="shared" si="163"/>
        <v>-</v>
      </c>
      <c r="W36" s="7" t="str">
        <f t="shared" si="163"/>
        <v>-</v>
      </c>
      <c r="X36" s="7" t="str">
        <f t="shared" si="163"/>
        <v>-</v>
      </c>
      <c r="Y36" s="7" t="str">
        <f t="shared" si="163"/>
        <v>-</v>
      </c>
      <c r="Z36" s="7" t="str">
        <f t="shared" si="163"/>
        <v>-</v>
      </c>
      <c r="AA36" s="7" t="str">
        <f t="shared" si="163"/>
        <v>-</v>
      </c>
      <c r="AB36" s="7" t="str">
        <f t="shared" si="163"/>
        <v>-</v>
      </c>
      <c r="AC36" s="7" t="str">
        <f t="shared" si="163"/>
        <v>-</v>
      </c>
      <c r="AD36" s="62" t="str">
        <f t="shared" si="163"/>
        <v>-</v>
      </c>
      <c r="AE36" s="61" t="str">
        <f t="shared" ref="AE36" si="164">IF(AE13=0,"-",AE35/AE13)</f>
        <v>-</v>
      </c>
      <c r="AF36" s="295" t="str">
        <f t="shared" ref="AF36" si="165">IF(AF13=0,"-",AF35/AF13)</f>
        <v>-</v>
      </c>
      <c r="AG36" s="103" t="str">
        <f>IF(AG13=0,"-",AG35/AG13)</f>
        <v>-</v>
      </c>
      <c r="AH36" s="103" t="e">
        <f>IF(AH13=0,"-",AH35/AH13)</f>
        <v>#REF!</v>
      </c>
      <c r="AI36" s="103"/>
      <c r="AJ36" s="197"/>
      <c r="AK36" s="197"/>
      <c r="AL36" s="58"/>
      <c r="AM36" s="11"/>
      <c r="AN36" s="249" t="str">
        <f t="shared" ref="AN36" si="166">IF(AN13=0,"-",AN35/AN13)</f>
        <v>-</v>
      </c>
      <c r="AO36" s="61" t="e">
        <f t="shared" ref="AO36:AR36" si="167">IF(AO13=0,"-",AO35/AO13)</f>
        <v>#REF!</v>
      </c>
      <c r="AP36" s="293" t="str">
        <f t="shared" si="167"/>
        <v>-</v>
      </c>
      <c r="AQ36" s="103" t="e">
        <f t="shared" si="167"/>
        <v>#REF!</v>
      </c>
      <c r="AR36" s="7" t="e">
        <f t="shared" si="167"/>
        <v>#REF!</v>
      </c>
      <c r="AS36" s="103"/>
      <c r="AT36" s="197"/>
      <c r="AU36" s="222"/>
      <c r="AV36" s="11"/>
      <c r="AW36" s="11"/>
      <c r="AX36" s="249" t="str">
        <f t="shared" ref="AX36" si="168">IF(AX13=0,"-",AX35/AX13)</f>
        <v>-</v>
      </c>
      <c r="AY36" s="61" t="e">
        <f t="shared" ref="AY36:BA36" si="169">IF(AY13=0,"-",AY35/AY13)</f>
        <v>#REF!</v>
      </c>
      <c r="AZ36" s="293" t="str">
        <f t="shared" si="169"/>
        <v>-</v>
      </c>
      <c r="BA36" s="7" t="e">
        <f t="shared" si="169"/>
        <v>#REF!</v>
      </c>
      <c r="BB36" s="103"/>
      <c r="BC36" s="197"/>
      <c r="BD36" s="222"/>
      <c r="BE36" s="58"/>
      <c r="BF36" s="11"/>
      <c r="BG36" s="249" t="str">
        <f t="shared" ref="BG36" si="170">IF(BG13=0,"-",BG35/BG13)</f>
        <v>-</v>
      </c>
      <c r="BH36" s="61" t="e">
        <f>IF(BH13=0,"-",BH35/BH13)</f>
        <v>#REF!</v>
      </c>
      <c r="BI36" s="7"/>
      <c r="BJ36" s="7"/>
      <c r="BK36" s="197"/>
      <c r="BL36" s="222"/>
      <c r="BM36" s="2"/>
      <c r="BN36" s="63"/>
      <c r="BO36" s="63"/>
      <c r="BP36" s="2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3"/>
      <c r="CC36" s="61" t="str">
        <f t="shared" ref="CC36" si="171">IF(CC13=0,"-",CC35/CC13)</f>
        <v>-</v>
      </c>
      <c r="CD36" s="204"/>
      <c r="CE36" s="11"/>
      <c r="CF36" s="61" t="str">
        <f t="shared" ref="CF36" si="172">IF(CF13=0,"-",CF35/CF13)</f>
        <v>-</v>
      </c>
      <c r="CG36" s="134"/>
      <c r="CH36" s="61" t="str">
        <f t="shared" ref="CH36" si="173">IF(CH13=0,"-",CH35/CH13)</f>
        <v>-</v>
      </c>
      <c r="CI36" s="58"/>
      <c r="CJ36" s="11"/>
      <c r="CK36" s="61" t="str">
        <f t="shared" ref="CK36" si="174">IF(CK13=0,"-",CK35/CK13)</f>
        <v>-</v>
      </c>
      <c r="CL36" s="134"/>
      <c r="CM36" s="145" t="str">
        <f>IF(CM13=0,"-",CM35/CM13)</f>
        <v>-</v>
      </c>
      <c r="CN36" s="58"/>
    </row>
    <row r="37" spans="1:92" outlineLevel="1" x14ac:dyDescent="0.2">
      <c r="B37" s="56"/>
      <c r="C37" s="57" t="s">
        <v>73</v>
      </c>
      <c r="E37" s="240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4"/>
      <c r="Q37" s="255">
        <f>SUMIF($E$5:$P$5,"&lt;="&amp;mois,E37:P37)</f>
        <v>0</v>
      </c>
      <c r="S37" s="240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6"/>
      <c r="AE37" s="146"/>
      <c r="AF37" s="305"/>
      <c r="AG37" s="147">
        <f>AE37-AF37</f>
        <v>0</v>
      </c>
      <c r="AH37" s="147" t="e">
        <f>IF(EXCERCICE="PA",AE37-($CC37/12*(mois)),IF(EXCERCICE="LB1",AE37-($CF37/12*(mois)),AE37-($CK37/12*(mois))))</f>
        <v>#REF!</v>
      </c>
      <c r="AI37" s="147"/>
      <c r="AJ37" s="216">
        <f>IF(ISERROR(IF(EXCERCICE="PA",AE37/$CC37,IF(EXCERCICE="LB1",AE37/$CF37,AE37/$CK37))),0,IF(EXCERCICE="PA",AE37/$CC37,IF(EXCERCICE="LB1",AE37/$CF37,AE37/$CK37)))</f>
        <v>0</v>
      </c>
      <c r="AK37" s="229"/>
      <c r="AL37" s="11"/>
      <c r="AM37" s="11"/>
      <c r="AN37" s="246"/>
      <c r="AO37" s="97" t="e">
        <f t="shared" si="125"/>
        <v>#REF!</v>
      </c>
      <c r="AP37" s="305"/>
      <c r="AQ37" s="147"/>
      <c r="AR37" s="219" t="e">
        <f>IF(mois+1&gt;12,0,IF(mois=12,IF(EXCERCICE="PA",AO37-($CC37/12),IF(EXCERCICE="LB1",AO37-($CF37/12),AO37-($CK37/12))),IF(EXCERCICE="PA",AO37-($CC37/12*(mois+1)),IF(EXCERCICE="LB1",AO37-($CF37/12*(mois+1)),AO37-($CK37/12*(mois+1))))))</f>
        <v>#REF!</v>
      </c>
      <c r="AS37" s="180"/>
      <c r="AT37" s="216" t="e">
        <f>IF(mois+1&gt;12,0,IF(ISERROR(IF(EXCERCICE="PA",AO37/$CC37,IF(EXCERCICE="LB1",AO37/$CF37,AO37/$CK37))),0,IF(EXCERCICE="PA",AO37/$CC37,IF(EXCERCICE="LB1",AO37/$CF37,AO37/$CK37))))</f>
        <v>#REF!</v>
      </c>
      <c r="AU37" s="229"/>
      <c r="AV37" s="11"/>
      <c r="AW37" s="11"/>
      <c r="AX37" s="246"/>
      <c r="AY37" s="97" t="e">
        <f>IF(mois+2=13,AX37,IF(mois+2&gt;14,AX37,$AO37+AX37))</f>
        <v>#REF!</v>
      </c>
      <c r="AZ37" s="305"/>
      <c r="BA37" s="219" t="e">
        <f>IF(mois+2&gt;14,AZ37,$AO37+AZ37)</f>
        <v>#REF!</v>
      </c>
      <c r="BB37" s="180"/>
      <c r="BC37" s="216" t="e">
        <f>IF(mois+2&gt;12,0,IF(ISERROR(IF(EXCERCICE="PA",AY37/$CC37,IF(EXCERCICE="LB1",AY37/$CF37,AY37/$CK37))),0,IF(EXCERCICE="PA",AY37/$CC37,IF(EXCERCICE="LB1",AY37/$CF37,AY37/$CK37))))</f>
        <v>#REF!</v>
      </c>
      <c r="BD37" s="229"/>
      <c r="BE37" s="11"/>
      <c r="BF37" s="11"/>
      <c r="BG37" s="246"/>
      <c r="BH37" s="97" t="e">
        <f>IF(mois+3=13,BG37,IF(mois+3&gt;15,BG37,+$AY37+BG37))</f>
        <v>#REF!</v>
      </c>
      <c r="BI37" s="78" t="e">
        <f>IF(mois+3&gt;12,0,IF(mois=12,IF(EXCERCICE="PA",BH37-($CC37/12),IF(EXCERCICE="LB1",BH37-($CF37/12),BH37-($CK37/12))),IF(EXCERCICE="PA",BH37-($CC37/12*(mois+3)),IF(EXCERCICE="LB1",BH37-($CF37/12*(mois+3)),BH37-($CK37/12*(mois+3))))))</f>
        <v>#REF!</v>
      </c>
      <c r="BJ37" s="78"/>
      <c r="BK37" s="216" t="e">
        <f>IF(mois+3&gt;12,0,IF(ISERROR(IF(EXCERCICE="PA",BH37/$CC37,IF(EXCERCICE="LB1",BH37/$CF37,BH37/$CK37))),0,IF(EXCERCICE="PA",BH37/$CC37,IF(EXCERCICE="LB1",BH37/$CF37,BH37/$CK37))))</f>
        <v>#REF!</v>
      </c>
      <c r="BL37" s="229"/>
      <c r="BM37" s="2"/>
      <c r="BN37" s="234" t="e">
        <f>IF(mois&gt;=12,IF(EXCERCICE="PA",CC37-AE37,IF(EXCERCICE="LB1",CF37-AE37,IF(EXCERCICE="LB2",$CK37-AE37))),
IF(mois+1&lt;=13,IF(EXCERCICE="PA",CC37-AO37,IF(EXCERCICE="LB1",CF37-AO37,IF(EXCERCICE="LB2",$CK37-AO37))),
IF(mois+2&lt;=14,IF(EXCERCICE="PA",CC37-AY37,IF(EXCERCICE="LB1",CF37-AY37,IF(EXCERCICE="LB2",$CK37-AY37))),
IF(mois+3&lt;=15,IF(EXCERCICE="PA",CC37-BH37,IF(EXCERCICE="LB1",CF37-BH37,IF(EXCERCICE="LB2",$CK37-BH37))),0))))</f>
        <v>#REF!</v>
      </c>
      <c r="BO37" s="234" t="e">
        <f>IF(BN37&lt;0,0,BN37/(12-mois))</f>
        <v>#REF!</v>
      </c>
      <c r="BP37" s="2"/>
      <c r="BQ37" s="173"/>
      <c r="BR37" s="173"/>
      <c r="BS37" s="173"/>
      <c r="BT37" s="173"/>
      <c r="BU37" s="173"/>
      <c r="BV37" s="173"/>
      <c r="BW37" s="173"/>
      <c r="BX37" s="173"/>
      <c r="BY37" s="173"/>
      <c r="BZ37" s="173"/>
      <c r="CA37" s="173"/>
      <c r="CB37" s="173"/>
      <c r="CC37" s="193"/>
      <c r="CD37" s="211">
        <f>IF(ISERROR(AE37/$CC37),0,AE37/$CC37)</f>
        <v>0</v>
      </c>
      <c r="CE37" s="11"/>
      <c r="CF37" s="152"/>
      <c r="CG37" s="124">
        <f>IF(ISERROR($CF37/$BH37),0,$CF37/$BH37)</f>
        <v>0</v>
      </c>
      <c r="CH37" s="76">
        <f>CF37-CC37</f>
        <v>0</v>
      </c>
      <c r="CI37" s="11"/>
      <c r="CJ37" s="11"/>
      <c r="CK37" s="152"/>
      <c r="CL37" s="124">
        <f>IF(ISERROR($CK37/$BH37),0,$CK37/$BH37)</f>
        <v>0</v>
      </c>
      <c r="CM37" s="76">
        <f>CK37-$CC37</f>
        <v>0</v>
      </c>
      <c r="CN37" s="11"/>
    </row>
    <row r="38" spans="1:92" outlineLevel="1" x14ac:dyDescent="0.2">
      <c r="B38" s="81"/>
      <c r="C38" s="236" t="s">
        <v>74</v>
      </c>
      <c r="D38" s="83"/>
      <c r="E38" s="99">
        <f>E35-E37</f>
        <v>0</v>
      </c>
      <c r="F38" s="87">
        <f t="shared" ref="F38" si="175">F35-F37</f>
        <v>0</v>
      </c>
      <c r="G38" s="87">
        <f t="shared" ref="G38" si="176">G35-G37</f>
        <v>0</v>
      </c>
      <c r="H38" s="87">
        <f t="shared" ref="H38" si="177">H35-H37</f>
        <v>0</v>
      </c>
      <c r="I38" s="87">
        <f t="shared" ref="I38" si="178">I35-I37</f>
        <v>0</v>
      </c>
      <c r="J38" s="87">
        <f t="shared" ref="J38" si="179">J35-J37</f>
        <v>0</v>
      </c>
      <c r="K38" s="87">
        <f t="shared" ref="K38" si="180">K35-K37</f>
        <v>0</v>
      </c>
      <c r="L38" s="87">
        <f t="shared" ref="L38" si="181">L35-L37</f>
        <v>0</v>
      </c>
      <c r="M38" s="87">
        <f t="shared" ref="M38" si="182">M35-M37</f>
        <v>0</v>
      </c>
      <c r="N38" s="87">
        <f t="shared" ref="N38" si="183">N35-N37</f>
        <v>0</v>
      </c>
      <c r="O38" s="87">
        <f t="shared" ref="O38" si="184">O35-O37</f>
        <v>0</v>
      </c>
      <c r="P38" s="87">
        <f t="shared" ref="P38:Q38" si="185">P35-P37</f>
        <v>0</v>
      </c>
      <c r="Q38" s="132">
        <f t="shared" si="185"/>
        <v>0</v>
      </c>
      <c r="R38" s="83"/>
      <c r="S38" s="99">
        <f>S35-S37</f>
        <v>0</v>
      </c>
      <c r="T38" s="87">
        <f t="shared" ref="T38:AD38" si="186">T35-T37</f>
        <v>0</v>
      </c>
      <c r="U38" s="87">
        <f t="shared" si="186"/>
        <v>0</v>
      </c>
      <c r="V38" s="87">
        <f t="shared" si="186"/>
        <v>0</v>
      </c>
      <c r="W38" s="87">
        <f t="shared" si="186"/>
        <v>0</v>
      </c>
      <c r="X38" s="87">
        <f t="shared" si="186"/>
        <v>0</v>
      </c>
      <c r="Y38" s="87">
        <f t="shared" si="186"/>
        <v>0</v>
      </c>
      <c r="Z38" s="87">
        <f t="shared" si="186"/>
        <v>0</v>
      </c>
      <c r="AA38" s="87">
        <f t="shared" si="186"/>
        <v>0</v>
      </c>
      <c r="AB38" s="87">
        <f t="shared" si="186"/>
        <v>0</v>
      </c>
      <c r="AC38" s="87">
        <f t="shared" si="186"/>
        <v>0</v>
      </c>
      <c r="AD38" s="87">
        <f t="shared" si="186"/>
        <v>0</v>
      </c>
      <c r="AE38" s="99">
        <f>SUM(S38:AD38)</f>
        <v>0</v>
      </c>
      <c r="AF38" s="297"/>
      <c r="AG38" s="109">
        <f>AE38-AF38</f>
        <v>0</v>
      </c>
      <c r="AH38" s="109" t="e">
        <f>IF(EXCERCICE="PA",AE38-($CC38/12*(mois)),IF(EXCERCICE="LB1",AE38-($CF38/12*(mois)),AE38-($CK38/12*(mois))))</f>
        <v>#REF!</v>
      </c>
      <c r="AI38" s="177">
        <f>IF(ISERROR(AE38/Q38),0,AE38/Q38)</f>
        <v>0</v>
      </c>
      <c r="AJ38" s="177">
        <f>IF(ISERROR(IF(EXCERCICE="PA",AE38/$CC38,IF(EXCERCICE="LB1",AE38/$CF38,AE38/$CK38))),0,IF(EXCERCICE="PA",AE38/$CC38,IF(EXCERCICE="LB1",AE38/$CF38,AE38/$CK38)))</f>
        <v>0</v>
      </c>
      <c r="AK38" s="228"/>
      <c r="AL38" s="86"/>
      <c r="AM38" s="86"/>
      <c r="AN38" s="248">
        <f t="shared" ref="AN38" si="187">AN35-AN37</f>
        <v>0</v>
      </c>
      <c r="AO38" s="99" t="e">
        <f>IF(mois+1&gt;12,AN38,+$AE38+AN38)</f>
        <v>#REF!</v>
      </c>
      <c r="AP38" s="297"/>
      <c r="AQ38" s="109"/>
      <c r="AR38" s="87" t="e">
        <f>IF(mois+1&gt;12,0,IF(mois=12,IF(EXCERCICE="PA",AO38-($CC38/12),IF(EXCERCICE="LB1",AO38-($CF38/12),AO38-($CK38/12))),IF(EXCERCICE="PA",AO38-($CC38/12*(mois+1)),IF(EXCERCICE="LB1",AO38-($CF38/12*(mois+1)),AO38-($CK38/12*(mois+1))))))</f>
        <v>#REF!</v>
      </c>
      <c r="AS38" s="177" t="e">
        <f>IF(mois+1&gt;12,AO38/SUMPRODUCT((($S$6:$U$6)&lt;=mois+1)*$S38:$U38),AO38/SUMPRODUCT((($E$5:$P$5)&lt;=mois+1)*$E38:$P38))</f>
        <v>#REF!</v>
      </c>
      <c r="AT38" s="177" t="e">
        <f>IF(mois+1&gt;12,0,IF(ISERROR(IF(EXCERCICE="PA",AO38/$CC38,IF(EXCERCICE="LB1",AO38/$CF38,AO38/$CK38))),0,IF(EXCERCICE="PA",AO38/$CC38,IF(EXCERCICE="LB1",AO38/$CF38,AO38/$CK38))))</f>
        <v>#REF!</v>
      </c>
      <c r="AU38" s="228"/>
      <c r="AV38" s="11"/>
      <c r="AW38" s="86"/>
      <c r="AX38" s="248">
        <f t="shared" ref="AX38" si="188">AX35-AX37</f>
        <v>0</v>
      </c>
      <c r="AY38" s="99" t="e">
        <f t="shared" ref="AY38:BA38" si="189">AY35-AY37</f>
        <v>#REF!</v>
      </c>
      <c r="AZ38" s="297"/>
      <c r="BA38" s="87" t="e">
        <f t="shared" si="189"/>
        <v>#REF!</v>
      </c>
      <c r="BB38" s="177" t="e">
        <f>IF(mois+1&gt;12,AY38/SUMPRODUCT((($S$6:$U$6)&lt;=mois+2)*$S38:$U38),AY38/SUMPRODUCT((($E$5:$P$5)&lt;=mois+2)*$E38:$P38))</f>
        <v>#REF!</v>
      </c>
      <c r="BC38" s="177" t="e">
        <f>IF(mois+2&gt;12,0,IF(ISERROR(IF(EXCERCICE="PA",AY38/$CC38,IF(EXCERCICE="LB1",AY38/$CF38,AY38/$CK38))),0,IF(EXCERCICE="PA",AY38/$CC38,IF(EXCERCICE="LB1",AY38/$CF38,AY38/$CK38))))</f>
        <v>#REF!</v>
      </c>
      <c r="BD38" s="228"/>
      <c r="BE38" s="84"/>
      <c r="BF38" s="86"/>
      <c r="BG38" s="248">
        <f t="shared" ref="BG38" si="190">BG35-BG37</f>
        <v>0</v>
      </c>
      <c r="BH38" s="99" t="e">
        <f t="shared" ref="BH38:BI38" si="191">BH35-BH37</f>
        <v>#REF!</v>
      </c>
      <c r="BI38" s="87" t="e">
        <f t="shared" si="191"/>
        <v>#REF!</v>
      </c>
      <c r="BJ38" s="177" t="e">
        <f>IF(mois+1&gt;12,BA38/SUMPRODUCT((($S$6:$U$6)&lt;=mois+3)*$S38:$U38),BA38/SUMPRODUCT((($E$5:$P$5)&lt;=mois+3)*$E38:$P38))</f>
        <v>#REF!</v>
      </c>
      <c r="BK38" s="177" t="e">
        <f>IF(mois+3&gt;12,0,IF(ISERROR(IF(EXCERCICE="PA",BH38/$CC38,IF(EXCERCICE="LB1",BH38/$CF38,BH38/$CK38))),0,IF(EXCERCICE="PA",BH38/$CC38,IF(EXCERCICE="LB1",BH38/$CF38,BH38/$CK38))))</f>
        <v>#REF!</v>
      </c>
      <c r="BL38" s="228"/>
      <c r="BM38" s="2"/>
      <c r="BN38" s="132" t="e">
        <f>IF(mois&gt;=12,IF(EXCERCICE="PA",CC38-AE38,IF(EXCERCICE="LB1",CF38-AE38,IF(EXCERCICE="LB2",$CK38-AE38))),
IF(mois+1&lt;=13,IF(EXCERCICE="PA",CC38-AO38,IF(EXCERCICE="LB1",CF38-AO38,IF(EXCERCICE="LB2",$CK38-AO38))),
IF(mois+2&lt;=14,IF(EXCERCICE="PA",CC38-AY38,IF(EXCERCICE="LB1",CF38-AY38,IF(EXCERCICE="LB2",$CK38-AY38))),
IF(mois+3&lt;=15,IF(EXCERCICE="PA",CC38-BH38,IF(EXCERCICE="LB1",CF38-BH38,IF(EXCERCICE="LB2",$CK38-BH38))),0))))</f>
        <v>#REF!</v>
      </c>
      <c r="BO38" s="132" t="e">
        <f>IF(BN38&lt;0,0,BN38/(12-mois))</f>
        <v>#REF!</v>
      </c>
      <c r="BP38" s="2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99">
        <f t="shared" ref="CC38" si="192">CC35-CC37</f>
        <v>0</v>
      </c>
      <c r="CD38" s="210">
        <f>IF(ISERROR(AE38/$CC38),0,AE38/$CC38)</f>
        <v>0</v>
      </c>
      <c r="CE38" s="86"/>
      <c r="CF38" s="150"/>
      <c r="CG38" s="148">
        <f>IF(ISERROR($CF38/$BH38),0,$CF38/$BH38)</f>
        <v>0</v>
      </c>
      <c r="CH38" s="85">
        <f>CF38-CC38</f>
        <v>0</v>
      </c>
      <c r="CI38" s="84"/>
      <c r="CJ38" s="86"/>
      <c r="CK38" s="150"/>
      <c r="CL38" s="148">
        <f>IF(ISERROR($CK38/$BH38),0,$CK38/$BH38)</f>
        <v>0</v>
      </c>
      <c r="CM38" s="85">
        <f>CK38-$CC38</f>
        <v>0</v>
      </c>
      <c r="CN38" s="84"/>
    </row>
    <row r="39" spans="1:92" outlineLevel="1" x14ac:dyDescent="0.2">
      <c r="A39" s="9"/>
      <c r="B39" s="61"/>
      <c r="C39" s="88" t="s">
        <v>12</v>
      </c>
      <c r="D39" s="9"/>
      <c r="E39" s="61" t="str">
        <f>IF(E13=0,"-",E38/E13)</f>
        <v>-</v>
      </c>
      <c r="F39" s="7" t="str">
        <f t="shared" ref="F39" si="193">IF(F13=0,"-",F38/F13)</f>
        <v>-</v>
      </c>
      <c r="G39" s="7" t="str">
        <f t="shared" ref="G39" si="194">IF(G13=0,"-",G38/G13)</f>
        <v>-</v>
      </c>
      <c r="H39" s="7" t="str">
        <f t="shared" ref="H39" si="195">IF(H13=0,"-",H38/H13)</f>
        <v>-</v>
      </c>
      <c r="I39" s="7" t="str">
        <f t="shared" ref="I39" si="196">IF(I13=0,"-",I38/I13)</f>
        <v>-</v>
      </c>
      <c r="J39" s="7" t="str">
        <f t="shared" ref="J39" si="197">IF(J13=0,"-",J38/J13)</f>
        <v>-</v>
      </c>
      <c r="K39" s="7" t="str">
        <f t="shared" ref="K39" si="198">IF(K13=0,"-",K38/K13)</f>
        <v>-</v>
      </c>
      <c r="L39" s="7" t="str">
        <f t="shared" ref="L39" si="199">IF(L13=0,"-",L38/L13)</f>
        <v>-</v>
      </c>
      <c r="M39" s="7" t="str">
        <f t="shared" ref="M39" si="200">IF(M13=0,"-",M38/M13)</f>
        <v>-</v>
      </c>
      <c r="N39" s="7" t="str">
        <f t="shared" ref="N39" si="201">IF(N13=0,"-",N38/N13)</f>
        <v>-</v>
      </c>
      <c r="O39" s="7" t="str">
        <f t="shared" ref="O39" si="202">IF(O13=0,"-",O38/O13)</f>
        <v>-</v>
      </c>
      <c r="P39" s="7" t="str">
        <f t="shared" ref="P39:Q39" si="203">IF(P13=0,"-",P38/P13)</f>
        <v>-</v>
      </c>
      <c r="Q39" s="63" t="str">
        <f t="shared" si="203"/>
        <v>-</v>
      </c>
      <c r="R39" s="9"/>
      <c r="S39" s="61" t="str">
        <f>IF(S13=0,"-",S38/S13)</f>
        <v>-</v>
      </c>
      <c r="T39" s="7" t="str">
        <f t="shared" ref="T39:AH39" si="204">IF(T13=0,"-",T38/T13)</f>
        <v>-</v>
      </c>
      <c r="U39" s="7" t="str">
        <f t="shared" si="204"/>
        <v>-</v>
      </c>
      <c r="V39" s="7" t="str">
        <f t="shared" si="204"/>
        <v>-</v>
      </c>
      <c r="W39" s="7" t="str">
        <f t="shared" si="204"/>
        <v>-</v>
      </c>
      <c r="X39" s="7" t="str">
        <f t="shared" si="204"/>
        <v>-</v>
      </c>
      <c r="Y39" s="7" t="str">
        <f t="shared" si="204"/>
        <v>-</v>
      </c>
      <c r="Z39" s="7" t="str">
        <f t="shared" si="204"/>
        <v>-</v>
      </c>
      <c r="AA39" s="7" t="str">
        <f t="shared" si="204"/>
        <v>-</v>
      </c>
      <c r="AB39" s="7" t="str">
        <f t="shared" si="204"/>
        <v>-</v>
      </c>
      <c r="AC39" s="7" t="str">
        <f t="shared" si="204"/>
        <v>-</v>
      </c>
      <c r="AD39" s="62" t="str">
        <f t="shared" si="204"/>
        <v>-</v>
      </c>
      <c r="AE39" s="61" t="str">
        <f>IF(AE13=0,"-",AE38/AE13)</f>
        <v>-</v>
      </c>
      <c r="AF39" s="293" t="str">
        <f>IF(AF13=0,"-",AF38/AF13)</f>
        <v>-</v>
      </c>
      <c r="AG39" s="103" t="str">
        <f t="shared" si="204"/>
        <v>-</v>
      </c>
      <c r="AH39" s="103" t="e">
        <f t="shared" si="204"/>
        <v>#REF!</v>
      </c>
      <c r="AI39" s="103"/>
      <c r="AJ39" s="197"/>
      <c r="AK39" s="222"/>
      <c r="AL39" s="11"/>
      <c r="AM39" s="11"/>
      <c r="AN39" s="330" t="str">
        <f>IF(AN13=0,"-",AN38/AN13)</f>
        <v>-</v>
      </c>
      <c r="AO39" s="61" t="e">
        <f>IF(AO13=0,"-",AO38/AO13)</f>
        <v>#REF!</v>
      </c>
      <c r="AP39" s="293" t="str">
        <f>IF(AP13=0,"-",AP38/AP13)</f>
        <v>-</v>
      </c>
      <c r="AQ39" s="103"/>
      <c r="AR39" s="103" t="e">
        <f>IF(AR13=0,"-",AR38/AR13)</f>
        <v>#REF!</v>
      </c>
      <c r="AS39" s="103"/>
      <c r="AT39" s="197"/>
      <c r="AU39" s="222"/>
      <c r="AV39" s="11"/>
      <c r="AW39" s="11"/>
      <c r="AX39" s="330" t="str">
        <f>IF(AX13=0,"-",AX38/AX13)</f>
        <v>-</v>
      </c>
      <c r="AY39" s="61" t="e">
        <f>IF(AY13=0,"-",AY38/AY13)</f>
        <v>#REF!</v>
      </c>
      <c r="AZ39" s="293" t="str">
        <f>IF(AZ13=0,"-",AZ38/AZ13)</f>
        <v>-</v>
      </c>
      <c r="BA39" s="103" t="e">
        <f>IF(BA13=0,"-",BA38/BA13)</f>
        <v>#REF!</v>
      </c>
      <c r="BB39" s="103"/>
      <c r="BC39" s="197"/>
      <c r="BD39" s="222"/>
      <c r="BE39" s="11"/>
      <c r="BF39" s="11"/>
      <c r="BG39" s="330" t="str">
        <f>IF(BG13=0,"-",BG38/BG13)</f>
        <v>-</v>
      </c>
      <c r="BH39" s="61" t="e">
        <f>IF(BH13=0,"-",BH38/BH13)</f>
        <v>#REF!</v>
      </c>
      <c r="BI39" s="7" t="e">
        <f>IF(BI13=0,"-",BI38/BI13)</f>
        <v>#REF!</v>
      </c>
      <c r="BJ39" s="7"/>
      <c r="BK39" s="197"/>
      <c r="BL39" s="222"/>
      <c r="BM39" s="2"/>
      <c r="BN39" s="63"/>
      <c r="BO39" s="63"/>
      <c r="BP39" s="2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61" t="str">
        <f>IF(CC13=0,"-",CC38/CC13)</f>
        <v>-</v>
      </c>
      <c r="CD39" s="204"/>
      <c r="CE39" s="11"/>
      <c r="CF39" s="151" t="str">
        <f>IF(CF13=0,"-",CF38/CF13)</f>
        <v>-</v>
      </c>
      <c r="CG39" s="134"/>
      <c r="CH39" s="144"/>
      <c r="CI39" s="11"/>
      <c r="CJ39" s="11"/>
      <c r="CK39" s="151" t="str">
        <f>IF(CK13=0,"-",CK38/CK13)</f>
        <v>-</v>
      </c>
      <c r="CL39" s="134"/>
      <c r="CM39" s="153"/>
      <c r="CN39" s="11"/>
    </row>
    <row r="40" spans="1:92" x14ac:dyDescent="0.2">
      <c r="B40" s="89"/>
      <c r="AE40" s="11"/>
      <c r="AF40" s="195"/>
      <c r="AG40" s="11"/>
      <c r="AH40" s="11"/>
      <c r="AI40" s="11"/>
      <c r="AJ40" s="217"/>
      <c r="AK40" s="217"/>
      <c r="AL40" s="11"/>
      <c r="AM40" s="11"/>
      <c r="AN40" s="11"/>
      <c r="AO40" s="11"/>
      <c r="AP40" s="195"/>
      <c r="AQ40" s="11"/>
      <c r="AR40" s="195"/>
      <c r="AS40" s="106"/>
      <c r="AT40" s="106"/>
      <c r="AU40" s="11"/>
      <c r="AV40" s="11"/>
      <c r="AW40" s="11"/>
      <c r="AX40" s="11"/>
      <c r="AY40" s="11"/>
      <c r="AZ40" s="195"/>
      <c r="BA40" s="195"/>
      <c r="BB40" s="106"/>
      <c r="BC40" s="106"/>
      <c r="BD40" s="11"/>
      <c r="BE40" s="11"/>
      <c r="BF40" s="11"/>
      <c r="BG40" s="11"/>
      <c r="BH40" s="11"/>
      <c r="BI40" s="11"/>
      <c r="BJ40" s="11"/>
      <c r="BK40" s="11"/>
      <c r="BL40" s="11"/>
      <c r="BM40" s="2"/>
      <c r="BN40" s="11"/>
      <c r="BO40" s="11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2"/>
    </row>
    <row r="41" spans="1:92" x14ac:dyDescent="0.2">
      <c r="B41" s="49"/>
      <c r="C41" s="110" t="s">
        <v>70</v>
      </c>
      <c r="E41" s="113">
        <f>IF(ISERROR(VLOOKUP(CONCATENATE($B$2,E$5),#REF!,27,FALSE)/1000),0,VLOOKUP(CONCATENATE($B$2,E$5),#REF!,27,FALSE)/1000)</f>
        <v>0</v>
      </c>
      <c r="F41" s="114">
        <f>IF(ISERROR(VLOOKUP(CONCATENATE($B$2,F$5),#REF!,27,FALSE)/1000),0,VLOOKUP(CONCATENATE($B$2,F$5),#REF!,27,FALSE)/1000)</f>
        <v>0</v>
      </c>
      <c r="G41" s="114">
        <f>IF(ISERROR(VLOOKUP(CONCATENATE($B$2,G$5),#REF!,27,FALSE)/1000),0,VLOOKUP(CONCATENATE($B$2,G$5),#REF!,27,FALSE)/1000)</f>
        <v>0</v>
      </c>
      <c r="H41" s="114">
        <f>IF(ISERROR(VLOOKUP(CONCATENATE($B$2,H$5),#REF!,27,FALSE)/1000),0,VLOOKUP(CONCATENATE($B$2,H$5),#REF!,27,FALSE)/1000)</f>
        <v>0</v>
      </c>
      <c r="I41" s="114">
        <f>IF(ISERROR(VLOOKUP(CONCATENATE($B$2,I$5),#REF!,27,FALSE)/1000),0,VLOOKUP(CONCATENATE($B$2,I$5),#REF!,27,FALSE)/1000)</f>
        <v>0</v>
      </c>
      <c r="J41" s="114">
        <f>IF(ISERROR(VLOOKUP(CONCATENATE($B$2,J$5),#REF!,27,FALSE)/1000),0,VLOOKUP(CONCATENATE($B$2,J$5),#REF!,27,FALSE)/1000)</f>
        <v>0</v>
      </c>
      <c r="K41" s="114">
        <f>IF(ISERROR(VLOOKUP(CONCATENATE($B$2,K$5),#REF!,27,FALSE)/1000),0,VLOOKUP(CONCATENATE($B$2,K$5),#REF!,27,FALSE)/1000)</f>
        <v>0</v>
      </c>
      <c r="L41" s="114">
        <f>IF(ISERROR(VLOOKUP(CONCATENATE($B$2,L$5),#REF!,27,FALSE)/1000),0,VLOOKUP(CONCATENATE($B$2,L$5),#REF!,27,FALSE)/1000)</f>
        <v>0</v>
      </c>
      <c r="M41" s="114">
        <f>IF(ISERROR(VLOOKUP(CONCATENATE($B$2,M$5),#REF!,27,FALSE)/1000),0,VLOOKUP(CONCATENATE($B$2,M$5),#REF!,27,FALSE)/1000)</f>
        <v>0</v>
      </c>
      <c r="N41" s="114">
        <f>IF(ISERROR(VLOOKUP(CONCATENATE($B$2,N$5),#REF!,27,FALSE)/1000),0,VLOOKUP(CONCATENATE($B$2,N$5),#REF!,27,FALSE)/1000)</f>
        <v>0</v>
      </c>
      <c r="O41" s="114">
        <f>IF(ISERROR(VLOOKUP(CONCATENATE($B$2,O$5),#REF!,27,FALSE)/1000),0,VLOOKUP(CONCATENATE($B$2,O$5),#REF!,27,FALSE)/1000)</f>
        <v>0</v>
      </c>
      <c r="P41" s="115">
        <f>IF(ISERROR(VLOOKUP(CONCATENATE($B$2,P$5),#REF!,27,FALSE)/1000),0,VLOOKUP(CONCATENATE($B$2,P$5),#REF!,27,FALSE)/1000)</f>
        <v>0</v>
      </c>
      <c r="Q41" s="181"/>
      <c r="S41" s="113">
        <f>IF(ISERROR(VLOOKUP(CONCATENATE($B$2,S$5),#REF!,27,FALSE)/1000),0,VLOOKUP(CONCATENATE($B$2,S$5),#REF!,27,FALSE)/1000)</f>
        <v>0</v>
      </c>
      <c r="T41" s="114">
        <f>IF(ISERROR(VLOOKUP(CONCATENATE($B$2,T$5),#REF!,27,FALSE)/1000),0,VLOOKUP(CONCATENATE($B$2,T$5),#REF!,27,FALSE)/1000)</f>
        <v>0</v>
      </c>
      <c r="U41" s="114">
        <f>IF(ISERROR(VLOOKUP(CONCATENATE($B$2,U$5),#REF!,27,FALSE)/1000),0,VLOOKUP(CONCATENATE($B$2,U$5),#REF!,27,FALSE)/1000)</f>
        <v>0</v>
      </c>
      <c r="V41" s="114">
        <f>IF(ISERROR(VLOOKUP(CONCATENATE($B$2,V$5),#REF!,27,FALSE)/1000),0,VLOOKUP(CONCATENATE($B$2,V$5),#REF!,27,FALSE)/1000)</f>
        <v>0</v>
      </c>
      <c r="W41" s="114">
        <f>IF(ISERROR(VLOOKUP(CONCATENATE($B$2,W$5),#REF!,27,FALSE)/1000),0,VLOOKUP(CONCATENATE($B$2,W$5),#REF!,27,FALSE)/1000)</f>
        <v>0</v>
      </c>
      <c r="X41" s="114">
        <f>IF(ISERROR(VLOOKUP(CONCATENATE($B$2,X$5),#REF!,27,FALSE)/1000),0,VLOOKUP(CONCATENATE($B$2,X$5),#REF!,27,FALSE)/1000)</f>
        <v>0</v>
      </c>
      <c r="Y41" s="114">
        <f>IF(ISERROR(VLOOKUP(CONCATENATE($B$2,Y$5),#REF!,27,FALSE)/1000),0,VLOOKUP(CONCATENATE($B$2,Y$5),#REF!,27,FALSE)/1000)</f>
        <v>0</v>
      </c>
      <c r="Z41" s="114">
        <f>IF(ISERROR(VLOOKUP(CONCATENATE($B$2,Z$5),#REF!,27,FALSE)/1000),0,VLOOKUP(CONCATENATE($B$2,Z$5),#REF!,27,FALSE)/1000)</f>
        <v>0</v>
      </c>
      <c r="AA41" s="114">
        <f>IF(ISERROR(VLOOKUP(CONCATENATE($B$2,AA$5),#REF!,27,FALSE)/1000),0,VLOOKUP(CONCATENATE($B$2,AA$5),#REF!,27,FALSE)/1000)</f>
        <v>0</v>
      </c>
      <c r="AB41" s="114">
        <f>IF(ISERROR(VLOOKUP(CONCATENATE($B$2,AB$5),#REF!,27,FALSE)/1000),0,VLOOKUP(CONCATENATE($B$2,AB$5),#REF!,27,FALSE)/1000)</f>
        <v>0</v>
      </c>
      <c r="AC41" s="114">
        <f>IF(ISERROR(VLOOKUP(CONCATENATE($B$2,AC$5),#REF!,27,FALSE)/1000),0,VLOOKUP(CONCATENATE($B$2,AC$5),#REF!,27,FALSE)/1000)</f>
        <v>0</v>
      </c>
      <c r="AD41" s="115">
        <f>IF(ISERROR(VLOOKUP(CONCATENATE($B$2,AD$5),#REF!,27,FALSE)/1000),0,VLOOKUP(CONCATENATE($B$2,AD$5),#REF!,27,FALSE)/1000)</f>
        <v>0</v>
      </c>
      <c r="AE41" s="11"/>
      <c r="AF41" s="195"/>
      <c r="AG41" s="11"/>
      <c r="AH41" s="11"/>
      <c r="AI41" s="11"/>
      <c r="AJ41" s="217"/>
      <c r="AK41" s="217"/>
      <c r="AL41" s="11"/>
      <c r="AM41" s="11"/>
      <c r="AN41" s="11"/>
      <c r="AO41" s="11"/>
      <c r="AP41" s="195"/>
      <c r="AQ41" s="11"/>
      <c r="AR41" s="195"/>
      <c r="AS41" s="106"/>
      <c r="AT41" s="106"/>
      <c r="AU41" s="11"/>
      <c r="AV41" s="11"/>
      <c r="AW41" s="2"/>
      <c r="AX41" s="11"/>
      <c r="AY41" s="11"/>
      <c r="AZ41" s="195"/>
      <c r="BA41" s="195"/>
      <c r="BB41" s="106"/>
      <c r="BC41" s="106"/>
      <c r="BD41" s="11"/>
      <c r="BE41" s="2"/>
      <c r="BF41" s="2"/>
      <c r="BG41" s="11"/>
      <c r="BH41" s="11"/>
      <c r="BI41" s="11"/>
      <c r="BJ41" s="11"/>
      <c r="BK41" s="11"/>
      <c r="BL41" s="11"/>
      <c r="BM41" s="2"/>
      <c r="BN41" s="11"/>
      <c r="BO41" s="11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2"/>
    </row>
    <row r="42" spans="1:92" x14ac:dyDescent="0.2">
      <c r="B42" s="56"/>
      <c r="C42" s="111" t="s">
        <v>71</v>
      </c>
      <c r="E42" s="116">
        <f>IF(ISERROR(VLOOKUP(CONCATENATE($B$2,E$5),#REF!,28,FALSE)/1000),0,VLOOKUP(CONCATENATE($B$2,E$5),#REF!,28,FALSE)/1000)</f>
        <v>0</v>
      </c>
      <c r="F42" s="117">
        <f>IF(ISERROR(VLOOKUP(CONCATENATE($B$2,F$5),#REF!,28,FALSE)/1000),0,VLOOKUP(CONCATENATE($B$2,F$5),#REF!,28,FALSE)/1000)</f>
        <v>0</v>
      </c>
      <c r="G42" s="117">
        <f>IF(ISERROR(VLOOKUP(CONCATENATE($B$2,G$5),#REF!,28,FALSE)/1000),0,VLOOKUP(CONCATENATE($B$2,G$5),#REF!,28,FALSE)/1000)</f>
        <v>0</v>
      </c>
      <c r="H42" s="117">
        <f>IF(ISERROR(VLOOKUP(CONCATENATE($B$2,H$5),#REF!,28,FALSE)/1000),0,VLOOKUP(CONCATENATE($B$2,H$5),#REF!,28,FALSE)/1000)</f>
        <v>0</v>
      </c>
      <c r="I42" s="117">
        <f>IF(ISERROR(VLOOKUP(CONCATENATE($B$2,I$5),#REF!,28,FALSE)/1000),0,VLOOKUP(CONCATENATE($B$2,I$5),#REF!,28,FALSE)/1000)</f>
        <v>0</v>
      </c>
      <c r="J42" s="117">
        <f>IF(ISERROR(VLOOKUP(CONCATENATE($B$2,J$5),#REF!,28,FALSE)/1000),0,VLOOKUP(CONCATENATE($B$2,J$5),#REF!,28,FALSE)/1000)</f>
        <v>0</v>
      </c>
      <c r="K42" s="117">
        <f>IF(ISERROR(VLOOKUP(CONCATENATE($B$2,K$5),#REF!,28,FALSE)/1000),0,VLOOKUP(CONCATENATE($B$2,K$5),#REF!,28,FALSE)/1000)</f>
        <v>0</v>
      </c>
      <c r="L42" s="117">
        <f>IF(ISERROR(VLOOKUP(CONCATENATE($B$2,L$5),#REF!,28,FALSE)/1000),0,VLOOKUP(CONCATENATE($B$2,L$5),#REF!,28,FALSE)/1000)</f>
        <v>0</v>
      </c>
      <c r="M42" s="117">
        <f>IF(ISERROR(VLOOKUP(CONCATENATE($B$2,M$5),#REF!,28,FALSE)/1000),0,VLOOKUP(CONCATENATE($B$2,M$5),#REF!,28,FALSE)/1000)</f>
        <v>0</v>
      </c>
      <c r="N42" s="117">
        <f>IF(ISERROR(VLOOKUP(CONCATENATE($B$2,N$5),#REF!,28,FALSE)/1000),0,VLOOKUP(CONCATENATE($B$2,N$5),#REF!,28,FALSE)/1000)</f>
        <v>0</v>
      </c>
      <c r="O42" s="117">
        <f>IF(ISERROR(VLOOKUP(CONCATENATE($B$2,O$5),#REF!,28,FALSE)/1000),0,VLOOKUP(CONCATENATE($B$2,O$5),#REF!,28,FALSE)/1000)</f>
        <v>0</v>
      </c>
      <c r="P42" s="118">
        <f>IF(ISERROR(VLOOKUP(CONCATENATE($B$2,P$5),#REF!,28,FALSE)/1000),0,VLOOKUP(CONCATENATE($B$2,P$5),#REF!,28,FALSE)/1000)</f>
        <v>0</v>
      </c>
      <c r="Q42" s="182"/>
      <c r="S42" s="116">
        <f>IF(ISERROR(VLOOKUP(CONCATENATE($B$2,S$5),#REF!,28,FALSE)/1000),0,VLOOKUP(CONCATENATE($B$2,S$5),#REF!,28,FALSE)/1000)</f>
        <v>0</v>
      </c>
      <c r="T42" s="117">
        <f>IF(ISERROR(VLOOKUP(CONCATENATE($B$2,T$5),#REF!,28,FALSE)/1000),0,VLOOKUP(CONCATENATE($B$2,T$5),#REF!,28,FALSE)/1000)</f>
        <v>0</v>
      </c>
      <c r="U42" s="117">
        <f>IF(ISERROR(VLOOKUP(CONCATENATE($B$2,U$5),#REF!,28,FALSE)/1000),0,VLOOKUP(CONCATENATE($B$2,U$5),#REF!,28,FALSE)/1000)</f>
        <v>0</v>
      </c>
      <c r="V42" s="117">
        <f>IF(ISERROR(VLOOKUP(CONCATENATE($B$2,V$5),#REF!,28,FALSE)/1000),0,VLOOKUP(CONCATENATE($B$2,V$5),#REF!,28,FALSE)/1000)</f>
        <v>0</v>
      </c>
      <c r="W42" s="117">
        <f>IF(ISERROR(VLOOKUP(CONCATENATE($B$2,W$5),#REF!,28,FALSE)/1000),0,VLOOKUP(CONCATENATE($B$2,W$5),#REF!,28,FALSE)/1000)</f>
        <v>0</v>
      </c>
      <c r="X42" s="117">
        <f>IF(ISERROR(VLOOKUP(CONCATENATE($B$2,X$5),#REF!,28,FALSE)/1000),0,VLOOKUP(CONCATENATE($B$2,X$5),#REF!,28,FALSE)/1000)</f>
        <v>0</v>
      </c>
      <c r="Y42" s="117">
        <f>IF(ISERROR(VLOOKUP(CONCATENATE($B$2,Y$5),#REF!,28,FALSE)/1000),0,VLOOKUP(CONCATENATE($B$2,Y$5),#REF!,28,FALSE)/1000)</f>
        <v>0</v>
      </c>
      <c r="Z42" s="117">
        <f>IF(ISERROR(VLOOKUP(CONCATENATE($B$2,Z$5),#REF!,28,FALSE)/1000),0,VLOOKUP(CONCATENATE($B$2,Z$5),#REF!,28,FALSE)/1000)</f>
        <v>0</v>
      </c>
      <c r="AA42" s="117">
        <f>IF(ISERROR(VLOOKUP(CONCATENATE($B$2,AA$5),#REF!,28,FALSE)/1000),0,VLOOKUP(CONCATENATE($B$2,AA$5),#REF!,28,FALSE)/1000)</f>
        <v>0</v>
      </c>
      <c r="AB42" s="117">
        <f>IF(ISERROR(VLOOKUP(CONCATENATE($B$2,AB$5),#REF!,28,FALSE)/1000),0,VLOOKUP(CONCATENATE($B$2,AB$5),#REF!,28,FALSE)/1000)</f>
        <v>0</v>
      </c>
      <c r="AC42" s="117">
        <f>IF(ISERROR(VLOOKUP(CONCATENATE($B$2,AC$5),#REF!,28,FALSE)/1000),0,VLOOKUP(CONCATENATE($B$2,AC$5),#REF!,28,FALSE)/1000)</f>
        <v>0</v>
      </c>
      <c r="AD42" s="118">
        <f>IF(ISERROR(VLOOKUP(CONCATENATE($B$2,AD$5),#REF!,28,FALSE)/1000),0,VLOOKUP(CONCATENATE($B$2,AD$5),#REF!,28,FALSE)/1000)</f>
        <v>0</v>
      </c>
      <c r="AE42" s="11"/>
      <c r="AF42" s="195"/>
      <c r="AG42" s="11"/>
      <c r="AH42" s="11"/>
      <c r="AI42" s="11"/>
      <c r="AJ42" s="217"/>
      <c r="AK42" s="217"/>
      <c r="AL42" s="11"/>
      <c r="AM42" s="11"/>
      <c r="AN42" s="11"/>
      <c r="AO42" s="11"/>
      <c r="AP42" s="195"/>
      <c r="AQ42" s="11"/>
      <c r="AR42" s="195"/>
      <c r="AS42" s="106"/>
      <c r="AT42" s="106"/>
      <c r="AU42" s="11"/>
      <c r="AV42" s="11"/>
      <c r="AW42" s="2"/>
      <c r="AX42" s="11"/>
      <c r="AY42" s="11"/>
      <c r="AZ42" s="195"/>
      <c r="BA42" s="195"/>
      <c r="BB42" s="106"/>
      <c r="BC42" s="106"/>
      <c r="BD42" s="11"/>
      <c r="BE42" s="2"/>
      <c r="BF42" s="2"/>
      <c r="BG42" s="11"/>
      <c r="BH42" s="11"/>
      <c r="BI42" s="11"/>
      <c r="BJ42" s="11"/>
      <c r="BK42" s="11"/>
      <c r="BL42" s="11"/>
      <c r="BM42" s="2"/>
      <c r="BN42" s="11"/>
      <c r="BO42" s="11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2"/>
    </row>
    <row r="43" spans="1:92" x14ac:dyDescent="0.2">
      <c r="B43" s="60"/>
      <c r="C43" s="112" t="s">
        <v>86</v>
      </c>
      <c r="E43" s="119">
        <f>E11-E13</f>
        <v>0</v>
      </c>
      <c r="F43" s="120">
        <f t="shared" ref="F43:P43" si="205">F11-F13</f>
        <v>0</v>
      </c>
      <c r="G43" s="120">
        <f t="shared" si="205"/>
        <v>0</v>
      </c>
      <c r="H43" s="120">
        <f t="shared" si="205"/>
        <v>0</v>
      </c>
      <c r="I43" s="120">
        <f t="shared" si="205"/>
        <v>0</v>
      </c>
      <c r="J43" s="120">
        <f t="shared" si="205"/>
        <v>0</v>
      </c>
      <c r="K43" s="120">
        <f t="shared" si="205"/>
        <v>0</v>
      </c>
      <c r="L43" s="120">
        <f t="shared" si="205"/>
        <v>0</v>
      </c>
      <c r="M43" s="120">
        <f t="shared" si="205"/>
        <v>0</v>
      </c>
      <c r="N43" s="120">
        <f t="shared" si="205"/>
        <v>0</v>
      </c>
      <c r="O43" s="120">
        <f t="shared" si="205"/>
        <v>0</v>
      </c>
      <c r="P43" s="121">
        <f t="shared" si="205"/>
        <v>0</v>
      </c>
      <c r="Q43" s="183"/>
      <c r="S43" s="119">
        <f>S11-S13</f>
        <v>0</v>
      </c>
      <c r="T43" s="120">
        <f t="shared" ref="T43:AD43" si="206">T11-T13</f>
        <v>0</v>
      </c>
      <c r="U43" s="120">
        <f t="shared" si="206"/>
        <v>0</v>
      </c>
      <c r="V43" s="120">
        <f t="shared" si="206"/>
        <v>0</v>
      </c>
      <c r="W43" s="120">
        <f t="shared" si="206"/>
        <v>0</v>
      </c>
      <c r="X43" s="120">
        <f t="shared" si="206"/>
        <v>0</v>
      </c>
      <c r="Y43" s="120">
        <f t="shared" si="206"/>
        <v>0</v>
      </c>
      <c r="Z43" s="120">
        <f t="shared" si="206"/>
        <v>0</v>
      </c>
      <c r="AA43" s="120">
        <f t="shared" si="206"/>
        <v>0</v>
      </c>
      <c r="AB43" s="120">
        <f t="shared" si="206"/>
        <v>0</v>
      </c>
      <c r="AC43" s="120">
        <f t="shared" si="206"/>
        <v>0</v>
      </c>
      <c r="AD43" s="121">
        <f t="shared" si="206"/>
        <v>0</v>
      </c>
      <c r="AE43" s="155">
        <f>AE11-AE13</f>
        <v>0</v>
      </c>
      <c r="AF43" s="298">
        <f>AF11-AF13</f>
        <v>0</v>
      </c>
      <c r="AG43" s="156">
        <f>AE43-AF43</f>
        <v>0</v>
      </c>
      <c r="AH43" s="156"/>
      <c r="AI43" s="156"/>
      <c r="AJ43" s="218"/>
      <c r="AK43" s="218"/>
      <c r="AL43" s="84"/>
      <c r="AM43" s="86"/>
      <c r="AN43" s="241">
        <f t="shared" ref="AN43" si="207">AN11-AN13</f>
        <v>0</v>
      </c>
      <c r="AO43" s="155" t="e">
        <f>IF(mois+1&gt;12,AN43,+$AE43+AN43)</f>
        <v>#REF!</v>
      </c>
      <c r="AP43" s="298"/>
      <c r="AQ43" s="156"/>
      <c r="AR43" s="156"/>
      <c r="AS43" s="156"/>
      <c r="AT43" s="156"/>
      <c r="AU43" s="157"/>
      <c r="AV43" s="11"/>
      <c r="AW43" s="86"/>
      <c r="AX43" s="241">
        <f t="shared" ref="AX43" si="208">AX11-AX13</f>
        <v>0</v>
      </c>
      <c r="AY43" s="155"/>
      <c r="AZ43" s="298"/>
      <c r="BA43" s="156"/>
      <c r="BB43" s="156"/>
      <c r="BC43" s="156"/>
      <c r="BD43" s="157"/>
      <c r="BE43" s="84"/>
      <c r="BF43" s="86"/>
      <c r="BG43" s="241">
        <f t="shared" ref="BG43" si="209">BG11-BG13</f>
        <v>0</v>
      </c>
      <c r="BH43" s="155"/>
      <c r="BI43" s="178"/>
      <c r="BJ43" s="178"/>
      <c r="BK43" s="178"/>
      <c r="BL43" s="157" t="e">
        <f>IF(mois=12,IF(EXCERCICE="PA",BH43-($CC43/12*(mois+3)),IF(EXCERCICE="LB1",BH43-($CF43/12*(mois+3)),BH43-($CK43/12*(mois+3)))),IF(EXCERCICE="PA",BH43-($CC43/12*(mois+3)),IF(EXCERCICE="LB1",BH43-($CF43/12*(mois+3)),BH43-($CK43/12*(mois+3)))))</f>
        <v>#REF!</v>
      </c>
      <c r="BM43" s="2"/>
      <c r="BN43" s="155"/>
      <c r="BO43" s="157"/>
      <c r="BP43" s="2"/>
      <c r="BQ43" s="173"/>
      <c r="BR43" s="173"/>
      <c r="BS43" s="173"/>
      <c r="BT43" s="173"/>
      <c r="BU43" s="173"/>
      <c r="BV43" s="173"/>
      <c r="BW43" s="173"/>
      <c r="BX43" s="173"/>
      <c r="BY43" s="173"/>
      <c r="BZ43" s="173"/>
      <c r="CA43" s="173"/>
      <c r="CB43" s="173"/>
      <c r="CC43" s="158"/>
      <c r="CD43" s="161">
        <f>IF(ISERROR($CC43/$BH43),0,$CC43/$BH43)</f>
        <v>0</v>
      </c>
      <c r="CE43" s="11"/>
      <c r="CF43" s="160"/>
      <c r="CG43" s="161">
        <f>IF(ISERROR($CF43/$BH43),0,$CF43/$BH43)</f>
        <v>0</v>
      </c>
      <c r="CH43" s="162">
        <f>CF43-CC43</f>
        <v>0</v>
      </c>
      <c r="CI43" s="11"/>
      <c r="CJ43" s="11"/>
      <c r="CK43" s="160"/>
      <c r="CL43" s="159"/>
      <c r="CM43" s="162">
        <f>CK43-$CC43</f>
        <v>0</v>
      </c>
      <c r="CN43" s="2"/>
    </row>
    <row r="44" spans="1:92" x14ac:dyDescent="0.2">
      <c r="B44" s="89"/>
      <c r="R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2"/>
      <c r="AX44" s="11"/>
      <c r="AY44" s="11"/>
      <c r="AZ44" s="11"/>
      <c r="BA44" s="11"/>
      <c r="BB44" s="11"/>
      <c r="BC44" s="11"/>
      <c r="BD44" s="11"/>
      <c r="BE44" s="2"/>
      <c r="BF44" s="2"/>
      <c r="BG44" s="11"/>
      <c r="BH44" s="11"/>
      <c r="BI44" s="11"/>
      <c r="BJ44" s="11"/>
      <c r="BK44" s="11"/>
      <c r="BL44" s="11"/>
      <c r="BM44" s="2"/>
      <c r="BN44" s="11"/>
      <c r="BO44" s="11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2"/>
    </row>
    <row r="45" spans="1:92" ht="12" thickBot="1" x14ac:dyDescent="0.25">
      <c r="B45" s="89"/>
      <c r="C45" s="71" t="s">
        <v>67</v>
      </c>
      <c r="D45" s="11"/>
      <c r="E45" s="17">
        <f t="shared" ref="E45:P45" si="210">IF(ISERROR(VLOOKUP(CONCATENATE($B$2,E$5),TBCHISTORIQUE,25,FALSE)/1000),0,VLOOKUP(CONCATENATE($B$2,E$5),TBCHISTORIQUE,25,FALSE)/1000)-E35</f>
        <v>0</v>
      </c>
      <c r="F45" s="17">
        <f t="shared" si="210"/>
        <v>0</v>
      </c>
      <c r="G45" s="17">
        <f t="shared" si="210"/>
        <v>0</v>
      </c>
      <c r="H45" s="17">
        <f t="shared" si="210"/>
        <v>0</v>
      </c>
      <c r="I45" s="17">
        <f t="shared" si="210"/>
        <v>0</v>
      </c>
      <c r="J45" s="17">
        <f t="shared" si="210"/>
        <v>0</v>
      </c>
      <c r="K45" s="17">
        <f t="shared" si="210"/>
        <v>0</v>
      </c>
      <c r="L45" s="17">
        <f t="shared" si="210"/>
        <v>0</v>
      </c>
      <c r="M45" s="17">
        <f t="shared" si="210"/>
        <v>0</v>
      </c>
      <c r="N45" s="17">
        <f t="shared" si="210"/>
        <v>0</v>
      </c>
      <c r="O45" s="17">
        <f t="shared" si="210"/>
        <v>0</v>
      </c>
      <c r="P45" s="17">
        <f t="shared" si="210"/>
        <v>0</v>
      </c>
      <c r="Q45" s="17"/>
      <c r="R45" s="11"/>
      <c r="S45" s="17">
        <f t="shared" ref="S45:AD45" si="211">IF(ISERROR(VLOOKUP(CONCATENATE($B$2,S$5),TBCA,25,FALSE)/1000),0,VLOOKUP(CONCATENATE($B$2,S$5),TBCA,25,FALSE)/1000)-S35</f>
        <v>0</v>
      </c>
      <c r="T45" s="17">
        <f t="shared" si="211"/>
        <v>0</v>
      </c>
      <c r="U45" s="17">
        <f t="shared" si="211"/>
        <v>0</v>
      </c>
      <c r="V45" s="17">
        <f t="shared" si="211"/>
        <v>0</v>
      </c>
      <c r="W45" s="17">
        <f t="shared" si="211"/>
        <v>0</v>
      </c>
      <c r="X45" s="17">
        <f t="shared" si="211"/>
        <v>0</v>
      </c>
      <c r="Y45" s="17">
        <f t="shared" si="211"/>
        <v>0</v>
      </c>
      <c r="Z45" s="17">
        <f t="shared" si="211"/>
        <v>0</v>
      </c>
      <c r="AA45" s="17">
        <f t="shared" si="211"/>
        <v>0</v>
      </c>
      <c r="AB45" s="17">
        <f t="shared" si="211"/>
        <v>0</v>
      </c>
      <c r="AC45" s="17">
        <f t="shared" si="211"/>
        <v>0</v>
      </c>
      <c r="AD45" s="17">
        <f t="shared" si="211"/>
        <v>0</v>
      </c>
      <c r="AE45" s="13"/>
      <c r="AF45" s="13"/>
      <c r="AG45" s="13"/>
      <c r="AH45" s="13"/>
      <c r="AI45" s="13"/>
      <c r="AJ45" s="13"/>
      <c r="AK45" s="13"/>
      <c r="AL45" s="54"/>
      <c r="AM45" s="54"/>
      <c r="AN45" s="54"/>
      <c r="AO45" s="16"/>
      <c r="AP45" s="13"/>
      <c r="AQ45" s="14"/>
      <c r="AR45" s="14"/>
      <c r="AS45" s="14"/>
      <c r="AT45" s="14"/>
      <c r="AU45" s="14"/>
      <c r="AV45" s="14"/>
      <c r="AW45" s="54"/>
      <c r="AX45" s="54"/>
      <c r="AY45" s="16"/>
      <c r="AZ45" s="13"/>
      <c r="BA45" s="14"/>
      <c r="BB45" s="14"/>
      <c r="BC45" s="14"/>
      <c r="BD45" s="14"/>
      <c r="BE45" s="54"/>
      <c r="BF45" s="54"/>
      <c r="BG45" s="54"/>
      <c r="BH45" s="16"/>
      <c r="BI45" s="16"/>
      <c r="BJ45" s="16"/>
      <c r="BK45" s="16"/>
      <c r="BL45" s="14"/>
      <c r="BM45" s="2"/>
      <c r="BN45" s="16"/>
      <c r="BO45" s="14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13"/>
      <c r="CD45" s="13"/>
      <c r="CE45" s="54"/>
      <c r="CF45" s="13"/>
      <c r="CG45" s="13"/>
      <c r="CH45" s="14"/>
      <c r="CI45" s="54"/>
      <c r="CJ45" s="54"/>
      <c r="CK45" s="13"/>
      <c r="CL45" s="13"/>
      <c r="CM45" s="14"/>
      <c r="CN45" s="54"/>
    </row>
    <row r="46" spans="1:92" ht="12" thickBot="1" x14ac:dyDescent="0.25">
      <c r="B46" s="89"/>
      <c r="C46" s="7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5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1"/>
      <c r="AM46" s="11"/>
      <c r="AN46" s="90">
        <v>0</v>
      </c>
      <c r="AO46" s="17"/>
      <c r="AP46" s="17"/>
      <c r="AQ46" s="17"/>
      <c r="AR46" s="17"/>
      <c r="AS46" s="17"/>
      <c r="AT46" s="17"/>
      <c r="AU46" s="17"/>
      <c r="AV46" s="17"/>
      <c r="AW46" s="11"/>
      <c r="AX46" s="90">
        <v>0</v>
      </c>
      <c r="AY46" s="17"/>
      <c r="AZ46" s="17"/>
      <c r="BA46" s="17"/>
      <c r="BB46" s="17"/>
      <c r="BC46" s="17"/>
      <c r="BD46" s="17"/>
      <c r="BE46" s="11"/>
      <c r="BF46" s="11"/>
      <c r="BG46" s="90">
        <v>0</v>
      </c>
      <c r="BH46" s="91">
        <v>0</v>
      </c>
      <c r="BI46" s="14"/>
      <c r="BJ46" s="14"/>
      <c r="BK46" s="14"/>
      <c r="BL46" s="17"/>
      <c r="BM46" s="11"/>
      <c r="BN46" s="14"/>
      <c r="BO46" s="17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5"/>
      <c r="CD46" s="15"/>
      <c r="CE46" s="11"/>
      <c r="CF46" s="17"/>
      <c r="CG46" s="17"/>
      <c r="CH46" s="17"/>
      <c r="CI46" s="11"/>
      <c r="CJ46" s="11"/>
      <c r="CK46" s="17"/>
      <c r="CL46" s="17"/>
      <c r="CM46" s="17"/>
      <c r="CN46" s="11"/>
    </row>
    <row r="47" spans="1:92" x14ac:dyDescent="0.2">
      <c r="AE47" s="2"/>
    </row>
    <row r="48" spans="1:92" x14ac:dyDescent="0.2">
      <c r="AE48" s="2"/>
    </row>
    <row r="49" spans="2:91" x14ac:dyDescent="0.2">
      <c r="AE49" s="2"/>
    </row>
    <row r="50" spans="2:91" x14ac:dyDescent="0.2">
      <c r="B50" s="251" t="str">
        <f>B2&amp;" ELEM"</f>
        <v xml:space="preserve"> ELEM</v>
      </c>
      <c r="C50" s="252"/>
      <c r="AE50" s="2"/>
    </row>
    <row r="51" spans="2:91" outlineLevel="1" x14ac:dyDescent="0.2">
      <c r="AE51" s="2"/>
    </row>
    <row r="52" spans="2:91" outlineLevel="1" x14ac:dyDescent="0.2">
      <c r="B52" s="49"/>
      <c r="C52" s="50" t="s">
        <v>57</v>
      </c>
      <c r="D52" s="51"/>
      <c r="E52" s="92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4">
        <v>0</v>
      </c>
      <c r="Q52" s="184">
        <v>0</v>
      </c>
      <c r="R52" s="51"/>
      <c r="S52" s="92">
        <f t="shared" ref="S52:AD52" si="212">IF(ISERROR(VLOOKUP(CONCATENATE($B$50,S$5),TBCA,7,FALSE)/1000),0,VLOOKUP(CONCATENATE($B$50,S$5),TBCA,7,FALSE)/1000)</f>
        <v>0</v>
      </c>
      <c r="T52" s="93">
        <f t="shared" si="212"/>
        <v>0</v>
      </c>
      <c r="U52" s="93">
        <f t="shared" si="212"/>
        <v>0</v>
      </c>
      <c r="V52" s="93">
        <f t="shared" si="212"/>
        <v>0</v>
      </c>
      <c r="W52" s="93">
        <f t="shared" si="212"/>
        <v>0</v>
      </c>
      <c r="X52" s="93">
        <f t="shared" si="212"/>
        <v>0</v>
      </c>
      <c r="Y52" s="93">
        <f t="shared" si="212"/>
        <v>0</v>
      </c>
      <c r="Z52" s="93">
        <f t="shared" si="212"/>
        <v>0</v>
      </c>
      <c r="AA52" s="93">
        <f t="shared" si="212"/>
        <v>0</v>
      </c>
      <c r="AB52" s="93">
        <f t="shared" si="212"/>
        <v>0</v>
      </c>
      <c r="AC52" s="93">
        <f t="shared" si="212"/>
        <v>0</v>
      </c>
      <c r="AD52" s="94">
        <f t="shared" si="212"/>
        <v>0</v>
      </c>
      <c r="AE52" s="92">
        <f>SUMIF($S$5:$AD$5,"&lt;="&amp;mois,S52:AD52)</f>
        <v>0</v>
      </c>
      <c r="AF52" s="291"/>
      <c r="AG52" s="101">
        <f>AE52-AF52</f>
        <v>0</v>
      </c>
      <c r="AH52" s="101" t="e">
        <f>IF(EXCERCICE="PA",AE52-($CC52/12*(mois)),IF(EXCERCICE="LB1",AE52-($CF52/12*(mois)),AE52-($CK52/12*(mois))))</f>
        <v>#REF!</v>
      </c>
      <c r="AI52" s="174">
        <f>IF(ISERROR(AE52/Q52),0,AE52/Q52)</f>
        <v>0</v>
      </c>
      <c r="AJ52" s="213">
        <f>IF(ISERROR(IF(EXCERCICE="PA",AE52/$CC52,IF(EXCERCICE="LB1",AE52/$CF52,AE52/$CK52))),0,IF(EXCERCICE="PA",AE52/$CC52,IF(EXCERCICE="LB1",AE52/$CF52,AE52/$CK52)))</f>
        <v>0</v>
      </c>
      <c r="AK52" s="213" t="str">
        <f>IF(ISERROR(AE52/HLOOKUP(mois,$BQ$5:$CB$39,3,FALSE)),"",AE52/HLOOKUP(mois,$BQ$5:$CB$39,3,FALSE))</f>
        <v/>
      </c>
      <c r="AL52" s="52"/>
      <c r="AM52" s="54"/>
      <c r="AN52" s="242"/>
      <c r="AO52" s="92" t="e">
        <f>IF(mois+1&gt;12,AN52,+$AE52+AN52)</f>
        <v>#REF!</v>
      </c>
      <c r="AP52" s="291"/>
      <c r="AQ52" s="101" t="e">
        <f>AO52-AP52</f>
        <v>#REF!</v>
      </c>
      <c r="AR52" s="55" t="e">
        <f>IF(mois+1&gt;12,0,IF(mois=12,IF(EXCERCICE="PA",AO52-($CC52/12),IF(EXCERCICE="LB1",AO52-($CF52/12),AO52-($CK52/12))),IF(EXCERCICE="PA",AO52-($CC52/12*(mois+1)),IF(EXCERCICE="LB1",AO52-($CF52/12*(mois+1)),AO52-($CK52/12*(mois+1))))))</f>
        <v>#REF!</v>
      </c>
      <c r="AS52" s="174" t="e">
        <f>IF(AO52=0,0,IF(mois+1&gt;12,AO52/SUMPRODUCT((($S$6:$U$6)&lt;=mois+1)*$S52:$U52),AO52/SUMPRODUCT((($E$5:$P$5)&lt;=mois+1)*$E52:$P52)))</f>
        <v>#REF!</v>
      </c>
      <c r="AT52" s="213" t="e">
        <f>IF(mois+1&gt;12,0,IF(ISERROR(IF(EXCERCICE="PA",AO52/$CC52,IF(EXCERCICE="LB1",AO52/$CF52,AO52/$CK52))),0,IF(EXCERCICE="PA",AO52/$CC52,IF(EXCERCICE="LB1",AO52/$CF52,AO52/$CK52))))</f>
        <v>#REF!</v>
      </c>
      <c r="AU52" s="220" t="str">
        <f>IF(ISERROR(AO52/HLOOKUP(mois+1,$BQ$5:$CB$39,3,FALSE)),"",AO52/HLOOKUP(mois+1,$BQ$5:$CB$39,3,FALSE))</f>
        <v/>
      </c>
      <c r="AV52" s="11"/>
      <c r="AW52" s="54"/>
      <c r="AX52" s="242"/>
      <c r="AY52" s="92" t="e">
        <f>IF(mois+2=13,AX52,IF(mois+2&gt;14,AX52,$AO52+AX52))</f>
        <v>#REF!</v>
      </c>
      <c r="AZ52" s="291"/>
      <c r="BA52" s="55" t="e">
        <f>IF(mois+2&gt;12,0,IF(mois=12,IF(EXCERCICE="PA",AY52-($CC52/12),IF(EXCERCICE="LB1",AY52-($CF52/12),AY52-($CK52/12))),IF(EXCERCICE="PA",AY52-($CC52/12*(mois+2)),IF(EXCERCICE="LB1",AY52-($CF52/12*(mois+2)),AY52-($CK52/12*(mois+2))))))</f>
        <v>#REF!</v>
      </c>
      <c r="BB52" s="176" t="e">
        <f>IF(AY52=0,0,IF(mois+1&gt;12,AY52/SUMPRODUCT((($S$6:$U$6)&lt;=mois+2)*$S52:$U52),AY52/SUMPRODUCT((($E$5:$P$5)&lt;=mois+2)*$E52:$P52)))</f>
        <v>#REF!</v>
      </c>
      <c r="BC52" s="213" t="e">
        <f>IF(mois+2&gt;12,0,IF(ISERROR(IF(EXCERCICE="PA",AY52/$CC52,IF(EXCERCICE="LB1",AY52/$CF52,AY52/$CK52))),0,IF(EXCERCICE="PA",AY52/$CC52,IF(EXCERCICE="LB1",AY52/$CF52,AY52/$CK52))))</f>
        <v>#REF!</v>
      </c>
      <c r="BD52" s="220" t="str">
        <f>IF(ISERROR(AY52/HLOOKUP(mois+2,$BQ$5:$CB$39,3,FALSE)),"",AY52/HLOOKUP(mois+2,$BQ$5:$CB$39,3,FALSE))</f>
        <v/>
      </c>
      <c r="BE52" s="52"/>
      <c r="BF52" s="54"/>
      <c r="BG52" s="242"/>
      <c r="BH52" s="92" t="e">
        <f>IF(mois+3=13,BG52,IF(mois+3&gt;15,BG52,+$AY52+BG52))</f>
        <v>#REF!</v>
      </c>
      <c r="BI52" s="55" t="e">
        <f>IF(mois+3&gt;12,0,IF(mois=12,IF(EXCERCICE="PA",BH52-($CC52/12),IF(EXCERCICE="LB1",BH52-($CF52/12),BH52-($CK52/12))),IF(EXCERCICE="PA",BH52-($CC52/12*(mois+3)),IF(EXCERCICE="LB1",BH52-($CF52/12*(mois+3)),BH52-($CK52/12*(mois+3))))))</f>
        <v>#REF!</v>
      </c>
      <c r="BJ52" s="176" t="e">
        <f>IF(BH52=0,0,IF(mois+1&gt;12,BH52/SUMPRODUCT((($S$6:$U$6)&lt;=mois+3)*$S52:$U52),BH52/SUMPRODUCT((($E$5:$P$5)&lt;=mois+3)*$E52:$P52)))</f>
        <v>#REF!</v>
      </c>
      <c r="BK52" s="213" t="e">
        <f>IF(mois+3&gt;12,0,IF(ISERROR(IF(EXCERCICE="PA",BH52/$CC52,IF(EXCERCICE="LB1",BH52/$CF52,BH52/$CK52))),0,IF(EXCERCICE="PA",BH52/$CC52,IF(EXCERCICE="LB1",BH52/$CF52,BH52/$CK52))))</f>
        <v>#REF!</v>
      </c>
      <c r="BL52" s="220" t="str">
        <f>IF(ISERROR(BH52/HLOOKUP(mois+3,$BQ$5:$CB$39,3,FALSE)),"",BH52/HLOOKUP(mois+3,$BQ$5:$CB$39,3,FALSE))</f>
        <v/>
      </c>
      <c r="BM52" s="2"/>
      <c r="BN52" s="130" t="e">
        <f>IF(mois&gt;=12,IF(EXCERCICE="PA",CC52-AE52,IF(EXCERCICE="LB1",CF52-AE52,IF(EXCERCICE="LB2",$CK52-AE52))),
IF(mois+1&lt;=13,IF(EXCERCICE="PA",CC52-AO52,IF(EXCERCICE="LB1",CF52-AO52,IF(EXCERCICE="LB2",$CK52-AO52))),
IF(mois+2&lt;=14,IF(EXCERCICE="PA",CC52-AY52,IF(EXCERCICE="LB1",CF52-AY52,IF(EXCERCICE="LB2",$CK52-AY52))),
IF(mois+3&lt;=15,IF(EXCERCICE="PA",CC52-BH52,IF(EXCERCICE="LB1",CF52-BH52,IF(EXCERCICE="LB2",$CK52-BH52))),0))))</f>
        <v>#REF!</v>
      </c>
      <c r="BO52" s="231" t="e">
        <f>IF(BN52&lt;0,0,BN52/(12-mois))</f>
        <v>#REF!</v>
      </c>
      <c r="BQ52" s="196"/>
      <c r="BR52" s="196"/>
      <c r="BS52" s="196"/>
      <c r="BT52" s="196"/>
      <c r="BU52" s="196"/>
      <c r="BV52" s="196"/>
      <c r="BW52" s="196"/>
      <c r="BX52" s="196"/>
      <c r="BY52" s="196"/>
      <c r="BZ52" s="196"/>
      <c r="CA52" s="196"/>
      <c r="CB52" s="196"/>
      <c r="CC52" s="130"/>
      <c r="CD52" s="237"/>
      <c r="CE52" s="54"/>
      <c r="CF52" s="130"/>
      <c r="CG52" s="126"/>
      <c r="CH52" s="55"/>
      <c r="CI52" s="52"/>
      <c r="CJ52" s="54"/>
      <c r="CK52" s="130"/>
      <c r="CL52" s="126"/>
      <c r="CM52" s="55"/>
    </row>
    <row r="53" spans="2:91" outlineLevel="1" x14ac:dyDescent="0.2">
      <c r="B53" s="56"/>
      <c r="C53" s="57" t="s">
        <v>61</v>
      </c>
      <c r="D53" s="2"/>
      <c r="E53" s="95">
        <v>0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167">
        <v>0</v>
      </c>
      <c r="M53" s="167">
        <v>0</v>
      </c>
      <c r="N53" s="167">
        <v>0</v>
      </c>
      <c r="O53" s="167">
        <v>0</v>
      </c>
      <c r="P53" s="168">
        <v>0</v>
      </c>
      <c r="Q53" s="185">
        <v>0</v>
      </c>
      <c r="R53" s="2"/>
      <c r="S53" s="95">
        <f t="shared" ref="S53:AD53" si="213">IF(ISERROR(VLOOKUP(CONCATENATE($B$50,S$5),TBCA,8,FALSE)/1000),0,VLOOKUP(CONCATENATE($B$50,S$5),TBCA,8,FALSE)/1000)</f>
        <v>0</v>
      </c>
      <c r="T53" s="167">
        <f t="shared" si="213"/>
        <v>0</v>
      </c>
      <c r="U53" s="167">
        <f t="shared" si="213"/>
        <v>0</v>
      </c>
      <c r="V53" s="167">
        <f t="shared" si="213"/>
        <v>0</v>
      </c>
      <c r="W53" s="167">
        <f t="shared" si="213"/>
        <v>0</v>
      </c>
      <c r="X53" s="167">
        <f t="shared" si="213"/>
        <v>0</v>
      </c>
      <c r="Y53" s="167">
        <f t="shared" si="213"/>
        <v>0</v>
      </c>
      <c r="Z53" s="167">
        <f t="shared" si="213"/>
        <v>0</v>
      </c>
      <c r="AA53" s="167">
        <f t="shared" si="213"/>
        <v>0</v>
      </c>
      <c r="AB53" s="167">
        <f t="shared" si="213"/>
        <v>0</v>
      </c>
      <c r="AC53" s="167">
        <f t="shared" si="213"/>
        <v>0</v>
      </c>
      <c r="AD53" s="168">
        <f t="shared" si="213"/>
        <v>0</v>
      </c>
      <c r="AE53" s="95">
        <f>SUMIF($S$5:$AD$5,"&lt;="&amp;mois,S53:AD53)</f>
        <v>0</v>
      </c>
      <c r="AF53" s="292"/>
      <c r="AG53" s="102">
        <f>AE53-AF53</f>
        <v>0</v>
      </c>
      <c r="AH53" s="102" t="e">
        <f>IF(EXCERCICE="PA",AE53-($CC53/12*(mois)),IF(EXCERCICE="LB1",AE53-($CF53/12*(mois)),AE53-($CK53/12*(mois))))</f>
        <v>#REF!</v>
      </c>
      <c r="AI53" s="102"/>
      <c r="AJ53" s="212">
        <f>IF(ISERROR(IF(EXCERCICE="PA",AE53/$CC53,IF(EXCERCICE="LB1",AE53/$CF53,AE53/$CK53))),0,IF(EXCERCICE="PA",AE53/$CC53,IF(EXCERCICE="LB1",AE53/$CF53,AE53/$CK53)))</f>
        <v>0</v>
      </c>
      <c r="AK53" s="212"/>
      <c r="AL53" s="58"/>
      <c r="AM53" s="11"/>
      <c r="AN53" s="243"/>
      <c r="AO53" s="95" t="e">
        <f>IF(mois+1&gt;12,AN53,+$AE53+AN53)</f>
        <v>#REF!</v>
      </c>
      <c r="AP53" s="292"/>
      <c r="AQ53" s="102" t="e">
        <f>AO53-AP53</f>
        <v>#REF!</v>
      </c>
      <c r="AR53" s="17" t="e">
        <f>IF(mois+1&gt;12,0,IF(mois=12,IF(EXCERCICE="PA",AO53-($CC53/12),IF(EXCERCICE="LB1",AO53-($CF53/12),AO53-($CK53/12))),IF(EXCERCICE="PA",AO53-($CC53/12*(mois+1)),IF(EXCERCICE="LB1",AO53-($CF53/12*(mois+1)),AO53-($CK53/12*(mois+1))))))</f>
        <v>#REF!</v>
      </c>
      <c r="AS53" s="199"/>
      <c r="AT53" s="212" t="e">
        <f>IF(mois+1&gt;12,0,IF(ISERROR(IF(EXCERCICE="PA",AO53/$CC53,IF(EXCERCICE="LB1",AO53/$CF53,AO53/$CK53))),0,IF(EXCERCICE="PA",AO53/$CC53,IF(EXCERCICE="LB1",AO53/$CF53,AO53/$CK53))))</f>
        <v>#REF!</v>
      </c>
      <c r="AU53" s="221"/>
      <c r="AV53" s="11"/>
      <c r="AW53" s="11"/>
      <c r="AX53" s="243"/>
      <c r="AY53" s="95" t="e">
        <f>IF(mois+2=13,AX53,IF(mois+2&gt;14,AX53,$AO53+AX53))</f>
        <v>#REF!</v>
      </c>
      <c r="AZ53" s="292"/>
      <c r="BA53" s="17" t="e">
        <f>IF(mois+2&gt;12,0,IF(mois=12,IF(EXCERCICE="PA",AY53-($CC53/12),IF(EXCERCICE="LB1",AY53-($CF53/12),AY53-($CK53/12))),IF(EXCERCICE="PA",AY53-($CC53/12*(mois+2)),IF(EXCERCICE="LB1",AY53-($CF53/12*(mois+2)),AY53-($CK53/12*(mois+2))))))</f>
        <v>#REF!</v>
      </c>
      <c r="BB53" s="179"/>
      <c r="BC53" s="212" t="e">
        <f>IF(mois+2&gt;12,0,IF(ISERROR(IF(EXCERCICE="PA",AY53/$CC53,IF(EXCERCICE="LB1",AY53/$CF53,AY53/$CK53))),0,IF(EXCERCICE="PA",AY53/$CC53,IF(EXCERCICE="LB1",AY53/$CF53,AY53/$CK53))))</f>
        <v>#REF!</v>
      </c>
      <c r="BD53" s="221"/>
      <c r="BE53" s="58"/>
      <c r="BF53" s="11"/>
      <c r="BG53" s="243"/>
      <c r="BH53" s="95" t="e">
        <f>IF(mois+3=13,BG53,IF(mois+3&gt;15,BG53,+$AY53+BG53))</f>
        <v>#REF!</v>
      </c>
      <c r="BI53" s="17" t="e">
        <f>IF(mois+3&gt;12,0,IF(mois=12,IF(EXCERCICE="PA",BH53-($CC53/12),IF(EXCERCICE="LB1",BH53-($CF53/12),BH53-($CK53/12))),IF(EXCERCICE="PA",BH53-($CC53/12*(mois+3)),IF(EXCERCICE="LB1",BH53-($CF53/12*(mois+3)),BH53-($CK53/12*(mois+3))))))</f>
        <v>#REF!</v>
      </c>
      <c r="BJ53" s="17"/>
      <c r="BK53" s="212" t="e">
        <f>IF(mois+3&gt;12,0,IF(ISERROR(IF(EXCERCICE="PA",BH53/$CC53,IF(EXCERCICE="LB1",BH53/$CF53,BH53/$CK53))),0,IF(EXCERCICE="PA",BH53/$CC53,IF(EXCERCICE="LB1",BH53/$CF53,BH53/$CK53))))</f>
        <v>#REF!</v>
      </c>
      <c r="BL53" s="221"/>
      <c r="BM53" s="2"/>
      <c r="BN53" s="123" t="e">
        <f>IF(mois&gt;=12,IF(EXCERCICE="PA",CC53-AE53,IF(EXCERCICE="LB1",CF53-AE53,IF(EXCERCICE="LB2",$CK53-AE53))),
IF(mois+1&lt;=13,IF(EXCERCICE="PA",CC53-AO53,IF(EXCERCICE="LB1",CF53-AO53,IF(EXCERCICE="LB2",$CK53-AO53))),
IF(mois+2&lt;=14,IF(EXCERCICE="PA",CC53-AY53,IF(EXCERCICE="LB1",CF53-AY53,IF(EXCERCICE="LB2",$CK53-AY53))),
IF(mois+3&lt;=15,IF(EXCERCICE="PA",CC53-BH53,IF(EXCERCICE="LB1",CF53-BH53,IF(EXCERCICE="LB2",$CK53-BH53))),0))))</f>
        <v>#REF!</v>
      </c>
      <c r="BO53" s="123" t="e">
        <f>IF(BN53&lt;0,0,BN53/(12-mois))</f>
        <v>#REF!</v>
      </c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23"/>
      <c r="CD53" s="203"/>
      <c r="CE53" s="11"/>
      <c r="CF53" s="95"/>
      <c r="CG53" s="125"/>
      <c r="CH53" s="17"/>
      <c r="CI53" s="58"/>
      <c r="CJ53" s="11"/>
      <c r="CK53" s="95"/>
      <c r="CL53" s="125"/>
      <c r="CM53" s="17"/>
    </row>
    <row r="54" spans="2:91" outlineLevel="1" x14ac:dyDescent="0.2">
      <c r="B54" s="60"/>
      <c r="C54" s="143" t="s">
        <v>62</v>
      </c>
      <c r="D54" s="2"/>
      <c r="E54" s="61" t="s">
        <v>89</v>
      </c>
      <c r="F54" s="7" t="s">
        <v>89</v>
      </c>
      <c r="G54" s="7" t="s">
        <v>89</v>
      </c>
      <c r="H54" s="7" t="s">
        <v>89</v>
      </c>
      <c r="I54" s="7" t="s">
        <v>89</v>
      </c>
      <c r="J54" s="7" t="s">
        <v>89</v>
      </c>
      <c r="K54" s="7" t="s">
        <v>89</v>
      </c>
      <c r="L54" s="7" t="s">
        <v>89</v>
      </c>
      <c r="M54" s="7" t="s">
        <v>89</v>
      </c>
      <c r="N54" s="7" t="s">
        <v>89</v>
      </c>
      <c r="O54" s="7" t="s">
        <v>89</v>
      </c>
      <c r="P54" s="7" t="s">
        <v>89</v>
      </c>
      <c r="Q54" s="186" t="s">
        <v>89</v>
      </c>
      <c r="R54" s="2"/>
      <c r="S54" s="61" t="str">
        <f>IF(S52=0,"-",S53/S52)</f>
        <v>-</v>
      </c>
      <c r="T54" s="7" t="str">
        <f t="shared" ref="T54:AD54" si="214">IF(T52=0,"-",T53/T52)</f>
        <v>-</v>
      </c>
      <c r="U54" s="7" t="str">
        <f t="shared" si="214"/>
        <v>-</v>
      </c>
      <c r="V54" s="7" t="str">
        <f t="shared" si="214"/>
        <v>-</v>
      </c>
      <c r="W54" s="7" t="str">
        <f t="shared" si="214"/>
        <v>-</v>
      </c>
      <c r="X54" s="7" t="str">
        <f t="shared" si="214"/>
        <v>-</v>
      </c>
      <c r="Y54" s="7" t="str">
        <f t="shared" si="214"/>
        <v>-</v>
      </c>
      <c r="Z54" s="7" t="str">
        <f t="shared" si="214"/>
        <v>-</v>
      </c>
      <c r="AA54" s="7" t="str">
        <f t="shared" si="214"/>
        <v>-</v>
      </c>
      <c r="AB54" s="7" t="str">
        <f t="shared" si="214"/>
        <v>-</v>
      </c>
      <c r="AC54" s="7" t="str">
        <f t="shared" si="214"/>
        <v>-</v>
      </c>
      <c r="AD54" s="7" t="str">
        <f t="shared" si="214"/>
        <v>-</v>
      </c>
      <c r="AE54" s="61" t="str">
        <f>IF(AE52=0,"-",AE53/AE52)</f>
        <v>-</v>
      </c>
      <c r="AF54" s="293"/>
      <c r="AG54" s="103" t="str">
        <f t="shared" ref="AG54" si="215">IF(AG52=0,"-",AG53/AG52)</f>
        <v>-</v>
      </c>
      <c r="AH54" s="103" t="e">
        <f>IF(AH52=0,"-",AH53/AH52)</f>
        <v>#REF!</v>
      </c>
      <c r="AI54" s="103"/>
      <c r="AJ54" s="197"/>
      <c r="AK54" s="197"/>
      <c r="AL54" s="58"/>
      <c r="AM54" s="11"/>
      <c r="AN54" s="249"/>
      <c r="AO54" s="61" t="e">
        <f t="shared" ref="AO54" si="216">IF(AO52=0,"-",AO53/AO52)</f>
        <v>#REF!</v>
      </c>
      <c r="AP54" s="293"/>
      <c r="AQ54" s="103" t="e">
        <f>IF(AQ52=0,"-",AQ53/AQ52)</f>
        <v>#REF!</v>
      </c>
      <c r="AR54" s="7" t="e">
        <f>IF(AR52=0,"-",AR53/AR52)</f>
        <v>#REF!</v>
      </c>
      <c r="AS54" s="197"/>
      <c r="AT54" s="197"/>
      <c r="AU54" s="222"/>
      <c r="AV54" s="11"/>
      <c r="AW54" s="11"/>
      <c r="AX54" s="249"/>
      <c r="AY54" s="61" t="e">
        <f t="shared" ref="AY54" si="217">IF(AY52=0,"-",AY53/AY52)</f>
        <v>#REF!</v>
      </c>
      <c r="AZ54" s="293"/>
      <c r="BA54" s="7" t="e">
        <f>IF(BA52=0,"-",BA53/BA52)</f>
        <v>#REF!</v>
      </c>
      <c r="BB54" s="103"/>
      <c r="BC54" s="197"/>
      <c r="BD54" s="222"/>
      <c r="BE54" s="58"/>
      <c r="BF54" s="11"/>
      <c r="BG54" s="249"/>
      <c r="BH54" s="61" t="e">
        <f t="shared" ref="BH54:BI54" si="218">IF(BH52=0,"-",BH53/BH52)</f>
        <v>#REF!</v>
      </c>
      <c r="BI54" s="7" t="e">
        <f t="shared" si="218"/>
        <v>#REF!</v>
      </c>
      <c r="BJ54" s="7"/>
      <c r="BK54" s="197"/>
      <c r="BL54" s="222"/>
      <c r="BM54" s="2"/>
      <c r="BN54" s="63"/>
      <c r="BO54" s="63"/>
      <c r="BQ54" s="173"/>
      <c r="BR54" s="173"/>
      <c r="BS54" s="173"/>
      <c r="BT54" s="173"/>
      <c r="BU54" s="173"/>
      <c r="BV54" s="173"/>
      <c r="BW54" s="173"/>
      <c r="BX54" s="173"/>
      <c r="BY54" s="173"/>
      <c r="BZ54" s="173"/>
      <c r="CA54" s="173"/>
      <c r="CB54" s="173"/>
      <c r="CC54" s="63"/>
      <c r="CD54" s="204"/>
      <c r="CE54" s="11"/>
      <c r="CF54" s="61"/>
      <c r="CG54" s="134"/>
      <c r="CH54" s="8"/>
      <c r="CI54" s="58"/>
      <c r="CJ54" s="11"/>
      <c r="CK54" s="61"/>
      <c r="CL54" s="134"/>
      <c r="CM54" s="8"/>
    </row>
    <row r="55" spans="2:91" outlineLevel="1" x14ac:dyDescent="0.2">
      <c r="B55" s="64"/>
      <c r="C55" s="6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194"/>
      <c r="AG55" s="100"/>
      <c r="AH55" s="100"/>
      <c r="AI55" s="100"/>
      <c r="AJ55" s="214"/>
      <c r="AK55" s="214"/>
      <c r="AL55" s="11"/>
      <c r="AM55" s="2"/>
      <c r="AN55" s="71"/>
      <c r="AO55" s="11"/>
      <c r="AP55" s="194"/>
      <c r="AQ55" s="100"/>
      <c r="AR55" s="65"/>
      <c r="AS55" s="2"/>
      <c r="AT55" s="214"/>
      <c r="AU55" s="214"/>
      <c r="AV55" s="11"/>
      <c r="AW55" s="2"/>
      <c r="AX55" s="71"/>
      <c r="AY55" s="11"/>
      <c r="AZ55" s="194"/>
      <c r="BA55" s="65"/>
      <c r="BB55" s="2"/>
      <c r="BC55" s="214"/>
      <c r="BD55" s="214"/>
      <c r="BE55" s="11"/>
      <c r="BF55" s="2"/>
      <c r="BG55" s="71"/>
      <c r="BH55" s="11"/>
      <c r="BI55" s="11"/>
      <c r="BJ55" s="11"/>
      <c r="BK55" s="214"/>
      <c r="BL55" s="214"/>
      <c r="BM55" s="2"/>
      <c r="BN55" s="11"/>
      <c r="BO55" s="11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65"/>
      <c r="CD55" s="205"/>
      <c r="CE55" s="11"/>
      <c r="CF55" s="71"/>
      <c r="CG55" s="137"/>
      <c r="CH55" s="65"/>
      <c r="CI55" s="11"/>
      <c r="CJ55" s="2"/>
      <c r="CK55" s="71"/>
      <c r="CL55" s="137"/>
      <c r="CM55" s="65"/>
    </row>
    <row r="56" spans="2:91" outlineLevel="1" x14ac:dyDescent="0.2">
      <c r="B56" s="66"/>
      <c r="C56" s="67" t="s">
        <v>58</v>
      </c>
      <c r="D56" s="51"/>
      <c r="E56" s="96">
        <v>0</v>
      </c>
      <c r="F56" s="169">
        <v>0</v>
      </c>
      <c r="G56" s="169">
        <v>0</v>
      </c>
      <c r="H56" s="169">
        <v>0</v>
      </c>
      <c r="I56" s="169">
        <v>0</v>
      </c>
      <c r="J56" s="169">
        <v>0</v>
      </c>
      <c r="K56" s="169">
        <v>0</v>
      </c>
      <c r="L56" s="169">
        <v>0</v>
      </c>
      <c r="M56" s="169">
        <v>0</v>
      </c>
      <c r="N56" s="169">
        <v>0</v>
      </c>
      <c r="O56" s="169">
        <v>0</v>
      </c>
      <c r="P56" s="170">
        <v>0</v>
      </c>
      <c r="Q56" s="187">
        <v>0</v>
      </c>
      <c r="R56" s="51"/>
      <c r="S56" s="96">
        <f t="shared" ref="S56:AD56" si="219">IF(ISERROR(VLOOKUP(CONCATENATE($B$50,S$5),TBCA,9,FALSE)/1000),0,VLOOKUP(CONCATENATE($B$50,S$5),TBCA,9,FALSE)/1000)</f>
        <v>0</v>
      </c>
      <c r="T56" s="169">
        <f t="shared" si="219"/>
        <v>0</v>
      </c>
      <c r="U56" s="169">
        <f t="shared" si="219"/>
        <v>0</v>
      </c>
      <c r="V56" s="169">
        <f t="shared" si="219"/>
        <v>0</v>
      </c>
      <c r="W56" s="169">
        <f t="shared" si="219"/>
        <v>0</v>
      </c>
      <c r="X56" s="169">
        <f t="shared" si="219"/>
        <v>0</v>
      </c>
      <c r="Y56" s="169">
        <f t="shared" si="219"/>
        <v>0</v>
      </c>
      <c r="Z56" s="169">
        <f t="shared" si="219"/>
        <v>0</v>
      </c>
      <c r="AA56" s="169">
        <f t="shared" si="219"/>
        <v>0</v>
      </c>
      <c r="AB56" s="169">
        <f t="shared" si="219"/>
        <v>0</v>
      </c>
      <c r="AC56" s="169">
        <f t="shared" si="219"/>
        <v>0</v>
      </c>
      <c r="AD56" s="170">
        <f t="shared" si="219"/>
        <v>0</v>
      </c>
      <c r="AE56" s="324">
        <f>SUMIF($S$5:$AD$5,"&lt;="&amp;mois,S56:AD56)</f>
        <v>0</v>
      </c>
      <c r="AF56" s="294"/>
      <c r="AG56" s="104">
        <f>AE56-AF56</f>
        <v>0</v>
      </c>
      <c r="AH56" s="104" t="e">
        <f>IF(EXCERCICE="PA",AE56-($CC56/12*(mois)),IF(EXCERCICE="LB1",AE56-($CF56/12*(mois)),AE56-($CK56/12*(mois))))</f>
        <v>#REF!</v>
      </c>
      <c r="AI56" s="175">
        <f>IF(ISERROR(AE56/Q56),0,AE56/Q56)</f>
        <v>0</v>
      </c>
      <c r="AJ56" s="175">
        <f>IF(ISERROR(IF(EXCERCICE="PA",AE56/$CC56,IF(EXCERCICE="LB1",AE56/$CF56,AE56/$CK56))),0,IF(EXCERCICE="PA",AE56/$CC56,IF(EXCERCICE="LB1",AE56/$CF56,AE56/$CK56)))</f>
        <v>0</v>
      </c>
      <c r="AK56" s="223" t="str">
        <f>IF(ISERROR(AE56/HLOOKUP(mois,$BQ$5:$CB$39,7,FALSE)),"",AE56/HLOOKUP(mois,$BQ$5:$CB$39,7,FALSE))</f>
        <v/>
      </c>
      <c r="AL56" s="54"/>
      <c r="AM56" s="54"/>
      <c r="AN56" s="250"/>
      <c r="AO56" s="96" t="e">
        <f>IF(mois+1&gt;12,AN56,+$AE56+AN56)</f>
        <v>#REF!</v>
      </c>
      <c r="AP56" s="294"/>
      <c r="AQ56" s="104" t="e">
        <f>AO56-AP56</f>
        <v>#REF!</v>
      </c>
      <c r="AR56" s="68" t="e">
        <f>IF(mois+1&gt;12,0,IF(mois=12,IF(EXCERCICE="PA",AO56-($CC56/12),IF(EXCERCICE="LB1",AO56-($CF56/12),AO56-($CK56/12))),IF(EXCERCICE="PA",AO56-($CC56/12*(mois+1)),IF(EXCERCICE="LB1",AO56-($CF56/12*(mois+1)),AO56-($CK56/12*(mois+1))))))</f>
        <v>#REF!</v>
      </c>
      <c r="AS56" s="200" t="e">
        <f>IF(AO56=0,0,IF(mois+1&gt;12,AO56/SUMPRODUCT((($S$6:$U$6)&lt;=mois+1)*$S56:$U56),AO56/SUMPRODUCT((($E$5:$P$5)&lt;=mois+1)*$E56:$P56)))</f>
        <v>#REF!</v>
      </c>
      <c r="AT56" s="175" t="e">
        <f>IF(mois+1&gt;12,0,IF(ISERROR(IF(EXCERCICE="PA",AO56/$CC56,IF(EXCERCICE="LB1",AO56/$CF56,AO56/$CK56))),0,IF(EXCERCICE="PA",AO56/$CC56,IF(EXCERCICE="LB1",AO56/$CF56,AO56/$CK56))))</f>
        <v>#REF!</v>
      </c>
      <c r="AU56" s="223" t="str">
        <f>IF(ISERROR(AO56/HLOOKUP(mois+1,$BQ$5:$CB$39,7,FALSE)),"",AO56/HLOOKUP(mois+1,$BQ$5:$CB$39,7,FALSE))</f>
        <v/>
      </c>
      <c r="AV56" s="11"/>
      <c r="AW56" s="54"/>
      <c r="AX56" s="250"/>
      <c r="AY56" s="96" t="e">
        <f>IF(mois+2=13,AX56,IF(mois+2&gt;14,AX56,$AO56+AX56))</f>
        <v>#REF!</v>
      </c>
      <c r="AZ56" s="294"/>
      <c r="BA56" s="68" t="e">
        <f>IF(mois+2&gt;12,0,IF(mois=12,IF(EXCERCICE="PA",AY56-($CC56/12),IF(EXCERCICE="LB1",AY56-($CF56/12),AY56-($CK56/12))),IF(EXCERCICE="PA",AY56-($CC56/12*(mois+2)),IF(EXCERCICE="LB1",AY56-($CF56/12*(mois+2)),AY56-($CK56/12*(mois+2))))))</f>
        <v>#REF!</v>
      </c>
      <c r="BB56" s="200" t="e">
        <f>IF(AY56=0,0,IF(mois+1&gt;12,AY56/SUMPRODUCT((($S$6:$U$6)&lt;=mois+2)*$S56:$U56),AY56/SUMPRODUCT((($E$5:$P$5)&lt;=mois+2)*$E56:$P56)))</f>
        <v>#REF!</v>
      </c>
      <c r="BC56" s="175" t="e">
        <f>IF(mois+2&gt;12,0,IF(ISERROR(IF(EXCERCICE="PA",AY56/$CC56,IF(EXCERCICE="LB1",AY56/$CF56,AY56/$CK56))),0,IF(EXCERCICE="PA",AY56/$CC56,IF(EXCERCICE="LB1",AY56/$CF56,AY56/$CK56))))</f>
        <v>#REF!</v>
      </c>
      <c r="BD56" s="223" t="str">
        <f>IF(ISERROR(AY56/HLOOKUP(mois+2,$BQ$5:$CB$39,7,FALSE)),"",AY56/HLOOKUP(mois+2,$BQ$5:$CB$39,7,FALSE))</f>
        <v/>
      </c>
      <c r="BE56" s="52"/>
      <c r="BF56" s="54"/>
      <c r="BG56" s="250"/>
      <c r="BH56" s="96" t="e">
        <f>IF(mois+3=13,BG56,IF(mois+3&gt;15,BG56,+$AY56+BG56))</f>
        <v>#REF!</v>
      </c>
      <c r="BI56" s="68" t="e">
        <f>IF(mois+3&gt;12,0,IF(mois=12,IF(EXCERCICE="PA",BH56-($CC56/12),IF(EXCERCICE="LB1",BH56-($CF56/12),BH56-($CK56/12))),IF(EXCERCICE="PA",BH56-($CC56/12*(mois+3)),IF(EXCERCICE="LB1",BH56-($CF56/12*(mois+3)),BH56-($CK56/12*(mois+3))))))</f>
        <v>#REF!</v>
      </c>
      <c r="BJ56" s="200" t="e">
        <f>IF(BH56=0,0,IF(mois+1&gt;12,BH56/SUMPRODUCT((($S$6:$U$6)&lt;=mois+3)*$S56:$U56),BH56/SUMPRODUCT((($E$5:$P$5)&lt;=mois+3)*$E56:$P56)))</f>
        <v>#REF!</v>
      </c>
      <c r="BK56" s="175" t="e">
        <f>IF(mois+3&gt;12,0,IF(ISERROR(IF(EXCERCICE="PA",BH56/$CC56,IF(EXCERCICE="LB1",BH56/$CF56,BH56/$CK56))),0,IF(EXCERCICE="PA",BH56/$CC56,IF(EXCERCICE="LB1",BH56/$CF56,BH56/$CK56))))</f>
        <v>#REF!</v>
      </c>
      <c r="BL56" s="223" t="str">
        <f>IF(ISERROR(BH56/HLOOKUP(mois+3,$BQ$5:$CB$39,7,FALSE)),"",BH56/HLOOKUP(mois+3,$BQ$5:$CB$39,7,FALSE))</f>
        <v/>
      </c>
      <c r="BM56" s="2"/>
      <c r="BN56" s="131" t="e">
        <f>IF(mois&gt;=12,IF(EXCERCICE="PA",CC56-AE56,IF(EXCERCICE="LB1",CF56-AE56,IF(EXCERCICE="LB2",$CK56-AE56))),
IF(mois+1&lt;=13,IF(EXCERCICE="PA",CC56-AO56,IF(EXCERCICE="LB1",CF56-AO56,IF(EXCERCICE="LB2",$CK56-AO56))),
IF(mois+2&lt;=14,IF(EXCERCICE="PA",CC56-AY56,IF(EXCERCICE="LB1",CF56-AY56,IF(EXCERCICE="LB2",$CK56-AY56))),
IF(mois+3&lt;=15,IF(EXCERCICE="PA",CC56-BH56,IF(EXCERCICE="LB1",CF56-BH56,IF(EXCERCICE="LB2",$CK56-BH56))),0))))</f>
        <v>#REF!</v>
      </c>
      <c r="BO56" s="131" t="e">
        <f>IF(BN56&lt;0,0,BN56/(12-mois))</f>
        <v>#REF!</v>
      </c>
      <c r="BQ56" s="196"/>
      <c r="BR56" s="196"/>
      <c r="BS56" s="196"/>
      <c r="BT56" s="196"/>
      <c r="BU56" s="196"/>
      <c r="BV56" s="196"/>
      <c r="BW56" s="196"/>
      <c r="BX56" s="196"/>
      <c r="BY56" s="196"/>
      <c r="BZ56" s="196"/>
      <c r="CA56" s="196"/>
      <c r="CB56" s="196"/>
      <c r="CC56" s="131"/>
      <c r="CD56" s="206"/>
      <c r="CE56" s="54"/>
      <c r="CF56" s="96"/>
      <c r="CG56" s="138"/>
      <c r="CH56" s="68"/>
      <c r="CI56" s="52"/>
      <c r="CJ56" s="54"/>
      <c r="CK56" s="96"/>
      <c r="CL56" s="138"/>
      <c r="CM56" s="68"/>
    </row>
    <row r="57" spans="2:91" outlineLevel="1" x14ac:dyDescent="0.2">
      <c r="B57" s="64"/>
      <c r="C57" s="6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194"/>
      <c r="AG57" s="100"/>
      <c r="AH57" s="100"/>
      <c r="AI57" s="100"/>
      <c r="AJ57" s="214"/>
      <c r="AK57" s="214"/>
      <c r="AL57" s="11"/>
      <c r="AM57" s="2"/>
      <c r="AN57" s="71"/>
      <c r="AO57" s="11"/>
      <c r="AP57" s="194"/>
      <c r="AQ57" s="100"/>
      <c r="AR57" s="65"/>
      <c r="AS57" s="2"/>
      <c r="AT57" s="214"/>
      <c r="AU57" s="214"/>
      <c r="AV57" s="11"/>
      <c r="AW57" s="2"/>
      <c r="AX57" s="71"/>
      <c r="AY57" s="11"/>
      <c r="AZ57" s="194"/>
      <c r="BA57" s="65"/>
      <c r="BB57" s="2"/>
      <c r="BC57" s="214"/>
      <c r="BD57" s="214"/>
      <c r="BE57" s="11"/>
      <c r="BF57" s="2"/>
      <c r="BG57" s="71"/>
      <c r="BH57" s="11"/>
      <c r="BI57" s="11"/>
      <c r="BJ57" s="11"/>
      <c r="BK57" s="214"/>
      <c r="BL57" s="214"/>
      <c r="BM57" s="2"/>
      <c r="BN57" s="11"/>
      <c r="BO57" s="11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65"/>
      <c r="CD57" s="205"/>
      <c r="CE57" s="11"/>
      <c r="CF57" s="71"/>
      <c r="CG57" s="137"/>
      <c r="CH57" s="65"/>
      <c r="CI57" s="11"/>
      <c r="CJ57" s="2"/>
      <c r="CK57" s="71"/>
      <c r="CL57" s="137"/>
      <c r="CM57" s="65"/>
    </row>
    <row r="58" spans="2:91" outlineLevel="1" x14ac:dyDescent="0.2">
      <c r="B58" s="49"/>
      <c r="C58" s="50" t="s">
        <v>59</v>
      </c>
      <c r="D58" s="51"/>
      <c r="E58" s="92">
        <v>0</v>
      </c>
      <c r="F58" s="93">
        <v>0</v>
      </c>
      <c r="G58" s="93">
        <v>0</v>
      </c>
      <c r="H58" s="93">
        <v>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0</v>
      </c>
      <c r="O58" s="93">
        <v>0</v>
      </c>
      <c r="P58" s="94">
        <v>0</v>
      </c>
      <c r="Q58" s="184">
        <v>0</v>
      </c>
      <c r="R58" s="51"/>
      <c r="S58" s="92">
        <f t="shared" ref="S58:AD58" si="220">IF(ISERROR(VLOOKUP(CONCATENATE($B$50,S$5),TBCA,10,FALSE)/1000),0,VLOOKUP(CONCATENATE($B$50,S$5),TBCA,10,FALSE)/1000)</f>
        <v>0</v>
      </c>
      <c r="T58" s="93">
        <f t="shared" si="220"/>
        <v>0</v>
      </c>
      <c r="U58" s="93">
        <f t="shared" si="220"/>
        <v>0</v>
      </c>
      <c r="V58" s="93">
        <f t="shared" si="220"/>
        <v>0</v>
      </c>
      <c r="W58" s="93">
        <f t="shared" si="220"/>
        <v>0</v>
      </c>
      <c r="X58" s="93">
        <f t="shared" si="220"/>
        <v>0</v>
      </c>
      <c r="Y58" s="93">
        <f t="shared" si="220"/>
        <v>0</v>
      </c>
      <c r="Z58" s="93">
        <f t="shared" si="220"/>
        <v>0</v>
      </c>
      <c r="AA58" s="93">
        <f t="shared" si="220"/>
        <v>0</v>
      </c>
      <c r="AB58" s="93">
        <f t="shared" si="220"/>
        <v>0</v>
      </c>
      <c r="AC58" s="93">
        <f t="shared" si="220"/>
        <v>0</v>
      </c>
      <c r="AD58" s="94">
        <f t="shared" si="220"/>
        <v>0</v>
      </c>
      <c r="AE58" s="92">
        <f>SUMIF($S$5:$AD$5,"&lt;="&amp;mois,S58:AD58)</f>
        <v>0</v>
      </c>
      <c r="AF58" s="291"/>
      <c r="AG58" s="101">
        <f t="shared" ref="AG58:AG59" si="221">AE58-AF58</f>
        <v>0</v>
      </c>
      <c r="AH58" s="101" t="e">
        <f>IF(EXCERCICE="PA",AE58-($CC58/12*(mois)),IF(EXCERCICE="LB1",AE58-($CF58/12*(mois)),AE58-($CK58/12*(mois))))</f>
        <v>#REF!</v>
      </c>
      <c r="AI58" s="176">
        <f>IF(ISERROR(AE58/Q58),0,AE58/Q58)</f>
        <v>0</v>
      </c>
      <c r="AJ58" s="176">
        <f>IF(ISERROR(IF(EXCERCICE="PA",AE58/$CC58,IF(EXCERCICE="LB1",AE58/$CF58,AE58/$CK58))),0,IF(EXCERCICE="PA",AE58/$CC58,IF(EXCERCICE="LB1",AE58/$CF58,AE58/$CK58)))</f>
        <v>0</v>
      </c>
      <c r="AK58" s="176" t="str">
        <f>IF(ISERROR(AE58/HLOOKUP(mois,$BQ$5:$CB$39,9,FALSE)),"",AE58/HLOOKUP(mois,$BQ$5:$CB$39,9,FALSE))</f>
        <v/>
      </c>
      <c r="AL58" s="52"/>
      <c r="AM58" s="54"/>
      <c r="AN58" s="242"/>
      <c r="AO58" s="92" t="e">
        <f>IF(mois+1&gt;12,AN58,+$AE58+AN58)</f>
        <v>#REF!</v>
      </c>
      <c r="AP58" s="291"/>
      <c r="AQ58" s="101" t="e">
        <f>AO58-AP58</f>
        <v>#REF!</v>
      </c>
      <c r="AR58" s="55" t="e">
        <f>IF(mois+1&gt;12,0,IF(mois=12,IF(EXCERCICE="PA",AO58-($CC58/12),IF(EXCERCICE="LB1",AO58-($CF58/12),AO58-($CK58/12))),IF(EXCERCICE="PA",AO58-($CC58/12*(mois+1)),IF(EXCERCICE="LB1",AO58-($CF58/12*(mois+1)),AO58-($CK58/12*(mois+1))))))</f>
        <v>#REF!</v>
      </c>
      <c r="AS58" s="176" t="e">
        <f>IF(AO58=0,0,IF(mois+1&gt;12,AO58/SUMPRODUCT((($S$6:$U$6)&lt;=mois+1)*$S58:$U58),AO58/SUMPRODUCT((($E$5:$P$5)&lt;=mois+1)*$E58:$P58)))</f>
        <v>#REF!</v>
      </c>
      <c r="AT58" s="176" t="e">
        <f>IF(mois+1&gt;12,0,IF(ISERROR(IF(EXCERCICE="PA",AO58/$CC58,IF(EXCERCICE="LB1",AO58/$CF58,AO58/$CK58))),0,IF(EXCERCICE="PA",AO58/$CC58,IF(EXCERCICE="LB1",AO58/$CF58,AO58/$CK58))))</f>
        <v>#REF!</v>
      </c>
      <c r="AU58" s="224" t="str">
        <f>IF(ISERROR(AO58/HLOOKUP(mois+1,$BQ$5:$CB$39,9,FALSE)),"",AO58/HLOOKUP(mois+1,$BQ$5:$CB$39,9,FALSE))</f>
        <v/>
      </c>
      <c r="AV58" s="11"/>
      <c r="AW58" s="54"/>
      <c r="AX58" s="242"/>
      <c r="AY58" s="92" t="e">
        <f>IF(mois+2=13,AX58,IF(mois+2&gt;14,AX58,$AO58+AX58))</f>
        <v>#REF!</v>
      </c>
      <c r="AZ58" s="291"/>
      <c r="BA58" s="55" t="e">
        <f>IF(mois+2&gt;12,0,IF(mois=12,IF(EXCERCICE="PA",AY58-($CC58/12),IF(EXCERCICE="LB1",AY58-($CF58/12),AY58-($CK58/12))),IF(EXCERCICE="PA",AY58-($CC58/12*(mois+2)),IF(EXCERCICE="LB1",AY58-($CF58/12*(mois+2)),AY58-($CK58/12*(mois+2))))))</f>
        <v>#REF!</v>
      </c>
      <c r="BB58" s="176" t="e">
        <f>IF(AY58=0,0,IF(mois+1&gt;12,AY58/SUMPRODUCT((($S$6:$U$6)&lt;=mois+2)*$S58:$U58),AY58/SUMPRODUCT((($E$5:$P$5)&lt;=mois+2)*$E58:$P58)))</f>
        <v>#REF!</v>
      </c>
      <c r="BC58" s="176" t="e">
        <f>IF(mois+2&gt;12,0,IF(ISERROR(IF(EXCERCICE="PA",AY58/$CC58,IF(EXCERCICE="LB1",AY58/$CF58,AY58/$CK58))),0,IF(EXCERCICE="PA",AY58/$CC58,IF(EXCERCICE="LB1",AY58/$CF58,AY58/$CK58))))</f>
        <v>#REF!</v>
      </c>
      <c r="BD58" s="224" t="str">
        <f>IF(ISERROR(AY58/HLOOKUP(mois+2,$BQ$5:$CB$39,9,FALSE)),"",AY58/HLOOKUP(mois+2,$BQ$5:$CB$39,9,FALSE))</f>
        <v/>
      </c>
      <c r="BE58" s="52"/>
      <c r="BF58" s="54"/>
      <c r="BG58" s="242"/>
      <c r="BH58" s="92" t="e">
        <f>IF(mois+3=13,BG58,IF(mois+3&gt;15,BG58,+$AY58+BG58))</f>
        <v>#REF!</v>
      </c>
      <c r="BI58" s="55" t="e">
        <f>IF(mois+3&gt;12,0,IF(mois=12,IF(EXCERCICE="PA",BH58-($CC58/12),IF(EXCERCICE="LB1",BH58-($CF58/12),BH58-($CK58/12))),IF(EXCERCICE="PA",BH58-($CC58/12*(mois+3)),IF(EXCERCICE="LB1",BH58-($CF58/12*(mois+3)),BH58-($CK58/12*(mois+3))))))</f>
        <v>#REF!</v>
      </c>
      <c r="BJ58" s="176" t="e">
        <f>IF(BH58=0,0,IF(mois+1&gt;12,BH58/SUMPRODUCT((($S$6:$U$6)&lt;=mois+3)*$S58:$U58),BH58/SUMPRODUCT((($E$5:$P$5)&lt;=mois+3)*$E58:$P58)))</f>
        <v>#REF!</v>
      </c>
      <c r="BK58" s="176" t="e">
        <f>IF(mois+3&gt;12,0,IF(ISERROR(IF(EXCERCICE="PA",BH58/$CC58,IF(EXCERCICE="LB1",BH58/$CF58,BH58/$CK58))),0,IF(EXCERCICE="PA",BH58/$CC58,IF(EXCERCICE="LB1",BH58/$CF58,BH58/$CK58))))</f>
        <v>#REF!</v>
      </c>
      <c r="BL58" s="224" t="str">
        <f>IF(ISERROR(BH58/HLOOKUP(mois+3,$BQ$5:$CB$39,9,FALSE)),"",BH58/HLOOKUP(mois+3,$BQ$5:$CB$39,9,FALSE))</f>
        <v/>
      </c>
      <c r="BM58" s="2"/>
      <c r="BN58" s="231" t="e">
        <f>IF(mois&gt;=12,IF(EXCERCICE="PA",CC58-AE58,IF(EXCERCICE="LB1",CF58-AE58,IF(EXCERCICE="LB2",$CK58-AE58))),
IF(mois+1&lt;=13,IF(EXCERCICE="PA",CC58-AO58,IF(EXCERCICE="LB1",CF58-AO58,IF(EXCERCICE="LB2",$CK58-AO58))),
IF(mois+2&lt;=14,IF(EXCERCICE="PA",CC58-AY58,IF(EXCERCICE="LB1",CF58-AY58,IF(EXCERCICE="LB2",$CK58-AY58))),
IF(mois+3&lt;=15,IF(EXCERCICE="PA",CC58-BH58,IF(EXCERCICE="LB1",CF58-BH58,IF(EXCERCICE="LB2",$CK58-BH58))),0))))</f>
        <v>#REF!</v>
      </c>
      <c r="BO58" s="231" t="e">
        <f>IF(BN58&lt;0,0,BN58/(12-mois))</f>
        <v>#REF!</v>
      </c>
      <c r="BP58" s="2"/>
      <c r="BQ58" s="196"/>
      <c r="BR58" s="196"/>
      <c r="BS58" s="196"/>
      <c r="BT58" s="196"/>
      <c r="BU58" s="196"/>
      <c r="BV58" s="196"/>
      <c r="BW58" s="196"/>
      <c r="BX58" s="196"/>
      <c r="BY58" s="196"/>
      <c r="BZ58" s="196"/>
      <c r="CA58" s="196"/>
      <c r="CB58" s="196"/>
      <c r="CC58" s="92"/>
      <c r="CD58" s="207"/>
      <c r="CE58" s="54"/>
      <c r="CF58" s="92"/>
      <c r="CG58" s="128"/>
      <c r="CH58" s="53"/>
      <c r="CI58" s="52"/>
      <c r="CJ58" s="54"/>
      <c r="CK58" s="92"/>
      <c r="CL58" s="128"/>
      <c r="CM58" s="55"/>
    </row>
    <row r="59" spans="2:91" outlineLevel="1" x14ac:dyDescent="0.2">
      <c r="B59" s="56"/>
      <c r="C59" s="57" t="s">
        <v>60</v>
      </c>
      <c r="D59" s="2"/>
      <c r="E59" s="95"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167">
        <v>0</v>
      </c>
      <c r="M59" s="167">
        <v>0</v>
      </c>
      <c r="N59" s="167">
        <v>0</v>
      </c>
      <c r="O59" s="167">
        <v>0</v>
      </c>
      <c r="P59" s="168">
        <v>0</v>
      </c>
      <c r="Q59" s="185">
        <v>0</v>
      </c>
      <c r="R59" s="2"/>
      <c r="S59" s="95">
        <f t="shared" ref="S59:AD59" si="222">IF(ISERROR(VLOOKUP(CONCATENATE($B$50,S$5),TBCA,11,FALSE)/1000),0,VLOOKUP(CONCATENATE($B$50,S$5),TBCA,11,FALSE)/1000)</f>
        <v>0</v>
      </c>
      <c r="T59" s="167">
        <f t="shared" si="222"/>
        <v>0</v>
      </c>
      <c r="U59" s="167">
        <f t="shared" si="222"/>
        <v>0</v>
      </c>
      <c r="V59" s="167">
        <f t="shared" si="222"/>
        <v>0</v>
      </c>
      <c r="W59" s="167">
        <f t="shared" si="222"/>
        <v>0</v>
      </c>
      <c r="X59" s="167">
        <f t="shared" si="222"/>
        <v>0</v>
      </c>
      <c r="Y59" s="167">
        <f t="shared" si="222"/>
        <v>0</v>
      </c>
      <c r="Z59" s="167">
        <f t="shared" si="222"/>
        <v>0</v>
      </c>
      <c r="AA59" s="167">
        <f t="shared" si="222"/>
        <v>0</v>
      </c>
      <c r="AB59" s="167">
        <f t="shared" si="222"/>
        <v>0</v>
      </c>
      <c r="AC59" s="167">
        <f t="shared" si="222"/>
        <v>0</v>
      </c>
      <c r="AD59" s="168">
        <f t="shared" si="222"/>
        <v>0</v>
      </c>
      <c r="AE59" s="95">
        <f>SUMIF($S$5:$AD$5,"&lt;="&amp;mois,S59:AD59)</f>
        <v>0</v>
      </c>
      <c r="AF59" s="292"/>
      <c r="AG59" s="102">
        <f t="shared" si="221"/>
        <v>0</v>
      </c>
      <c r="AH59" s="102" t="e">
        <f>IF(EXCERCICE="PA",AE59-($CC59/12*(mois)),IF(EXCERCICE="LB1",AE59-($CF59/12*(mois)),AE59-($CK59/12*(mois))))</f>
        <v>#REF!</v>
      </c>
      <c r="AI59" s="102"/>
      <c r="AJ59" s="212">
        <f>IF(ISERROR(IF(EXCERCICE="PA",AE59/$CC59,IF(EXCERCICE="LB1",AE59/$CF59,AE59/$CK59))),0,IF(EXCERCICE="PA",AE59/$CC59,IF(EXCERCICE="LB1",AE59/$CF59,AE59/$CK59)))</f>
        <v>0</v>
      </c>
      <c r="AK59" s="212"/>
      <c r="AL59" s="58"/>
      <c r="AM59" s="11"/>
      <c r="AN59" s="243"/>
      <c r="AO59" s="95" t="e">
        <f>IF(mois+1&gt;12,AN59,+$AE59+AN59)</f>
        <v>#REF!</v>
      </c>
      <c r="AP59" s="292"/>
      <c r="AQ59" s="102" t="e">
        <f>AO59-AP59</f>
        <v>#REF!</v>
      </c>
      <c r="AR59" s="17" t="e">
        <f>IF(mois+1&gt;12,0,IF(mois=12,IF(EXCERCICE="PA",AO59-($CC59/12),IF(EXCERCICE="LB1",AO59-($CF59/12),AO59-($CK59/12))),IF(EXCERCICE="PA",AO59-($CC59/12*(mois+1)),IF(EXCERCICE="LB1",AO59-($CF59/12*(mois+1)),AO59-($CK59/12*(mois+1))))))</f>
        <v>#REF!</v>
      </c>
      <c r="AS59" s="179"/>
      <c r="AT59" s="212" t="e">
        <f>IF(mois+1&gt;12,0,IF(ISERROR(IF(EXCERCICE="PA",AO59/$CC59,IF(EXCERCICE="LB1",AO59/$CF59,AO59/$CK59))),0,IF(EXCERCICE="PA",AO59/$CC59,IF(EXCERCICE="LB1",AO59/$CF59,AO59/$CK59))))</f>
        <v>#REF!</v>
      </c>
      <c r="AU59" s="221"/>
      <c r="AV59" s="11"/>
      <c r="AW59" s="11"/>
      <c r="AX59" s="243"/>
      <c r="AY59" s="95" t="e">
        <f>IF(mois+2=13,AX59,IF(mois+2&gt;14,AX59,$AO59+AX59))</f>
        <v>#REF!</v>
      </c>
      <c r="AZ59" s="292"/>
      <c r="BA59" s="17" t="e">
        <f>IF(mois+2&gt;12,0,IF(mois=12,IF(EXCERCICE="PA",AY59-($CC59/12),IF(EXCERCICE="LB1",AY59-($CF59/12),AY59-($CK59/12))),IF(EXCERCICE="PA",AY59-($CC59/12*(mois+2)),IF(EXCERCICE="LB1",AY59-($CF59/12*(mois+2)),AY59-($CK59/12*(mois+2))))))</f>
        <v>#REF!</v>
      </c>
      <c r="BB59" s="179"/>
      <c r="BC59" s="212" t="e">
        <f>IF(mois+2&gt;12,0,IF(ISERROR(IF(EXCERCICE="PA",AY59/$CC59,IF(EXCERCICE="LB1",AY59/$CF59,AY59/$CK59))),0,IF(EXCERCICE="PA",AY59/$CC59,IF(EXCERCICE="LB1",AY59/$CF59,AY59/$CK59))))</f>
        <v>#REF!</v>
      </c>
      <c r="BD59" s="221"/>
      <c r="BE59" s="58"/>
      <c r="BF59" s="11"/>
      <c r="BG59" s="243"/>
      <c r="BH59" s="95" t="e">
        <f>IF(mois+3=13,BG59,IF(mois+3&gt;15,BG59,+$AY59+BG59))</f>
        <v>#REF!</v>
      </c>
      <c r="BI59" s="17" t="e">
        <f>IF(mois+3&gt;12,0,IF(mois=12,IF(EXCERCICE="PA",BH59-($CC59/12),IF(EXCERCICE="LB1",BH59-($CF59/12),BH59-($CK59/12))),IF(EXCERCICE="PA",BH59-($CC59/12*(mois+3)),IF(EXCERCICE="LB1",BH59-($CF59/12*(mois+3)),BH59-($CK59/12*(mois+3))))))</f>
        <v>#REF!</v>
      </c>
      <c r="BJ59" s="17"/>
      <c r="BK59" s="212" t="e">
        <f>IF(mois+3&gt;12,0,IF(ISERROR(IF(EXCERCICE="PA",BH59/$CC59,IF(EXCERCICE="LB1",BH59/$CF59,BH59/$CK59))),0,IF(EXCERCICE="PA",BH59/$CC59,IF(EXCERCICE="LB1",BH59/$CF59,BH59/$CK59))))</f>
        <v>#REF!</v>
      </c>
      <c r="BL59" s="221"/>
      <c r="BM59" s="2"/>
      <c r="BN59" s="123" t="e">
        <f>IF(mois&gt;=12,IF(EXCERCICE="PA",CC59-AE59,IF(EXCERCICE="LB1",CF59-AE59,IF(EXCERCICE="LB2",$CK59-AE59))),
IF(mois+1&lt;=13,IF(EXCERCICE="PA",CC59-AO59,IF(EXCERCICE="LB1",CF59-AO59,IF(EXCERCICE="LB2",$CK59-AO59))),
IF(mois+2&lt;=14,IF(EXCERCICE="PA",CC59-AY59,IF(EXCERCICE="LB1",CF59-AY59,IF(EXCERCICE="LB2",$CK59-AY59))),
IF(mois+3&lt;=15,IF(EXCERCICE="PA",CC59-BH59,IF(EXCERCICE="LB1",CF59-BH59,IF(EXCERCICE="LB2",$CK59-BH59))),0))))</f>
        <v>#REF!</v>
      </c>
      <c r="BO59" s="123" t="e">
        <f>IF(BN59&lt;0,0,BN59/(12-mois))</f>
        <v>#REF!</v>
      </c>
      <c r="BP59" s="2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  <c r="CA59" s="173"/>
      <c r="CB59" s="173"/>
      <c r="CC59" s="95"/>
      <c r="CD59" s="203"/>
      <c r="CE59" s="11"/>
      <c r="CF59" s="95"/>
      <c r="CG59" s="125"/>
      <c r="CH59" s="59"/>
      <c r="CI59" s="58"/>
      <c r="CJ59" s="11"/>
      <c r="CK59" s="95"/>
      <c r="CL59" s="125"/>
      <c r="CM59" s="17"/>
    </row>
    <row r="60" spans="2:91" outlineLevel="1" x14ac:dyDescent="0.2">
      <c r="B60" s="56"/>
      <c r="C60" s="142" t="s">
        <v>63</v>
      </c>
      <c r="D60" s="2"/>
      <c r="E60" s="69" t="s">
        <v>89</v>
      </c>
      <c r="F60" s="9" t="s">
        <v>89</v>
      </c>
      <c r="G60" s="9" t="s">
        <v>89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188" t="s">
        <v>89</v>
      </c>
      <c r="R60" s="2"/>
      <c r="S60" s="69" t="str">
        <f>IF(S58=0,"-",S59/S58)</f>
        <v>-</v>
      </c>
      <c r="T60" s="9" t="str">
        <f t="shared" ref="T60:AD60" si="223">IF(T58=0,"-",T59/T58)</f>
        <v>-</v>
      </c>
      <c r="U60" s="9" t="str">
        <f t="shared" si="223"/>
        <v>-</v>
      </c>
      <c r="V60" s="9" t="str">
        <f t="shared" si="223"/>
        <v>-</v>
      </c>
      <c r="W60" s="9" t="str">
        <f t="shared" si="223"/>
        <v>-</v>
      </c>
      <c r="X60" s="9" t="str">
        <f t="shared" si="223"/>
        <v>-</v>
      </c>
      <c r="Y60" s="9" t="str">
        <f t="shared" si="223"/>
        <v>-</v>
      </c>
      <c r="Z60" s="9" t="str">
        <f t="shared" si="223"/>
        <v>-</v>
      </c>
      <c r="AA60" s="9" t="str">
        <f t="shared" si="223"/>
        <v>-</v>
      </c>
      <c r="AB60" s="9" t="str">
        <f t="shared" si="223"/>
        <v>-</v>
      </c>
      <c r="AC60" s="9" t="str">
        <f t="shared" si="223"/>
        <v>-</v>
      </c>
      <c r="AD60" s="9" t="str">
        <f t="shared" si="223"/>
        <v>-</v>
      </c>
      <c r="AE60" s="69" t="str">
        <f>IF(AE58=0,"-",AE59/AE58)</f>
        <v>-</v>
      </c>
      <c r="AF60" s="295"/>
      <c r="AG60" s="105" t="str">
        <f t="shared" ref="AG60:AH60" si="224">IF(AG58=0,"-",AG59/AG58)</f>
        <v>-</v>
      </c>
      <c r="AH60" s="105" t="e">
        <f t="shared" si="224"/>
        <v>#REF!</v>
      </c>
      <c r="AI60" s="105"/>
      <c r="AJ60" s="212"/>
      <c r="AK60" s="212"/>
      <c r="AL60" s="58"/>
      <c r="AM60" s="11"/>
      <c r="AN60" s="244"/>
      <c r="AO60" s="69" t="e">
        <f t="shared" ref="AO60" si="225">IF(AO58=0,"-",AO59/AO58)</f>
        <v>#REF!</v>
      </c>
      <c r="AP60" s="295"/>
      <c r="AQ60" s="105" t="e">
        <f t="shared" ref="AQ60:AR60" si="226">IF(AQ58=0,"-",AQ59/AQ58)</f>
        <v>#REF!</v>
      </c>
      <c r="AR60" s="9" t="e">
        <f t="shared" si="226"/>
        <v>#REF!</v>
      </c>
      <c r="AS60" s="105"/>
      <c r="AT60" s="212"/>
      <c r="AU60" s="221"/>
      <c r="AV60" s="11"/>
      <c r="AW60" s="11"/>
      <c r="AX60" s="244"/>
      <c r="AY60" s="69" t="e">
        <f t="shared" ref="AY60" si="227">IF(AY58=0,"-",AY59/AY58)</f>
        <v>#REF!</v>
      </c>
      <c r="AZ60" s="295"/>
      <c r="BA60" s="9" t="e">
        <f t="shared" ref="BA60" si="228">IF(BA58=0,"-",BA59/BA58)</f>
        <v>#REF!</v>
      </c>
      <c r="BB60" s="105"/>
      <c r="BC60" s="212"/>
      <c r="BD60" s="221"/>
      <c r="BE60" s="58"/>
      <c r="BF60" s="11"/>
      <c r="BG60" s="244"/>
      <c r="BH60" s="69" t="e">
        <f t="shared" ref="BH60:BI60" si="229">IF(BH58=0,"-",BH59/BH58)</f>
        <v>#REF!</v>
      </c>
      <c r="BI60" s="9" t="e">
        <f t="shared" si="229"/>
        <v>#REF!</v>
      </c>
      <c r="BJ60" s="9"/>
      <c r="BK60" s="212"/>
      <c r="BL60" s="221"/>
      <c r="BM60" s="2"/>
      <c r="BN60" s="232"/>
      <c r="BO60" s="232"/>
      <c r="BP60" s="2"/>
      <c r="BQ60" s="173"/>
      <c r="BR60" s="173"/>
      <c r="BS60" s="173"/>
      <c r="BT60" s="173"/>
      <c r="BU60" s="173"/>
      <c r="BV60" s="173"/>
      <c r="BW60" s="173"/>
      <c r="BX60" s="173"/>
      <c r="BY60" s="173"/>
      <c r="BZ60" s="173"/>
      <c r="CA60" s="173"/>
      <c r="CB60" s="173"/>
      <c r="CC60" s="69"/>
      <c r="CD60" s="203"/>
      <c r="CE60" s="11"/>
      <c r="CF60" s="69"/>
      <c r="CG60" s="135"/>
      <c r="CH60" s="149"/>
      <c r="CI60" s="58"/>
      <c r="CJ60" s="11"/>
      <c r="CK60" s="69"/>
      <c r="CL60" s="135"/>
      <c r="CM60" s="10"/>
    </row>
    <row r="61" spans="2:91" outlineLevel="1" x14ac:dyDescent="0.2">
      <c r="B61" s="56"/>
      <c r="C61" s="70"/>
      <c r="D61" s="2"/>
      <c r="E61" s="58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89"/>
      <c r="R61" s="2"/>
      <c r="S61" s="58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58"/>
      <c r="AF61" s="296"/>
      <c r="AG61" s="106"/>
      <c r="AH61" s="106"/>
      <c r="AI61" s="106"/>
      <c r="AJ61" s="198"/>
      <c r="AK61" s="198"/>
      <c r="AL61" s="58"/>
      <c r="AM61" s="11"/>
      <c r="AN61" s="245"/>
      <c r="AO61" s="58"/>
      <c r="AP61" s="296"/>
      <c r="AQ61" s="106"/>
      <c r="AR61" s="71"/>
      <c r="AS61" s="106"/>
      <c r="AT61" s="198"/>
      <c r="AU61" s="225"/>
      <c r="AV61" s="11"/>
      <c r="AW61" s="11"/>
      <c r="AX61" s="245"/>
      <c r="AY61" s="58"/>
      <c r="AZ61" s="296"/>
      <c r="BA61" s="71"/>
      <c r="BB61" s="106"/>
      <c r="BC61" s="198"/>
      <c r="BD61" s="225"/>
      <c r="BE61" s="58"/>
      <c r="BF61" s="11"/>
      <c r="BG61" s="245"/>
      <c r="BH61" s="58"/>
      <c r="BI61" s="11"/>
      <c r="BJ61" s="11"/>
      <c r="BK61" s="198"/>
      <c r="BL61" s="225"/>
      <c r="BM61" s="2"/>
      <c r="BN61" s="233"/>
      <c r="BO61" s="233"/>
      <c r="BP61" s="2"/>
      <c r="BQ61" s="173"/>
      <c r="BR61" s="173"/>
      <c r="BS61" s="173"/>
      <c r="BT61" s="173"/>
      <c r="BU61" s="173"/>
      <c r="BV61" s="173"/>
      <c r="BW61" s="173"/>
      <c r="BX61" s="173"/>
      <c r="BY61" s="173"/>
      <c r="BZ61" s="173"/>
      <c r="CA61" s="173"/>
      <c r="CB61" s="173"/>
      <c r="CC61" s="133"/>
      <c r="CD61" s="208"/>
      <c r="CE61" s="11"/>
      <c r="CF61" s="133"/>
      <c r="CG61" s="125"/>
      <c r="CH61" s="70"/>
      <c r="CI61" s="58"/>
      <c r="CJ61" s="11"/>
      <c r="CK61" s="133"/>
      <c r="CL61" s="125"/>
      <c r="CM61" s="71"/>
    </row>
    <row r="62" spans="2:91" outlineLevel="1" x14ac:dyDescent="0.2">
      <c r="B62" s="72"/>
      <c r="C62" s="73" t="s">
        <v>9</v>
      </c>
      <c r="D62" s="74"/>
      <c r="E62" s="97">
        <v>0</v>
      </c>
      <c r="F62" s="171">
        <v>0</v>
      </c>
      <c r="G62" s="171">
        <v>0</v>
      </c>
      <c r="H62" s="171">
        <v>0</v>
      </c>
      <c r="I62" s="171">
        <v>0</v>
      </c>
      <c r="J62" s="171">
        <v>0</v>
      </c>
      <c r="K62" s="171">
        <v>0</v>
      </c>
      <c r="L62" s="171">
        <v>0</v>
      </c>
      <c r="M62" s="171">
        <v>0</v>
      </c>
      <c r="N62" s="171">
        <v>0</v>
      </c>
      <c r="O62" s="171">
        <v>0</v>
      </c>
      <c r="P62" s="172">
        <v>0</v>
      </c>
      <c r="Q62" s="190">
        <v>0</v>
      </c>
      <c r="R62" s="74"/>
      <c r="S62" s="97">
        <f t="shared" ref="S62:AD62" si="230">IF(ISERROR(VLOOKUP(CONCATENATE($B$50,S$5),TBCA,12,FALSE)/1000),0,VLOOKUP(CONCATENATE($B$50,S$5),TBCA,12,FALSE)/1000)</f>
        <v>0</v>
      </c>
      <c r="T62" s="171">
        <f t="shared" si="230"/>
        <v>0</v>
      </c>
      <c r="U62" s="171">
        <f t="shared" si="230"/>
        <v>0</v>
      </c>
      <c r="V62" s="171">
        <f t="shared" si="230"/>
        <v>0</v>
      </c>
      <c r="W62" s="171">
        <f t="shared" si="230"/>
        <v>0</v>
      </c>
      <c r="X62" s="171">
        <f t="shared" si="230"/>
        <v>0</v>
      </c>
      <c r="Y62" s="171">
        <f t="shared" si="230"/>
        <v>0</v>
      </c>
      <c r="Z62" s="171">
        <f t="shared" si="230"/>
        <v>0</v>
      </c>
      <c r="AA62" s="171">
        <f t="shared" si="230"/>
        <v>0</v>
      </c>
      <c r="AB62" s="171">
        <f t="shared" si="230"/>
        <v>0</v>
      </c>
      <c r="AC62" s="171">
        <f t="shared" si="230"/>
        <v>0</v>
      </c>
      <c r="AD62" s="172">
        <f t="shared" si="230"/>
        <v>0</v>
      </c>
      <c r="AE62" s="97">
        <f>SUMIF($S$5:$AD$5,"&lt;="&amp;mois,S62:AD62)</f>
        <v>0</v>
      </c>
      <c r="AF62" s="292"/>
      <c r="AG62" s="107">
        <f>AE62-AF62</f>
        <v>0</v>
      </c>
      <c r="AH62" s="107" t="e">
        <f>IF(EXCERCICE="PA",AE62-($CC62/12*(mois)),IF(EXCERCICE="LB1",AE62-($CF62/12*(mois)),AE62-($CK62/12*(mois))))</f>
        <v>#REF!</v>
      </c>
      <c r="AI62" s="107"/>
      <c r="AJ62" s="215">
        <f>IF(ISERROR(IF(EXCERCICE="PA",AE62/$CC62,IF(EXCERCICE="LB1",AE62/$CF62,AE62/$CK62))),0,IF(EXCERCICE="PA",AE62/$CC62,IF(EXCERCICE="LB1",AE62/$CF62,AE62/$CK62)))</f>
        <v>0</v>
      </c>
      <c r="AK62" s="215"/>
      <c r="AL62" s="75"/>
      <c r="AM62" s="77"/>
      <c r="AN62" s="246"/>
      <c r="AO62" s="97" t="e">
        <f>IF(mois+1&gt;12,AN62,+$AE62+AN62)</f>
        <v>#REF!</v>
      </c>
      <c r="AP62" s="292"/>
      <c r="AQ62" s="107" t="e">
        <f>AO62-AP62</f>
        <v>#REF!</v>
      </c>
      <c r="AR62" s="78" t="e">
        <f>IF(mois+1&gt;12,0,IF(mois=12,IF(EXCERCICE="PA",AO62-($CC62/12),IF(EXCERCICE="LB1",AO62-($CF62/12),AO62-($CK62/12))),IF(EXCERCICE="PA",AO62-($CC62/12*(mois+1)),IF(EXCERCICE="LB1",AO62-($CF62/12*(mois+1)),AO62-($CK62/12*(mois+1))))))</f>
        <v>#REF!</v>
      </c>
      <c r="AS62" s="180"/>
      <c r="AT62" s="215" t="e">
        <f>IF(mois+1&gt;12,0,IF(ISERROR(IF(EXCERCICE="PA",AO62/$CC62,IF(EXCERCICE="LB1",AO62/$CF62,AO62/$CK62))),0,IF(EXCERCICE="PA",AO62/$CC62,IF(EXCERCICE="LB1",AO62/$CF62,AO62/$CK62))))</f>
        <v>#REF!</v>
      </c>
      <c r="AU62" s="226"/>
      <c r="AV62" s="11"/>
      <c r="AW62" s="77"/>
      <c r="AX62" s="246"/>
      <c r="AY62" s="97" t="e">
        <f>IF(mois+2=13,AX62,IF(mois+2&gt;14,AX62,$AO62+AX62))</f>
        <v>#REF!</v>
      </c>
      <c r="AZ62" s="292"/>
      <c r="BA62" s="78" t="e">
        <f>IF(mois+2&gt;12,0,IF(mois=12,IF(EXCERCICE="PA",AY62-($CC62/12),IF(EXCERCICE="LB1",AY62-($CF62/12),AY62-($CK62/12))),IF(EXCERCICE="PA",AY62-($CC62/12*(mois+2)),IF(EXCERCICE="LB1",AY62-($CF62/12*(mois+2)),AY62-($CK62/12*(mois+2))))))</f>
        <v>#REF!</v>
      </c>
      <c r="BB62" s="180"/>
      <c r="BC62" s="215" t="e">
        <f>IF(mois+2&gt;12,0,IF(ISERROR(IF(EXCERCICE="PA",AY62/$CC62,IF(EXCERCICE="LB1",AY62/$CF62,AY62/$CK62))),0,IF(EXCERCICE="PA",AY62/$CC62,IF(EXCERCICE="LB1",AY62/$CF62,AY62/$CK62))))</f>
        <v>#REF!</v>
      </c>
      <c r="BD62" s="226"/>
      <c r="BE62" s="75"/>
      <c r="BF62" s="77"/>
      <c r="BG62" s="246"/>
      <c r="BH62" s="97" t="e">
        <f>IF(mois+3=13,BG62,IF(mois+3&gt;15,BG62,+$AY62+BG62))</f>
        <v>#REF!</v>
      </c>
      <c r="BI62" s="78" t="e">
        <f>IF(mois+3&gt;12,0,IF(mois=12,IF(EXCERCICE="PA",BH62-($CC62/12),IF(EXCERCICE="LB1",BH62-($CF62/12),BH62-($CK62/12))),IF(EXCERCICE="PA",BH62-($CC62/12*(mois+3)),IF(EXCERCICE="LB1",BH62-($CF62/12*(mois+3)),BH62-($CK62/12*(mois+3))))))</f>
        <v>#REF!</v>
      </c>
      <c r="BJ62" s="78"/>
      <c r="BK62" s="215" t="e">
        <f>IF(mois+3&gt;12,0,IF(ISERROR(IF(EXCERCICE="PA",BH62/$CC62,IF(EXCERCICE="LB1",BH62/$CF62,BH62/$CK62))),0,IF(EXCERCICE="PA",BH62/$CC62,IF(EXCERCICE="LB1",BH62/$CF62,BH62/$CK62))))</f>
        <v>#REF!</v>
      </c>
      <c r="BL62" s="226"/>
      <c r="BM62" s="2"/>
      <c r="BN62" s="123" t="e">
        <f>IF(mois&gt;=12,IF(EXCERCICE="PA",CC62-AE62,IF(EXCERCICE="LB1",CF62-AE62,IF(EXCERCICE="LB2",$CK62-AE62))),
IF(mois+1&lt;=13,IF(EXCERCICE="PA",CC62-AO62,IF(EXCERCICE="LB1",CF62-AO62,IF(EXCERCICE="LB2",$CK62-AO62))),
IF(mois+2&lt;=14,IF(EXCERCICE="PA",CC62-AY62,IF(EXCERCICE="LB1",CF62-AY62,IF(EXCERCICE="LB2",$CK62-AY62))),
IF(mois+3&lt;=15,IF(EXCERCICE="PA",CC62-BH62,IF(EXCERCICE="LB1",CF62-BH62,IF(EXCERCICE="LB2",$CK62-BH62))),0))))</f>
        <v>#REF!</v>
      </c>
      <c r="BO62" s="234" t="e">
        <f>IF(BN62&lt;0,0,BN62/(12-mois))</f>
        <v>#REF!</v>
      </c>
      <c r="BP62" s="2"/>
      <c r="BQ62" s="173"/>
      <c r="BR62" s="173"/>
      <c r="BS62" s="173"/>
      <c r="BT62" s="173"/>
      <c r="BU62" s="173"/>
      <c r="BV62" s="173"/>
      <c r="BW62" s="173"/>
      <c r="BX62" s="173"/>
      <c r="BY62" s="173"/>
      <c r="BZ62" s="173"/>
      <c r="CA62" s="173"/>
      <c r="CB62" s="173"/>
      <c r="CC62" s="97"/>
      <c r="CD62" s="209"/>
      <c r="CE62" s="77"/>
      <c r="CF62" s="97"/>
      <c r="CG62" s="136"/>
      <c r="CH62" s="76"/>
      <c r="CI62" s="75"/>
      <c r="CJ62" s="77"/>
      <c r="CK62" s="97"/>
      <c r="CL62" s="136"/>
      <c r="CM62" s="78"/>
    </row>
    <row r="63" spans="2:91" outlineLevel="1" x14ac:dyDescent="0.2">
      <c r="B63" s="72"/>
      <c r="C63" s="73" t="s">
        <v>10</v>
      </c>
      <c r="D63" s="74"/>
      <c r="E63" s="97">
        <v>0</v>
      </c>
      <c r="F63" s="171">
        <v>0</v>
      </c>
      <c r="G63" s="171">
        <v>0</v>
      </c>
      <c r="H63" s="171">
        <v>0</v>
      </c>
      <c r="I63" s="171">
        <v>0</v>
      </c>
      <c r="J63" s="171">
        <v>0</v>
      </c>
      <c r="K63" s="171">
        <v>0</v>
      </c>
      <c r="L63" s="171">
        <v>0</v>
      </c>
      <c r="M63" s="171">
        <v>0</v>
      </c>
      <c r="N63" s="171">
        <v>0</v>
      </c>
      <c r="O63" s="171">
        <v>0</v>
      </c>
      <c r="P63" s="172">
        <v>0</v>
      </c>
      <c r="Q63" s="190">
        <v>0</v>
      </c>
      <c r="R63" s="74"/>
      <c r="S63" s="97">
        <f t="shared" ref="S63:AD63" si="231">IF(ISERROR(VLOOKUP(CONCATENATE($B$50,S$5),TBCA,13,FALSE)/1000),0,VLOOKUP(CONCATENATE($B$50,S$5),TBCA,13,FALSE)/1000)</f>
        <v>0</v>
      </c>
      <c r="T63" s="171">
        <f t="shared" si="231"/>
        <v>0</v>
      </c>
      <c r="U63" s="171">
        <f t="shared" si="231"/>
        <v>0</v>
      </c>
      <c r="V63" s="171">
        <f t="shared" si="231"/>
        <v>0</v>
      </c>
      <c r="W63" s="171">
        <f t="shared" si="231"/>
        <v>0</v>
      </c>
      <c r="X63" s="171">
        <f t="shared" si="231"/>
        <v>0</v>
      </c>
      <c r="Y63" s="171">
        <f t="shared" si="231"/>
        <v>0</v>
      </c>
      <c r="Z63" s="171">
        <f t="shared" si="231"/>
        <v>0</v>
      </c>
      <c r="AA63" s="171">
        <f t="shared" si="231"/>
        <v>0</v>
      </c>
      <c r="AB63" s="171">
        <f t="shared" si="231"/>
        <v>0</v>
      </c>
      <c r="AC63" s="171">
        <f t="shared" si="231"/>
        <v>0</v>
      </c>
      <c r="AD63" s="172">
        <f t="shared" si="231"/>
        <v>0</v>
      </c>
      <c r="AE63" s="97">
        <f>SUMIF($S$5:$AD$5,"&lt;="&amp;mois,S63:AD63)</f>
        <v>0</v>
      </c>
      <c r="AF63" s="292"/>
      <c r="AG63" s="107">
        <f>AE63-AF63</f>
        <v>0</v>
      </c>
      <c r="AH63" s="107" t="e">
        <f>IF(EXCERCICE="PA",AE63-($CC63/12*(mois)),IF(EXCERCICE="LB1",AE63-($CF63/12*(mois)),AE63-($CK63/12*(mois))))</f>
        <v>#REF!</v>
      </c>
      <c r="AI63" s="107"/>
      <c r="AJ63" s="215">
        <f>IF(ISERROR(IF(EXCERCICE="PA",AE63/$CC63,IF(EXCERCICE="LB1",AE63/$CF63,AE63/$CK63))),0,IF(EXCERCICE="PA",AE63/$CC63,IF(EXCERCICE="LB1",AE63/$CF63,AE63/$CK63)))</f>
        <v>0</v>
      </c>
      <c r="AK63" s="215"/>
      <c r="AL63" s="75"/>
      <c r="AM63" s="77"/>
      <c r="AN63" s="246"/>
      <c r="AO63" s="97" t="e">
        <f>IF(mois+1&gt;12,AN63,+$AE63+AN63)</f>
        <v>#REF!</v>
      </c>
      <c r="AP63" s="292"/>
      <c r="AQ63" s="107" t="e">
        <f>AO63-AP63</f>
        <v>#REF!</v>
      </c>
      <c r="AR63" s="78" t="e">
        <f>IF(mois+1&gt;12,0,IF(mois=12,IF(EXCERCICE="PA",AO63-($CC63/12),IF(EXCERCICE="LB1",AO63-($CF63/12),AO63-($CK63/12))),IF(EXCERCICE="PA",AO63-($CC63/12*(mois+1)),IF(EXCERCICE="LB1",AO63-($CF63/12*(mois+1)),AO63-($CK63/12*(mois+1))))))</f>
        <v>#REF!</v>
      </c>
      <c r="AS63" s="180"/>
      <c r="AT63" s="215" t="e">
        <f>IF(mois+1&gt;12,0,IF(ISERROR(IF(EXCERCICE="PA",AO63/$CC63,IF(EXCERCICE="LB1",AO63/$CF63,AO63/$CK63))),0,IF(EXCERCICE="PA",AO63/$CC63,IF(EXCERCICE="LB1",AO63/$CF63,AO63/$CK63))))</f>
        <v>#REF!</v>
      </c>
      <c r="AU63" s="226"/>
      <c r="AV63" s="11"/>
      <c r="AW63" s="77"/>
      <c r="AX63" s="246"/>
      <c r="AY63" s="97" t="e">
        <f>IF(mois+2=13,AX63,IF(mois+2&gt;14,AX63,$AO63+AX63))</f>
        <v>#REF!</v>
      </c>
      <c r="AZ63" s="292"/>
      <c r="BA63" s="78" t="e">
        <f>IF(mois+2&gt;12,0,IF(mois=12,IF(EXCERCICE="PA",AY63-($CC63/12),IF(EXCERCICE="LB1",AY63-($CF63/12),AY63-($CK63/12))),IF(EXCERCICE="PA",AY63-($CC63/12*(mois+2)),IF(EXCERCICE="LB1",AY63-($CF63/12*(mois+2)),AY63-($CK63/12*(mois+2))))))</f>
        <v>#REF!</v>
      </c>
      <c r="BB63" s="180"/>
      <c r="BC63" s="215" t="e">
        <f>IF(mois+2&gt;12,0,IF(ISERROR(IF(EXCERCICE="PA",AY63/$CC63,IF(EXCERCICE="LB1",AY63/$CF63,AY63/$CK63))),0,IF(EXCERCICE="PA",AY63/$CC63,IF(EXCERCICE="LB1",AY63/$CF63,AY63/$CK63))))</f>
        <v>#REF!</v>
      </c>
      <c r="BD63" s="226"/>
      <c r="BE63" s="75"/>
      <c r="BF63" s="77"/>
      <c r="BG63" s="246"/>
      <c r="BH63" s="97" t="e">
        <f>IF(mois+3=13,BG63,IF(mois+3&gt;15,BG63,+$AY63+BG63))</f>
        <v>#REF!</v>
      </c>
      <c r="BI63" s="78" t="e">
        <f>IF(mois+3&gt;12,0,IF(mois=12,IF(EXCERCICE="PA",BH63-($CC63/12),IF(EXCERCICE="LB1",BH63-($CF63/12),BH63-($CK63/12))),IF(EXCERCICE="PA",BH63-($CC63/12*(mois+3)),IF(EXCERCICE="LB1",BH63-($CF63/12*(mois+3)),BH63-($CK63/12*(mois+3))))))</f>
        <v>#REF!</v>
      </c>
      <c r="BJ63" s="78"/>
      <c r="BK63" s="215" t="e">
        <f>IF(mois+3&gt;12,0,IF(ISERROR(IF(EXCERCICE="PA",BH63/$CC63,IF(EXCERCICE="LB1",BH63/$CF63,BH63/$CK63))),0,IF(EXCERCICE="PA",BH63/$CC63,IF(EXCERCICE="LB1",BH63/$CF63,BH63/$CK63))))</f>
        <v>#REF!</v>
      </c>
      <c r="BL63" s="226"/>
      <c r="BM63" s="2"/>
      <c r="BN63" s="123" t="e">
        <f>IF(mois&gt;=12,IF(EXCERCICE="PA",CC63-AE63,IF(EXCERCICE="LB1",CF63-AE63,IF(EXCERCICE="LB2",$CK63-AE63))),
IF(mois+1&lt;=13,IF(EXCERCICE="PA",CC63-AO63,IF(EXCERCICE="LB1",CF63-AO63,IF(EXCERCICE="LB2",$CK63-AO63))),
IF(mois+2&lt;=14,IF(EXCERCICE="PA",CC63-AY63,IF(EXCERCICE="LB1",CF63-AY63,IF(EXCERCICE="LB2",$CK63-AY63))),
IF(mois+3&lt;=15,IF(EXCERCICE="PA",CC63-BH63,IF(EXCERCICE="LB1",CF63-BH63,IF(EXCERCICE="LB2",$CK63-BH63))),0))))</f>
        <v>#REF!</v>
      </c>
      <c r="BO63" s="234" t="e">
        <f>IF(BN63&lt;0,0,BN63/(12-mois))</f>
        <v>#REF!</v>
      </c>
      <c r="BP63" s="2"/>
      <c r="BQ63" s="173"/>
      <c r="BR63" s="173"/>
      <c r="BS63" s="173"/>
      <c r="BT63" s="173"/>
      <c r="BU63" s="173"/>
      <c r="BV63" s="173"/>
      <c r="BW63" s="173"/>
      <c r="BX63" s="173"/>
      <c r="BY63" s="173"/>
      <c r="BZ63" s="173"/>
      <c r="CA63" s="173"/>
      <c r="CB63" s="173"/>
      <c r="CC63" s="97"/>
      <c r="CD63" s="209"/>
      <c r="CE63" s="77"/>
      <c r="CF63" s="97"/>
      <c r="CG63" s="136"/>
      <c r="CH63" s="76"/>
      <c r="CI63" s="75"/>
      <c r="CJ63" s="77"/>
      <c r="CK63" s="97"/>
      <c r="CL63" s="136"/>
      <c r="CM63" s="78"/>
    </row>
    <row r="64" spans="2:91" outlineLevel="1" x14ac:dyDescent="0.2">
      <c r="B64" s="56"/>
      <c r="C64" s="79" t="s">
        <v>64</v>
      </c>
      <c r="D64" s="51"/>
      <c r="E64" s="98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91">
        <v>0</v>
      </c>
      <c r="R64" s="51"/>
      <c r="S64" s="98">
        <f t="shared" ref="S64:AD64" si="232">S59+SUM(S62:S63)</f>
        <v>0</v>
      </c>
      <c r="T64" s="14">
        <f t="shared" si="232"/>
        <v>0</v>
      </c>
      <c r="U64" s="14">
        <f t="shared" si="232"/>
        <v>0</v>
      </c>
      <c r="V64" s="14">
        <f t="shared" si="232"/>
        <v>0</v>
      </c>
      <c r="W64" s="14">
        <f t="shared" si="232"/>
        <v>0</v>
      </c>
      <c r="X64" s="14">
        <f t="shared" si="232"/>
        <v>0</v>
      </c>
      <c r="Y64" s="14">
        <f t="shared" si="232"/>
        <v>0</v>
      </c>
      <c r="Z64" s="14">
        <f t="shared" si="232"/>
        <v>0</v>
      </c>
      <c r="AA64" s="14">
        <f t="shared" si="232"/>
        <v>0</v>
      </c>
      <c r="AB64" s="14">
        <f t="shared" si="232"/>
        <v>0</v>
      </c>
      <c r="AC64" s="14">
        <f t="shared" si="232"/>
        <v>0</v>
      </c>
      <c r="AD64" s="14">
        <f t="shared" si="232"/>
        <v>0</v>
      </c>
      <c r="AE64" s="98">
        <f>AE59+SUM(AE62:AE63)</f>
        <v>0</v>
      </c>
      <c r="AF64" s="297"/>
      <c r="AG64" s="108">
        <f>AE64-AF64</f>
        <v>0</v>
      </c>
      <c r="AH64" s="108" t="e">
        <f>IF(EXCERCICE="PA",AE64-($CC64/12*(mois)),IF(EXCERCICE="LB1",AE64-($CF64/12*(mois)),AE64-($CK64/12*(mois))))</f>
        <v>#REF!</v>
      </c>
      <c r="AI64" s="108"/>
      <c r="AJ64" s="201">
        <f>IF(ISERROR(IF(EXCERCICE="PA",AE64/$CC64,IF(EXCERCICE="LB1",AE64/$CF64,AE64/$CK64))),0,IF(EXCERCICE="PA",AE64/$CC64,IF(EXCERCICE="LB1",AE64/$CF64,AE64/$CK64)))</f>
        <v>0</v>
      </c>
      <c r="AK64" s="201"/>
      <c r="AL64" s="52"/>
      <c r="AM64" s="54"/>
      <c r="AN64" s="247"/>
      <c r="AO64" s="98" t="e">
        <f>AO59+SUM(AO62:AO63)</f>
        <v>#REF!</v>
      </c>
      <c r="AP64" s="297"/>
      <c r="AQ64" s="108" t="e">
        <f>AO64-AP64</f>
        <v>#REF!</v>
      </c>
      <c r="AR64" s="14" t="e">
        <f>AR59+SUM(AR62:AR63)</f>
        <v>#REF!</v>
      </c>
      <c r="AS64" s="108"/>
      <c r="AT64" s="201" t="e">
        <f>IF(mois+1&gt;12,0,IF(ISERROR(IF(EXCERCICE="PA",AO64/$CC64,IF(EXCERCICE="LB1",AO64/$CF64,AO64/$CK64))),0,IF(EXCERCICE="PA",AO64/$CC64,IF(EXCERCICE="LB1",AO64/$CF64,AO64/$CK64))))</f>
        <v>#REF!</v>
      </c>
      <c r="AU64" s="227"/>
      <c r="AV64" s="11"/>
      <c r="AW64" s="54"/>
      <c r="AX64" s="247"/>
      <c r="AY64" s="98" t="e">
        <f>AY59+SUM(AY62:AY63)</f>
        <v>#REF!</v>
      </c>
      <c r="AZ64" s="297"/>
      <c r="BA64" s="14" t="e">
        <f>BA59+SUM(BA62:BA63)</f>
        <v>#REF!</v>
      </c>
      <c r="BB64" s="108"/>
      <c r="BC64" s="201" t="e">
        <f>IF(mois+2&gt;12,0,IF(ISERROR(IF(EXCERCICE="PA",AY64/$CC64,IF(EXCERCICE="LB1",AY64/$CF64,AY64/$CK64))),0,IF(EXCERCICE="PA",AY64/$CC64,IF(EXCERCICE="LB1",AY64/$CF64,AY64/$CK64))))</f>
        <v>#REF!</v>
      </c>
      <c r="BD64" s="227"/>
      <c r="BE64" s="52"/>
      <c r="BF64" s="54"/>
      <c r="BG64" s="247"/>
      <c r="BH64" s="98" t="e">
        <f>BH59+SUM(BH62:BH63)</f>
        <v>#REF!</v>
      </c>
      <c r="BI64" s="14" t="e">
        <f>BI59+SUM(BI62:BI63)</f>
        <v>#REF!</v>
      </c>
      <c r="BJ64" s="14"/>
      <c r="BK64" s="201" t="e">
        <f>IF(mois+3&gt;12,0,IF(ISERROR(IF(EXCERCICE="PA",BH64/$CC64,IF(EXCERCICE="LB1",BH64/$CF64,BH64/$CK64))),0,IF(EXCERCICE="PA",BH64/$CC64,IF(EXCERCICE="LB1",BH64/$CF64,BH64/$CK64))))</f>
        <v>#REF!</v>
      </c>
      <c r="BL64" s="227"/>
      <c r="BM64" s="2"/>
      <c r="BN64" s="235" t="e">
        <f>IF(mois&gt;=12,IF(EXCERCICE="PA",CC64-AE64,IF(EXCERCICE="LB1",CF64-AE64,IF(EXCERCICE="LB2",$CK64-AE64))),
IF(mois+1&lt;=13,IF(EXCERCICE="PA",CC64-AO64,IF(EXCERCICE="LB1",CF64-AO64,IF(EXCERCICE="LB2",$CK64-AO64))),
IF(mois+2&lt;=14,IF(EXCERCICE="PA",CC64-AY64,IF(EXCERCICE="LB1",CF64-AY64,IF(EXCERCICE="LB2",$CK64-AY64))),
IF(mois+3&lt;=15,IF(EXCERCICE="PA",CC64-BH64,IF(EXCERCICE="LB1",CF64-BH64,IF(EXCERCICE="LB2",$CK64-BH64))),0))))</f>
        <v>#REF!</v>
      </c>
      <c r="BO64" s="235" t="e">
        <f>IF(BN64&lt;0,0,BN64/(12-mois))</f>
        <v>#REF!</v>
      </c>
      <c r="BP64" s="2"/>
      <c r="BQ64" s="173"/>
      <c r="BR64" s="173"/>
      <c r="BS64" s="173"/>
      <c r="BT64" s="173"/>
      <c r="BU64" s="173"/>
      <c r="BV64" s="173"/>
      <c r="BW64" s="173"/>
      <c r="BX64" s="173"/>
      <c r="BY64" s="173"/>
      <c r="BZ64" s="173"/>
      <c r="CA64" s="173"/>
      <c r="CB64" s="173"/>
      <c r="CC64" s="98"/>
      <c r="CD64" s="210"/>
      <c r="CE64" s="54"/>
      <c r="CF64" s="98"/>
      <c r="CG64" s="127"/>
      <c r="CH64" s="80"/>
      <c r="CI64" s="52"/>
      <c r="CJ64" s="54"/>
      <c r="CK64" s="98"/>
      <c r="CL64" s="127"/>
      <c r="CM64" s="14"/>
    </row>
    <row r="65" spans="2:91" outlineLevel="1" x14ac:dyDescent="0.2">
      <c r="B65" s="56"/>
      <c r="C65" s="142" t="s">
        <v>65</v>
      </c>
      <c r="D65" s="2"/>
      <c r="E65" s="69" t="s">
        <v>89</v>
      </c>
      <c r="F65" s="9" t="s">
        <v>89</v>
      </c>
      <c r="G65" s="9" t="s">
        <v>89</v>
      </c>
      <c r="H65" s="9" t="s">
        <v>89</v>
      </c>
      <c r="I65" s="9" t="s">
        <v>89</v>
      </c>
      <c r="J65" s="9" t="s">
        <v>89</v>
      </c>
      <c r="K65" s="9" t="s">
        <v>89</v>
      </c>
      <c r="L65" s="9" t="s">
        <v>89</v>
      </c>
      <c r="M65" s="9" t="s">
        <v>89</v>
      </c>
      <c r="N65" s="9" t="s">
        <v>89</v>
      </c>
      <c r="O65" s="9" t="s">
        <v>89</v>
      </c>
      <c r="P65" s="9" t="s">
        <v>89</v>
      </c>
      <c r="Q65" s="188" t="s">
        <v>89</v>
      </c>
      <c r="R65" s="2"/>
      <c r="S65" s="69" t="str">
        <f t="shared" ref="S65:AE65" si="233">IF(S58=0,"-",S64/S58)</f>
        <v>-</v>
      </c>
      <c r="T65" s="9" t="str">
        <f t="shared" si="233"/>
        <v>-</v>
      </c>
      <c r="U65" s="9" t="str">
        <f t="shared" si="233"/>
        <v>-</v>
      </c>
      <c r="V65" s="9" t="str">
        <f t="shared" si="233"/>
        <v>-</v>
      </c>
      <c r="W65" s="9" t="str">
        <f t="shared" si="233"/>
        <v>-</v>
      </c>
      <c r="X65" s="9" t="str">
        <f t="shared" si="233"/>
        <v>-</v>
      </c>
      <c r="Y65" s="9" t="str">
        <f t="shared" si="233"/>
        <v>-</v>
      </c>
      <c r="Z65" s="9" t="str">
        <f t="shared" si="233"/>
        <v>-</v>
      </c>
      <c r="AA65" s="9" t="str">
        <f t="shared" si="233"/>
        <v>-</v>
      </c>
      <c r="AB65" s="9" t="str">
        <f t="shared" si="233"/>
        <v>-</v>
      </c>
      <c r="AC65" s="9" t="str">
        <f t="shared" si="233"/>
        <v>-</v>
      </c>
      <c r="AD65" s="9" t="str">
        <f t="shared" si="233"/>
        <v>-</v>
      </c>
      <c r="AE65" s="69" t="str">
        <f t="shared" si="233"/>
        <v>-</v>
      </c>
      <c r="AF65" s="295"/>
      <c r="AG65" s="105" t="str">
        <f t="shared" ref="AG65:AH65" si="234">IF(AG58=0,"-",AG64/AG58)</f>
        <v>-</v>
      </c>
      <c r="AH65" s="105" t="e">
        <f t="shared" si="234"/>
        <v>#REF!</v>
      </c>
      <c r="AI65" s="105"/>
      <c r="AJ65" s="212"/>
      <c r="AK65" s="212"/>
      <c r="AL65" s="58"/>
      <c r="AM65" s="11"/>
      <c r="AN65" s="244"/>
      <c r="AO65" s="69" t="e">
        <f t="shared" ref="AO65" si="235">IF(AO58=0,"-",AO64/AO58)</f>
        <v>#REF!</v>
      </c>
      <c r="AP65" s="295"/>
      <c r="AQ65" s="105" t="e">
        <f t="shared" ref="AQ65" si="236">IF(AQ58=0,"-",AQ64/AQ58)</f>
        <v>#REF!</v>
      </c>
      <c r="AR65" s="9"/>
      <c r="AS65" s="105"/>
      <c r="AT65" s="212"/>
      <c r="AU65" s="221"/>
      <c r="AV65" s="11"/>
      <c r="AW65" s="11"/>
      <c r="AX65" s="244"/>
      <c r="AY65" s="69" t="e">
        <f t="shared" ref="AY65" si="237">IF(AY58=0,"-",AY64/AY58)</f>
        <v>#REF!</v>
      </c>
      <c r="AZ65" s="295"/>
      <c r="BA65" s="9" t="e">
        <f t="shared" ref="BA65" si="238">IF(BA58=0,"-",BA64/BA58)</f>
        <v>#REF!</v>
      </c>
      <c r="BB65" s="105"/>
      <c r="BC65" s="212"/>
      <c r="BD65" s="221"/>
      <c r="BE65" s="58"/>
      <c r="BF65" s="11"/>
      <c r="BG65" s="244"/>
      <c r="BH65" s="69" t="e">
        <f t="shared" ref="BH65:BI65" si="239">IF(BH58=0,"-",BH64/BH58)</f>
        <v>#REF!</v>
      </c>
      <c r="BI65" s="9" t="e">
        <f t="shared" si="239"/>
        <v>#REF!</v>
      </c>
      <c r="BJ65" s="9"/>
      <c r="BK65" s="212"/>
      <c r="BL65" s="221"/>
      <c r="BM65" s="2"/>
      <c r="BN65" s="232"/>
      <c r="BO65" s="232"/>
      <c r="BP65" s="2"/>
      <c r="BQ65" s="173"/>
      <c r="BR65" s="173"/>
      <c r="BS65" s="173"/>
      <c r="BT65" s="173"/>
      <c r="BU65" s="173"/>
      <c r="BV65" s="173"/>
      <c r="BW65" s="173"/>
      <c r="BX65" s="173"/>
      <c r="BY65" s="173"/>
      <c r="BZ65" s="173"/>
      <c r="CA65" s="173"/>
      <c r="CB65" s="173"/>
      <c r="CC65" s="69"/>
      <c r="CD65" s="203"/>
      <c r="CE65" s="11"/>
      <c r="CF65" s="69"/>
      <c r="CG65" s="135"/>
      <c r="CH65" s="69"/>
      <c r="CI65" s="58"/>
      <c r="CJ65" s="11"/>
      <c r="CK65" s="69"/>
      <c r="CL65" s="135"/>
      <c r="CM65" s="10"/>
    </row>
    <row r="66" spans="2:91" outlineLevel="1" x14ac:dyDescent="0.2">
      <c r="B66" s="56"/>
      <c r="C66" s="70"/>
      <c r="D66" s="2"/>
      <c r="E66" s="58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89"/>
      <c r="R66" s="2"/>
      <c r="S66" s="58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58"/>
      <c r="AF66" s="296"/>
      <c r="AG66" s="106"/>
      <c r="AH66" s="106"/>
      <c r="AI66" s="106"/>
      <c r="AJ66" s="198"/>
      <c r="AK66" s="198"/>
      <c r="AL66" s="58"/>
      <c r="AM66" s="11"/>
      <c r="AN66" s="245"/>
      <c r="AO66" s="58"/>
      <c r="AP66" s="296"/>
      <c r="AQ66" s="106"/>
      <c r="AR66" s="71"/>
      <c r="AS66" s="106"/>
      <c r="AT66" s="198"/>
      <c r="AU66" s="225"/>
      <c r="AV66" s="11"/>
      <c r="AW66" s="11"/>
      <c r="AX66" s="245"/>
      <c r="AY66" s="58"/>
      <c r="AZ66" s="296"/>
      <c r="BA66" s="71"/>
      <c r="BB66" s="106"/>
      <c r="BC66" s="198"/>
      <c r="BD66" s="225"/>
      <c r="BE66" s="58"/>
      <c r="BF66" s="11"/>
      <c r="BG66" s="245"/>
      <c r="BH66" s="58"/>
      <c r="BI66" s="11"/>
      <c r="BJ66" s="11"/>
      <c r="BK66" s="198"/>
      <c r="BL66" s="225"/>
      <c r="BM66" s="2"/>
      <c r="BN66" s="233"/>
      <c r="BO66" s="233"/>
      <c r="BP66" s="2"/>
      <c r="BQ66" s="173"/>
      <c r="BR66" s="173"/>
      <c r="BS66" s="173"/>
      <c r="BT66" s="173"/>
      <c r="BU66" s="173"/>
      <c r="BV66" s="173"/>
      <c r="BW66" s="173"/>
      <c r="BX66" s="173"/>
      <c r="BY66" s="173"/>
      <c r="BZ66" s="173"/>
      <c r="CA66" s="173"/>
      <c r="CB66" s="173"/>
      <c r="CC66" s="133"/>
      <c r="CD66" s="203"/>
      <c r="CE66" s="11"/>
      <c r="CF66" s="133"/>
      <c r="CG66" s="135"/>
      <c r="CH66" s="135"/>
      <c r="CI66" s="58"/>
      <c r="CJ66" s="11"/>
      <c r="CK66" s="133"/>
      <c r="CL66" s="135"/>
      <c r="CM66" s="154"/>
    </row>
    <row r="67" spans="2:91" outlineLevel="1" x14ac:dyDescent="0.2">
      <c r="B67" s="72"/>
      <c r="C67" s="73" t="s">
        <v>11</v>
      </c>
      <c r="D67" s="74"/>
      <c r="E67" s="97">
        <v>0</v>
      </c>
      <c r="F67" s="171">
        <v>0</v>
      </c>
      <c r="G67" s="171">
        <v>0</v>
      </c>
      <c r="H67" s="171">
        <v>0</v>
      </c>
      <c r="I67" s="171">
        <v>0</v>
      </c>
      <c r="J67" s="171">
        <v>0</v>
      </c>
      <c r="K67" s="171">
        <v>0</v>
      </c>
      <c r="L67" s="171">
        <v>0</v>
      </c>
      <c r="M67" s="171">
        <v>0</v>
      </c>
      <c r="N67" s="171">
        <v>0</v>
      </c>
      <c r="O67" s="171">
        <v>0</v>
      </c>
      <c r="P67" s="172">
        <v>0</v>
      </c>
      <c r="Q67" s="190">
        <v>0</v>
      </c>
      <c r="R67" s="74"/>
      <c r="S67" s="97">
        <f t="shared" ref="S67:AD67" si="240">IF(ISERROR(VLOOKUP(CONCATENATE($B$50,S$5),TBCA,17,FALSE)/1000),0,VLOOKUP(CONCATENATE($B$50,S$5),TBCA,17,FALSE)/1000)</f>
        <v>0</v>
      </c>
      <c r="T67" s="171">
        <f t="shared" si="240"/>
        <v>0</v>
      </c>
      <c r="U67" s="171">
        <f t="shared" si="240"/>
        <v>0</v>
      </c>
      <c r="V67" s="171">
        <f t="shared" si="240"/>
        <v>0</v>
      </c>
      <c r="W67" s="171">
        <f t="shared" si="240"/>
        <v>0</v>
      </c>
      <c r="X67" s="171">
        <f t="shared" si="240"/>
        <v>0</v>
      </c>
      <c r="Y67" s="171">
        <f t="shared" si="240"/>
        <v>0</v>
      </c>
      <c r="Z67" s="171">
        <f t="shared" si="240"/>
        <v>0</v>
      </c>
      <c r="AA67" s="171">
        <f t="shared" si="240"/>
        <v>0</v>
      </c>
      <c r="AB67" s="171">
        <f t="shared" si="240"/>
        <v>0</v>
      </c>
      <c r="AC67" s="171">
        <f t="shared" si="240"/>
        <v>0</v>
      </c>
      <c r="AD67" s="172">
        <f t="shared" si="240"/>
        <v>0</v>
      </c>
      <c r="AE67" s="97">
        <f>SUMIF($S$5:$AD$5,"&lt;="&amp;mois,S67:AD67)</f>
        <v>0</v>
      </c>
      <c r="AF67" s="292"/>
      <c r="AG67" s="107">
        <f>AE67-AF67</f>
        <v>0</v>
      </c>
      <c r="AH67" s="107" t="e">
        <f>IF(EXCERCICE="PA",AE67-($CC67/12*(mois)),IF(EXCERCICE="LB1",AE67-($CF67/12*(mois)),AE67-($CK67/12*(mois))))</f>
        <v>#REF!</v>
      </c>
      <c r="AI67" s="107"/>
      <c r="AJ67" s="215">
        <f>IF(ISERROR(IF(EXCERCICE="PA",AE67/$CC67,IF(EXCERCICE="LB1",AE67/$CF67,AE67/$CK67))),0,IF(EXCERCICE="PA",AE67/$CC67,IF(EXCERCICE="LB1",AE67/$CF67,AE67/$CK67)))</f>
        <v>0</v>
      </c>
      <c r="AK67" s="215"/>
      <c r="AL67" s="75"/>
      <c r="AM67" s="77"/>
      <c r="AN67" s="246"/>
      <c r="AO67" s="97" t="e">
        <f>IF(mois+1&gt;12,AN67,+$AE67+AN67)</f>
        <v>#REF!</v>
      </c>
      <c r="AP67" s="292"/>
      <c r="AQ67" s="107" t="e">
        <f>AO67-AP67</f>
        <v>#REF!</v>
      </c>
      <c r="AR67" s="78" t="e">
        <f>IF(mois+1&gt;12,0,IF(mois=12,IF(EXCERCICE="PA",AO67-($CC67/12),IF(EXCERCICE="LB1",AO67-($CF67/12),AO67-($CK67/12))),IF(EXCERCICE="PA",AO67-($CC67/12*(mois+1)),IF(EXCERCICE="LB1",AO67-($CF67/12*(mois+1)),AO67-($CK67/12*(mois+1))))))</f>
        <v>#REF!</v>
      </c>
      <c r="AS67" s="180"/>
      <c r="AT67" s="215" t="e">
        <f>IF(mois+1&gt;12,0,IF(ISERROR(IF(EXCERCICE="PA",AO67/$CC67,IF(EXCERCICE="LB1",AO67/$CF67,AO67/$CK67))),0,IF(EXCERCICE="PA",AO67/$CC67,IF(EXCERCICE="LB1",AO67/$CF67,AO67/$CK67))))</f>
        <v>#REF!</v>
      </c>
      <c r="AU67" s="226"/>
      <c r="AV67" s="11"/>
      <c r="AW67" s="77"/>
      <c r="AX67" s="246"/>
      <c r="AY67" s="97" t="e">
        <f>IF(mois+2=13,AX67,IF(mois+2&gt;14,AX67,$AO67+AX67))</f>
        <v>#REF!</v>
      </c>
      <c r="AZ67" s="292"/>
      <c r="BA67" s="78" t="e">
        <f>IF(mois+2&gt;12,0,IF(mois=12,IF(EXCERCICE="PA",AY67-($CC67/12),IF(EXCERCICE="LB1",AY67-($CF67/12),AY67-($CK67/12))),IF(EXCERCICE="PA",AY67-($CC67/12*(mois+2)),IF(EXCERCICE="LB1",AY67-($CF67/12*(mois+2)),AY67-($CK67/12*(mois+2))))))</f>
        <v>#REF!</v>
      </c>
      <c r="BB67" s="180"/>
      <c r="BC67" s="215" t="e">
        <f>IF(mois+2&gt;12,0,IF(ISERROR(IF(EXCERCICE="PA",AY67/$CC67,IF(EXCERCICE="LB1",AY67/$CF67,AY67/$CK67))),0,IF(EXCERCICE="PA",AY67/$CC67,IF(EXCERCICE="LB1",AY67/$CF67,AY67/$CK67))))</f>
        <v>#REF!</v>
      </c>
      <c r="BD67" s="226"/>
      <c r="BE67" s="75"/>
      <c r="BF67" s="77"/>
      <c r="BG67" s="246"/>
      <c r="BH67" s="97" t="e">
        <f>IF(mois+3=13,BG67,IF(mois+3&gt;15,BG67,+$AY67+BG67))</f>
        <v>#REF!</v>
      </c>
      <c r="BI67" s="78" t="e">
        <f>IF(mois+3&gt;12,0,IF(mois=12,IF(EXCERCICE="PA",BH67-($CC67/12),IF(EXCERCICE="LB1",BH67-($CF67/12),BH67-($CK67/12))),IF(EXCERCICE="PA",BH67-($CC67/12*(mois+3)),IF(EXCERCICE="LB1",BH67-($CF67/12*(mois+3)),BH67-($CK67/12*(mois+3))))))</f>
        <v>#REF!</v>
      </c>
      <c r="BJ67" s="78"/>
      <c r="BK67" s="215" t="e">
        <f>IF(mois+3&gt;12,0,IF(ISERROR(IF(EXCERCICE="PA",BH67/$CC67,IF(EXCERCICE="LB1",BH67/$CF67,BH67/$CK67))),0,IF(EXCERCICE="PA",BH67/$CC67,IF(EXCERCICE="LB1",BH67/$CF67,BH67/$CK67))))</f>
        <v>#REF!</v>
      </c>
      <c r="BL67" s="226"/>
      <c r="BM67" s="2"/>
      <c r="BN67" s="234" t="e">
        <f>IF(mois&gt;=12,IF(EXCERCICE="PA",CC67-AE67,IF(EXCERCICE="LB1",CF67-AE67,IF(EXCERCICE="LB2",$CK67-AE67))),
IF(mois+1&lt;=13,IF(EXCERCICE="PA",CC67-AO67,IF(EXCERCICE="LB1",CF67-AO67,IF(EXCERCICE="LB2",$CK67-AO67))),
IF(mois+2&lt;=14,IF(EXCERCICE="PA",CC67-AY67,IF(EXCERCICE="LB1",CF67-AY67,IF(EXCERCICE="LB2",$CK67-AY67))),
IF(mois+3&lt;=15,IF(EXCERCICE="PA",CC67-BH67,IF(EXCERCICE="LB1",CF67-BH67,IF(EXCERCICE="LB2",$CK67-BH67))),0))))</f>
        <v>#REF!</v>
      </c>
      <c r="BO67" s="234" t="e">
        <f>IF(BN67&lt;0,0,BN67/(12-mois))</f>
        <v>#REF!</v>
      </c>
      <c r="BP67" s="2"/>
      <c r="BQ67" s="173"/>
      <c r="BR67" s="173"/>
      <c r="BS67" s="173"/>
      <c r="BT67" s="173"/>
      <c r="BU67" s="173"/>
      <c r="BV67" s="173"/>
      <c r="BW67" s="173"/>
      <c r="BX67" s="173"/>
      <c r="BY67" s="173"/>
      <c r="BZ67" s="173"/>
      <c r="CA67" s="173"/>
      <c r="CB67" s="173"/>
      <c r="CC67" s="97"/>
      <c r="CD67" s="203"/>
      <c r="CE67" s="77"/>
      <c r="CF67" s="97"/>
      <c r="CG67" s="125"/>
      <c r="CH67" s="76"/>
      <c r="CI67" s="75"/>
      <c r="CJ67" s="77"/>
      <c r="CK67" s="97"/>
      <c r="CL67" s="125"/>
      <c r="CM67" s="78"/>
    </row>
    <row r="68" spans="2:91" outlineLevel="1" x14ac:dyDescent="0.2">
      <c r="B68" s="56"/>
      <c r="C68" s="57" t="s">
        <v>12</v>
      </c>
      <c r="D68" s="2"/>
      <c r="E68" s="69" t="s">
        <v>89</v>
      </c>
      <c r="F68" s="9" t="s">
        <v>89</v>
      </c>
      <c r="G68" s="9" t="s">
        <v>89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188" t="s">
        <v>89</v>
      </c>
      <c r="R68" s="2"/>
      <c r="S68" s="69" t="str">
        <f t="shared" ref="S68:AD68" si="241">IF(S58=0,"-",S67/S58)</f>
        <v>-</v>
      </c>
      <c r="T68" s="9" t="str">
        <f t="shared" si="241"/>
        <v>-</v>
      </c>
      <c r="U68" s="9" t="str">
        <f t="shared" si="241"/>
        <v>-</v>
      </c>
      <c r="V68" s="9" t="str">
        <f t="shared" si="241"/>
        <v>-</v>
      </c>
      <c r="W68" s="9" t="str">
        <f t="shared" si="241"/>
        <v>-</v>
      </c>
      <c r="X68" s="9" t="str">
        <f t="shared" si="241"/>
        <v>-</v>
      </c>
      <c r="Y68" s="9" t="str">
        <f t="shared" si="241"/>
        <v>-</v>
      </c>
      <c r="Z68" s="9" t="str">
        <f t="shared" si="241"/>
        <v>-</v>
      </c>
      <c r="AA68" s="9" t="str">
        <f t="shared" si="241"/>
        <v>-</v>
      </c>
      <c r="AB68" s="9" t="str">
        <f t="shared" si="241"/>
        <v>-</v>
      </c>
      <c r="AC68" s="9" t="str">
        <f t="shared" si="241"/>
        <v>-</v>
      </c>
      <c r="AD68" s="9" t="str">
        <f t="shared" si="241"/>
        <v>-</v>
      </c>
      <c r="AE68" s="69" t="str">
        <f>IF(AE58=0,"-",AE67/AE58)</f>
        <v>-</v>
      </c>
      <c r="AF68" s="295"/>
      <c r="AG68" s="105" t="str">
        <f t="shared" ref="AG68:AH68" si="242">IF(AG58=0,"-",AG67/AG58)</f>
        <v>-</v>
      </c>
      <c r="AH68" s="105" t="e">
        <f t="shared" si="242"/>
        <v>#REF!</v>
      </c>
      <c r="AI68" s="105"/>
      <c r="AJ68" s="212"/>
      <c r="AK68" s="212"/>
      <c r="AL68" s="58"/>
      <c r="AM68" s="11"/>
      <c r="AN68" s="244"/>
      <c r="AO68" s="69" t="e">
        <f t="shared" ref="AO68" si="243">IF(AO58=0,"-",AO67/AO58)</f>
        <v>#REF!</v>
      </c>
      <c r="AP68" s="295"/>
      <c r="AQ68" s="105" t="e">
        <f t="shared" ref="AQ68:AR68" si="244">IF(AQ58=0,"-",AQ67/AQ58)</f>
        <v>#REF!</v>
      </c>
      <c r="AR68" s="9" t="e">
        <f t="shared" si="244"/>
        <v>#REF!</v>
      </c>
      <c r="AS68" s="105"/>
      <c r="AT68" s="212"/>
      <c r="AU68" s="221"/>
      <c r="AV68" s="11"/>
      <c r="AW68" s="11"/>
      <c r="AX68" s="244"/>
      <c r="AY68" s="69" t="e">
        <f t="shared" ref="AY68" si="245">IF(AY58=0,"-",AY67/AY58)</f>
        <v>#REF!</v>
      </c>
      <c r="AZ68" s="295"/>
      <c r="BA68" s="9" t="e">
        <f>IF(BA58=0,"-",BA67/BA58)</f>
        <v>#REF!</v>
      </c>
      <c r="BB68" s="105"/>
      <c r="BC68" s="212"/>
      <c r="BD68" s="221"/>
      <c r="BE68" s="58"/>
      <c r="BF68" s="11"/>
      <c r="BG68" s="244"/>
      <c r="BH68" s="69" t="e">
        <f t="shared" ref="BH68:BI68" si="246">IF(BH58=0,"-",BH67/BH58)</f>
        <v>#REF!</v>
      </c>
      <c r="BI68" s="9" t="e">
        <f t="shared" si="246"/>
        <v>#REF!</v>
      </c>
      <c r="BJ68" s="9"/>
      <c r="BK68" s="212"/>
      <c r="BL68" s="221"/>
      <c r="BM68" s="2"/>
      <c r="BN68" s="232"/>
      <c r="BO68" s="232"/>
      <c r="BP68" s="2"/>
      <c r="BQ68" s="173"/>
      <c r="BR68" s="173"/>
      <c r="BS68" s="173"/>
      <c r="BT68" s="173"/>
      <c r="BU68" s="173"/>
      <c r="BV68" s="173"/>
      <c r="BW68" s="173"/>
      <c r="BX68" s="173"/>
      <c r="BY68" s="173"/>
      <c r="BZ68" s="173"/>
      <c r="CA68" s="173"/>
      <c r="CB68" s="173"/>
      <c r="CC68" s="69"/>
      <c r="CD68" s="203"/>
      <c r="CE68" s="11"/>
      <c r="CF68" s="69"/>
      <c r="CG68" s="135"/>
      <c r="CH68" s="69"/>
      <c r="CI68" s="58"/>
      <c r="CJ68" s="11"/>
      <c r="CK68" s="69"/>
      <c r="CL68" s="135"/>
      <c r="CM68" s="10"/>
    </row>
    <row r="69" spans="2:91" outlineLevel="1" x14ac:dyDescent="0.2">
      <c r="B69" s="72"/>
      <c r="C69" s="73" t="s">
        <v>13</v>
      </c>
      <c r="D69" s="74"/>
      <c r="E69" s="97">
        <v>0</v>
      </c>
      <c r="F69" s="171">
        <v>0</v>
      </c>
      <c r="G69" s="171">
        <v>0</v>
      </c>
      <c r="H69" s="171">
        <v>0</v>
      </c>
      <c r="I69" s="171">
        <v>0</v>
      </c>
      <c r="J69" s="171">
        <v>0</v>
      </c>
      <c r="K69" s="171">
        <v>0</v>
      </c>
      <c r="L69" s="171">
        <v>0</v>
      </c>
      <c r="M69" s="171">
        <v>0</v>
      </c>
      <c r="N69" s="171">
        <v>0</v>
      </c>
      <c r="O69" s="171">
        <v>0</v>
      </c>
      <c r="P69" s="172">
        <v>0</v>
      </c>
      <c r="Q69" s="190">
        <v>0</v>
      </c>
      <c r="R69" s="74"/>
      <c r="S69" s="97">
        <f t="shared" ref="S69:AD69" si="247">IF(ISERROR(VLOOKUP(CONCATENATE($B$50,S$5),TBCA,18,FALSE)/1000),0,VLOOKUP(CONCATENATE($B$50,S$5),TBCA,18,FALSE)/1000)</f>
        <v>0</v>
      </c>
      <c r="T69" s="171">
        <f t="shared" si="247"/>
        <v>0</v>
      </c>
      <c r="U69" s="171">
        <f t="shared" si="247"/>
        <v>0</v>
      </c>
      <c r="V69" s="171">
        <f t="shared" si="247"/>
        <v>0</v>
      </c>
      <c r="W69" s="171">
        <f t="shared" si="247"/>
        <v>0</v>
      </c>
      <c r="X69" s="171">
        <f t="shared" si="247"/>
        <v>0</v>
      </c>
      <c r="Y69" s="171">
        <f t="shared" si="247"/>
        <v>0</v>
      </c>
      <c r="Z69" s="171">
        <f t="shared" si="247"/>
        <v>0</v>
      </c>
      <c r="AA69" s="171">
        <f t="shared" si="247"/>
        <v>0</v>
      </c>
      <c r="AB69" s="171">
        <f t="shared" si="247"/>
        <v>0</v>
      </c>
      <c r="AC69" s="171">
        <f t="shared" si="247"/>
        <v>0</v>
      </c>
      <c r="AD69" s="172">
        <f t="shared" si="247"/>
        <v>0</v>
      </c>
      <c r="AE69" s="97">
        <f>SUMIF($S$5:$AD$5,"&lt;="&amp;mois,S69:AD69)</f>
        <v>0</v>
      </c>
      <c r="AF69" s="292"/>
      <c r="AG69" s="107">
        <f>AE69-AF69</f>
        <v>0</v>
      </c>
      <c r="AH69" s="107" t="e">
        <f>IF(EXCERCICE="PA",AE69-($CC69/12*(mois)),IF(EXCERCICE="LB1",AE69-($CF69/12*(mois)),AE69-($CK69/12*(mois))))</f>
        <v>#REF!</v>
      </c>
      <c r="AI69" s="107"/>
      <c r="AJ69" s="215">
        <f>IF(ISERROR(IF(EXCERCICE="PA",AE69/$CC69,IF(EXCERCICE="LB1",AE69/$CF69,AE69/$CK69))),0,IF(EXCERCICE="PA",AE69/$CC69,IF(EXCERCICE="LB1",AE69/$CF69,AE69/$CK69)))</f>
        <v>0</v>
      </c>
      <c r="AK69" s="215"/>
      <c r="AL69" s="75"/>
      <c r="AM69" s="77"/>
      <c r="AN69" s="246"/>
      <c r="AO69" s="97" t="e">
        <f>IF(mois+1&gt;12,AN69,+$AE69+AN69)</f>
        <v>#REF!</v>
      </c>
      <c r="AP69" s="292"/>
      <c r="AQ69" s="107" t="e">
        <f>AO69-AP69</f>
        <v>#REF!</v>
      </c>
      <c r="AR69" s="78" t="e">
        <f>IF(mois+1&gt;12,0,IF(mois=12,IF(EXCERCICE="PA",AO69-($CC69/12),IF(EXCERCICE="LB1",AO69-($CF69/12),AO69-($CK69/12))),IF(EXCERCICE="PA",AO69-($CC69/12*(mois+1)),IF(EXCERCICE="LB1",AO69-($CF69/12*(mois+1)),AO69-($CK69/12*(mois+1))))))</f>
        <v>#REF!</v>
      </c>
      <c r="AS69" s="180"/>
      <c r="AT69" s="215" t="e">
        <f>IF(mois+1&gt;12,0,IF(ISERROR(IF(EXCERCICE="PA",AO69/$CC69,IF(EXCERCICE="LB1",AO69/$CF69,AO69/$CK69))),0,IF(EXCERCICE="PA",AO69/$CC69,IF(EXCERCICE="LB1",AO69/$CF69,AO69/$CK69))))</f>
        <v>#REF!</v>
      </c>
      <c r="AU69" s="226"/>
      <c r="AV69" s="11"/>
      <c r="AW69" s="77"/>
      <c r="AX69" s="246"/>
      <c r="AY69" s="97" t="e">
        <f>IF(mois+2=13,AX69,IF(mois+2&gt;14,AX69,$AO69+AX69))</f>
        <v>#REF!</v>
      </c>
      <c r="AZ69" s="292"/>
      <c r="BA69" s="78" t="e">
        <f>IF(mois+2&gt;12,0,IF(mois=12,IF(EXCERCICE="PA",AY69-($CC69/12),IF(EXCERCICE="LB1",AY69-($CF69/12),AY69-($CK69/12))),IF(EXCERCICE="PA",AY69-($CC69/12*(mois+2)),IF(EXCERCICE="LB1",AY69-($CF69/12*(mois+2)),AY69-($CK69/12*(mois+2))))))</f>
        <v>#REF!</v>
      </c>
      <c r="BB69" s="180"/>
      <c r="BC69" s="215" t="e">
        <f>IF(mois+2&gt;12,0,IF(ISERROR(IF(EXCERCICE="PA",AY69/$CC69,IF(EXCERCICE="LB1",AY69/$CF69,AY69/$CK69))),0,IF(EXCERCICE="PA",AY69/$CC69,IF(EXCERCICE="LB1",AY69/$CF69,AY69/$CK69))))</f>
        <v>#REF!</v>
      </c>
      <c r="BD69" s="226"/>
      <c r="BE69" s="75"/>
      <c r="BF69" s="77"/>
      <c r="BG69" s="246"/>
      <c r="BH69" s="97" t="e">
        <f>IF(mois+3=13,BG69,IF(mois+3&gt;15,BG69,+$AY69+BG69))</f>
        <v>#REF!</v>
      </c>
      <c r="BI69" s="78" t="e">
        <f>IF(mois+3&gt;12,0,IF(mois=12,IF(EXCERCICE="PA",BH69-($CC69/12),IF(EXCERCICE="LB1",BH69-($CF69/12),BH69-($CK69/12))),IF(EXCERCICE="PA",BH69-($CC69/12*(mois+3)),IF(EXCERCICE="LB1",BH69-($CF69/12*(mois+3)),BH69-($CK69/12*(mois+3))))))</f>
        <v>#REF!</v>
      </c>
      <c r="BJ69" s="78"/>
      <c r="BK69" s="215" t="e">
        <f>IF(mois+3&gt;12,0,IF(ISERROR(IF(EXCERCICE="PA",BH69/$CC69,IF(EXCERCICE="LB1",BH69/$CF69,BH69/$CK69))),0,IF(EXCERCICE="PA",BH69/$CC69,IF(EXCERCICE="LB1",BH69/$CF69,BH69/$CK69))))</f>
        <v>#REF!</v>
      </c>
      <c r="BL69" s="226"/>
      <c r="BM69" s="2"/>
      <c r="BN69" s="234" t="e">
        <f>IF(mois&gt;=12,IF(EXCERCICE="PA",CC69-AE69,IF(EXCERCICE="LB1",CF69-AE69,IF(EXCERCICE="LB2",$CK69-AE69))),
IF(mois+1&lt;=13,IF(EXCERCICE="PA",CC69-AO69,IF(EXCERCICE="LB1",CF69-AO69,IF(EXCERCICE="LB2",$CK69-AO69))),
IF(mois+2&lt;=14,IF(EXCERCICE="PA",CC69-AY69,IF(EXCERCICE="LB1",CF69-AY69,IF(EXCERCICE="LB2",$CK69-AY69))),
IF(mois+3&lt;=15,IF(EXCERCICE="PA",CC69-BH69,IF(EXCERCICE="LB1",CF69-BH69,IF(EXCERCICE="LB2",$CK69-BH69))),0))))</f>
        <v>#REF!</v>
      </c>
      <c r="BO69" s="234" t="e">
        <f>IF(BN69&lt;0,0,BN69/(12-mois))</f>
        <v>#REF!</v>
      </c>
      <c r="BP69" s="2"/>
      <c r="BQ69" s="173"/>
      <c r="BR69" s="173"/>
      <c r="BS69" s="173"/>
      <c r="BT69" s="173"/>
      <c r="BU69" s="173"/>
      <c r="BV69" s="173"/>
      <c r="BW69" s="173"/>
      <c r="BX69" s="173"/>
      <c r="BY69" s="173"/>
      <c r="BZ69" s="173"/>
      <c r="CA69" s="173"/>
      <c r="CB69" s="173"/>
      <c r="CC69" s="97"/>
      <c r="CD69" s="203"/>
      <c r="CE69" s="77"/>
      <c r="CF69" s="97"/>
      <c r="CG69" s="125"/>
      <c r="CH69" s="76"/>
      <c r="CI69" s="75"/>
      <c r="CJ69" s="77"/>
      <c r="CK69" s="97"/>
      <c r="CL69" s="125"/>
      <c r="CM69" s="78"/>
    </row>
    <row r="70" spans="2:91" outlineLevel="1" x14ac:dyDescent="0.2">
      <c r="B70" s="56"/>
      <c r="C70" s="57" t="s">
        <v>12</v>
      </c>
      <c r="D70" s="2"/>
      <c r="E70" s="69" t="s">
        <v>89</v>
      </c>
      <c r="F70" s="9" t="s">
        <v>89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188" t="s">
        <v>89</v>
      </c>
      <c r="R70" s="2"/>
      <c r="S70" s="69" t="str">
        <f t="shared" ref="S70:AE70" si="248">IF(S58=0,"-",S69/S58)</f>
        <v>-</v>
      </c>
      <c r="T70" s="9" t="str">
        <f t="shared" si="248"/>
        <v>-</v>
      </c>
      <c r="U70" s="9" t="str">
        <f t="shared" si="248"/>
        <v>-</v>
      </c>
      <c r="V70" s="9" t="str">
        <f t="shared" si="248"/>
        <v>-</v>
      </c>
      <c r="W70" s="9" t="str">
        <f t="shared" si="248"/>
        <v>-</v>
      </c>
      <c r="X70" s="9" t="str">
        <f t="shared" si="248"/>
        <v>-</v>
      </c>
      <c r="Y70" s="9" t="str">
        <f t="shared" si="248"/>
        <v>-</v>
      </c>
      <c r="Z70" s="9" t="str">
        <f t="shared" si="248"/>
        <v>-</v>
      </c>
      <c r="AA70" s="9" t="str">
        <f t="shared" si="248"/>
        <v>-</v>
      </c>
      <c r="AB70" s="9" t="str">
        <f t="shared" si="248"/>
        <v>-</v>
      </c>
      <c r="AC70" s="9" t="str">
        <f t="shared" si="248"/>
        <v>-</v>
      </c>
      <c r="AD70" s="9" t="str">
        <f t="shared" si="248"/>
        <v>-</v>
      </c>
      <c r="AE70" s="69" t="str">
        <f t="shared" si="248"/>
        <v>-</v>
      </c>
      <c r="AF70" s="295"/>
      <c r="AG70" s="105" t="str">
        <f t="shared" ref="AG70:AH70" si="249">IF(AG58=0,"-",AG69/AG58)</f>
        <v>-</v>
      </c>
      <c r="AH70" s="105" t="e">
        <f t="shared" si="249"/>
        <v>#REF!</v>
      </c>
      <c r="AI70" s="105"/>
      <c r="AJ70" s="212"/>
      <c r="AK70" s="212"/>
      <c r="AL70" s="58"/>
      <c r="AM70" s="11"/>
      <c r="AN70" s="244"/>
      <c r="AO70" s="69" t="e">
        <f t="shared" ref="AO70" si="250">IF(AO58=0,"-",AO69/AO58)</f>
        <v>#REF!</v>
      </c>
      <c r="AP70" s="295"/>
      <c r="AQ70" s="105" t="e">
        <f t="shared" ref="AQ70:AR70" si="251">IF(AQ58=0,"-",AQ69/AQ58)</f>
        <v>#REF!</v>
      </c>
      <c r="AR70" s="9" t="e">
        <f t="shared" si="251"/>
        <v>#REF!</v>
      </c>
      <c r="AS70" s="105"/>
      <c r="AT70" s="212"/>
      <c r="AU70" s="221"/>
      <c r="AV70" s="11"/>
      <c r="AW70" s="11"/>
      <c r="AX70" s="244"/>
      <c r="AY70" s="69" t="e">
        <f t="shared" ref="AY70" si="252">IF(AY58=0,"-",AY69/AY58)</f>
        <v>#REF!</v>
      </c>
      <c r="AZ70" s="295"/>
      <c r="BA70" s="9" t="e">
        <f>IF(BA58=0,"-",BA69/BA58)</f>
        <v>#REF!</v>
      </c>
      <c r="BB70" s="105"/>
      <c r="BC70" s="212"/>
      <c r="BD70" s="221"/>
      <c r="BE70" s="58"/>
      <c r="BF70" s="11"/>
      <c r="BG70" s="244"/>
      <c r="BH70" s="69" t="e">
        <f>IF(BH58=0,"-",BH69/BH58)</f>
        <v>#REF!</v>
      </c>
      <c r="BI70" s="9" t="e">
        <f>IF(BI58=0,"-",BI69/BI58)</f>
        <v>#REF!</v>
      </c>
      <c r="BJ70" s="9"/>
      <c r="BK70" s="212"/>
      <c r="BL70" s="221"/>
      <c r="BM70" s="2"/>
      <c r="BN70" s="232"/>
      <c r="BO70" s="232"/>
      <c r="BP70" s="2"/>
      <c r="BQ70" s="173"/>
      <c r="BR70" s="173"/>
      <c r="BS70" s="173"/>
      <c r="BT70" s="173"/>
      <c r="BU70" s="173"/>
      <c r="BV70" s="173"/>
      <c r="BW70" s="173"/>
      <c r="BX70" s="173"/>
      <c r="BY70" s="173"/>
      <c r="BZ70" s="173"/>
      <c r="CA70" s="173"/>
      <c r="CB70" s="173"/>
      <c r="CC70" s="69"/>
      <c r="CD70" s="203"/>
      <c r="CE70" s="11"/>
      <c r="CF70" s="69"/>
      <c r="CG70" s="135"/>
      <c r="CH70" s="69"/>
      <c r="CI70" s="58"/>
      <c r="CJ70" s="11"/>
      <c r="CK70" s="69"/>
      <c r="CL70" s="135"/>
      <c r="CM70" s="10"/>
    </row>
    <row r="71" spans="2:91" outlineLevel="1" x14ac:dyDescent="0.2">
      <c r="B71" s="56"/>
      <c r="C71" s="79" t="s">
        <v>66</v>
      </c>
      <c r="D71" s="51"/>
      <c r="E71" s="98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91">
        <v>0</v>
      </c>
      <c r="R71" s="51"/>
      <c r="S71" s="98">
        <f>S67+S69</f>
        <v>0</v>
      </c>
      <c r="T71" s="14">
        <f t="shared" ref="T71:AE71" si="253">T67+T69</f>
        <v>0</v>
      </c>
      <c r="U71" s="14">
        <f t="shared" si="253"/>
        <v>0</v>
      </c>
      <c r="V71" s="14">
        <f t="shared" si="253"/>
        <v>0</v>
      </c>
      <c r="W71" s="14">
        <f t="shared" si="253"/>
        <v>0</v>
      </c>
      <c r="X71" s="14">
        <f t="shared" si="253"/>
        <v>0</v>
      </c>
      <c r="Y71" s="14">
        <f t="shared" si="253"/>
        <v>0</v>
      </c>
      <c r="Z71" s="14">
        <f t="shared" si="253"/>
        <v>0</v>
      </c>
      <c r="AA71" s="14">
        <f t="shared" si="253"/>
        <v>0</v>
      </c>
      <c r="AB71" s="14">
        <f t="shared" si="253"/>
        <v>0</v>
      </c>
      <c r="AC71" s="14">
        <f t="shared" si="253"/>
        <v>0</v>
      </c>
      <c r="AD71" s="14">
        <f t="shared" si="253"/>
        <v>0</v>
      </c>
      <c r="AE71" s="98">
        <f t="shared" si="253"/>
        <v>0</v>
      </c>
      <c r="AF71" s="297"/>
      <c r="AG71" s="108">
        <f>AE71-AF71</f>
        <v>0</v>
      </c>
      <c r="AH71" s="107" t="e">
        <f t="shared" ref="AH71" si="254">AH67+AH69</f>
        <v>#REF!</v>
      </c>
      <c r="AI71" s="108"/>
      <c r="AJ71" s="201">
        <f>IF(ISERROR(IF(EXCERCICE="PA",AE71/$CC71,IF(EXCERCICE="LB1",AE71/$CF71,AE71/$CK71))),0,IF(EXCERCICE="PA",AE71/$CC71,IF(EXCERCICE="LB1",AE71/$CF71,AE71/$CK71)))</f>
        <v>0</v>
      </c>
      <c r="AK71" s="201"/>
      <c r="AL71" s="52"/>
      <c r="AM71" s="54"/>
      <c r="AN71" s="247"/>
      <c r="AO71" s="98" t="e">
        <f t="shared" ref="AO71" si="255">AO67+AO69</f>
        <v>#REF!</v>
      </c>
      <c r="AP71" s="297"/>
      <c r="AQ71" s="108" t="e">
        <f>AO71-AP71</f>
        <v>#REF!</v>
      </c>
      <c r="AR71" s="14" t="e">
        <f t="shared" ref="AR71" si="256">AR67+AR69</f>
        <v>#REF!</v>
      </c>
      <c r="AS71" s="108"/>
      <c r="AT71" s="201" t="e">
        <f>IF(mois+1&gt;12,0,IF(ISERROR(IF(EXCERCICE="PA",AO71/$CC71,IF(EXCERCICE="LB1",AO71/$CF71,AO71/$CK71))),0,IF(EXCERCICE="PA",AO71/$CC71,IF(EXCERCICE="LB1",AO71/$CF71,AO71/$CK71))))</f>
        <v>#REF!</v>
      </c>
      <c r="AU71" s="227"/>
      <c r="AV71" s="11"/>
      <c r="AW71" s="54"/>
      <c r="AX71" s="247"/>
      <c r="AY71" s="98" t="e">
        <f t="shared" ref="AY71" si="257">AY67+AY69</f>
        <v>#REF!</v>
      </c>
      <c r="AZ71" s="297"/>
      <c r="BA71" s="14" t="e">
        <f t="shared" ref="BA71" si="258">BA67+BA69</f>
        <v>#REF!</v>
      </c>
      <c r="BB71" s="108"/>
      <c r="BC71" s="201" t="e">
        <f>IF(mois+2&gt;12,0,IF(ISERROR(IF(EXCERCICE="PA",AY71/$CC71,IF(EXCERCICE="LB1",AY71/$CF71,AY71/$CK71))),0,IF(EXCERCICE="PA",AY71/$CC71,IF(EXCERCICE="LB1",AY71/$CF71,AY71/$CK71))))</f>
        <v>#REF!</v>
      </c>
      <c r="BD71" s="227"/>
      <c r="BE71" s="52"/>
      <c r="BF71" s="54"/>
      <c r="BG71" s="247"/>
      <c r="BH71" s="98" t="e">
        <f>BH67+BH69</f>
        <v>#REF!</v>
      </c>
      <c r="BI71" s="14" t="e">
        <f t="shared" ref="BI71" si="259">BI67+BI69</f>
        <v>#REF!</v>
      </c>
      <c r="BJ71" s="14"/>
      <c r="BK71" s="201" t="e">
        <f>IF(mois+3&gt;12,0,IF(ISERROR(IF(EXCERCICE="PA",BH71/$CC71,IF(EXCERCICE="LB1",BH71/$CF71,BH71/$CK71))),0,IF(EXCERCICE="PA",BH71/$CC71,IF(EXCERCICE="LB1",BH71/$CF71,BH71/$CK71))))</f>
        <v>#REF!</v>
      </c>
      <c r="BL71" s="227"/>
      <c r="BM71" s="2"/>
      <c r="BN71" s="235" t="e">
        <f>IF(mois&gt;=12,IF(EXCERCICE="PA",CC71-AE71,IF(EXCERCICE="LB1",CF71-AE71,IF(EXCERCICE="LB2",$CK71-AE71))),
IF(mois+1&lt;=13,IF(EXCERCICE="PA",CC71-AO71,IF(EXCERCICE="LB1",CF71-AO71,IF(EXCERCICE="LB2",$CK71-AO71))),
IF(mois+2&lt;=14,IF(EXCERCICE="PA",CC71-AY71,IF(EXCERCICE="LB1",CF71-AY71,IF(EXCERCICE="LB2",$CK71-AY71))),
IF(mois+3&lt;=15,IF(EXCERCICE="PA",CC71-BH71,IF(EXCERCICE="LB1",CF71-BH71,IF(EXCERCICE="LB2",$CK71-BH71))),0))))</f>
        <v>#REF!</v>
      </c>
      <c r="BO71" s="235" t="e">
        <f>IF(BN71&lt;0,0,BN71/(12-mois))</f>
        <v>#REF!</v>
      </c>
      <c r="BP71" s="2"/>
      <c r="BQ71" s="173"/>
      <c r="BR71" s="173"/>
      <c r="BS71" s="173"/>
      <c r="BT71" s="173"/>
      <c r="BU71" s="173"/>
      <c r="BV71" s="173"/>
      <c r="BW71" s="173"/>
      <c r="BX71" s="173"/>
      <c r="BY71" s="173"/>
      <c r="BZ71" s="173"/>
      <c r="CA71" s="173"/>
      <c r="CB71" s="173"/>
      <c r="CC71" s="98"/>
      <c r="CD71" s="210"/>
      <c r="CE71" s="54"/>
      <c r="CF71" s="98"/>
      <c r="CG71" s="127"/>
      <c r="CH71" s="80"/>
      <c r="CI71" s="52"/>
      <c r="CJ71" s="54"/>
      <c r="CK71" s="98"/>
      <c r="CL71" s="127"/>
      <c r="CM71" s="14"/>
    </row>
    <row r="72" spans="2:91" outlineLevel="1" x14ac:dyDescent="0.2">
      <c r="B72" s="56"/>
      <c r="C72" s="57" t="s">
        <v>12</v>
      </c>
      <c r="D72" s="2"/>
      <c r="E72" s="69" t="s">
        <v>89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188" t="s">
        <v>89</v>
      </c>
      <c r="R72" s="2"/>
      <c r="S72" s="69" t="str">
        <f t="shared" ref="S72:AE72" si="260">IF(S58=0,"-",S71/S58)</f>
        <v>-</v>
      </c>
      <c r="T72" s="9" t="str">
        <f t="shared" si="260"/>
        <v>-</v>
      </c>
      <c r="U72" s="9" t="str">
        <f t="shared" si="260"/>
        <v>-</v>
      </c>
      <c r="V72" s="9" t="str">
        <f t="shared" si="260"/>
        <v>-</v>
      </c>
      <c r="W72" s="9" t="str">
        <f t="shared" si="260"/>
        <v>-</v>
      </c>
      <c r="X72" s="9" t="str">
        <f t="shared" si="260"/>
        <v>-</v>
      </c>
      <c r="Y72" s="9" t="str">
        <f t="shared" si="260"/>
        <v>-</v>
      </c>
      <c r="Z72" s="9" t="str">
        <f t="shared" si="260"/>
        <v>-</v>
      </c>
      <c r="AA72" s="9" t="str">
        <f t="shared" si="260"/>
        <v>-</v>
      </c>
      <c r="AB72" s="9" t="str">
        <f t="shared" si="260"/>
        <v>-</v>
      </c>
      <c r="AC72" s="9" t="str">
        <f t="shared" si="260"/>
        <v>-</v>
      </c>
      <c r="AD72" s="9" t="str">
        <f t="shared" si="260"/>
        <v>-</v>
      </c>
      <c r="AE72" s="69" t="str">
        <f t="shared" si="260"/>
        <v>-</v>
      </c>
      <c r="AF72" s="295"/>
      <c r="AG72" s="105" t="str">
        <f t="shared" ref="AG72:AH72" si="261">IF(AG58=0,"-",AG71/AG58)</f>
        <v>-</v>
      </c>
      <c r="AH72" s="105" t="e">
        <f t="shared" si="261"/>
        <v>#REF!</v>
      </c>
      <c r="AI72" s="105"/>
      <c r="AJ72" s="212"/>
      <c r="AK72" s="212"/>
      <c r="AL72" s="58"/>
      <c r="AM72" s="11"/>
      <c r="AN72" s="244"/>
      <c r="AO72" s="69" t="e">
        <f t="shared" ref="AO72" si="262">IF(AO58=0,"-",AO71/AO58)</f>
        <v>#REF!</v>
      </c>
      <c r="AP72" s="295"/>
      <c r="AQ72" s="105" t="e">
        <f t="shared" ref="AQ72" si="263">IF(AQ58=0,"-",AQ71/AQ58)</f>
        <v>#REF!</v>
      </c>
      <c r="AR72" s="9"/>
      <c r="AS72" s="105"/>
      <c r="AT72" s="212"/>
      <c r="AU72" s="221"/>
      <c r="AV72" s="11"/>
      <c r="AW72" s="11"/>
      <c r="AX72" s="244"/>
      <c r="AY72" s="69" t="e">
        <f t="shared" ref="AY72" si="264">IF(AY58=0,"-",AY71/AY58)</f>
        <v>#REF!</v>
      </c>
      <c r="AZ72" s="295"/>
      <c r="BA72" s="9" t="e">
        <f t="shared" ref="BA72" si="265">IF(BA58=0,"-",BA71/BA58)</f>
        <v>#REF!</v>
      </c>
      <c r="BB72" s="105"/>
      <c r="BC72" s="212"/>
      <c r="BD72" s="221"/>
      <c r="BE72" s="58"/>
      <c r="BF72" s="11"/>
      <c r="BG72" s="244"/>
      <c r="BH72" s="69" t="e">
        <f t="shared" ref="BH72:BI72" si="266">IF(BH58=0,"-",BH71/BH58)</f>
        <v>#REF!</v>
      </c>
      <c r="BI72" s="9" t="e">
        <f t="shared" si="266"/>
        <v>#REF!</v>
      </c>
      <c r="BJ72" s="9"/>
      <c r="BK72" s="212"/>
      <c r="BL72" s="221"/>
      <c r="BM72" s="2"/>
      <c r="BN72" s="232"/>
      <c r="BO72" s="232"/>
      <c r="BP72" s="2"/>
      <c r="BQ72" s="173"/>
      <c r="BR72" s="173"/>
      <c r="BS72" s="173"/>
      <c r="BT72" s="173"/>
      <c r="BU72" s="173"/>
      <c r="BV72" s="173"/>
      <c r="BW72" s="173"/>
      <c r="BX72" s="173"/>
      <c r="BY72" s="173"/>
      <c r="BZ72" s="173"/>
      <c r="CA72" s="173"/>
      <c r="CB72" s="173"/>
      <c r="CC72" s="69"/>
      <c r="CD72" s="203"/>
      <c r="CE72" s="11"/>
      <c r="CF72" s="69"/>
      <c r="CG72" s="135"/>
      <c r="CH72" s="69"/>
      <c r="CI72" s="58"/>
      <c r="CJ72" s="11"/>
      <c r="CK72" s="69"/>
      <c r="CL72" s="135"/>
      <c r="CM72" s="10"/>
    </row>
    <row r="73" spans="2:91" outlineLevel="1" x14ac:dyDescent="0.2">
      <c r="B73" s="56"/>
      <c r="C73" s="70"/>
      <c r="D73" s="2"/>
      <c r="E73" s="58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89"/>
      <c r="R73" s="2"/>
      <c r="S73" s="58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58"/>
      <c r="AF73" s="296"/>
      <c r="AG73" s="106"/>
      <c r="AH73" s="106"/>
      <c r="AI73" s="106"/>
      <c r="AJ73" s="198"/>
      <c r="AK73" s="198"/>
      <c r="AL73" s="58"/>
      <c r="AM73" s="11"/>
      <c r="AN73" s="245"/>
      <c r="AO73" s="58"/>
      <c r="AP73" s="296"/>
      <c r="AQ73" s="106"/>
      <c r="AR73" s="71"/>
      <c r="AS73" s="106"/>
      <c r="AT73" s="198"/>
      <c r="AU73" s="225"/>
      <c r="AV73" s="11"/>
      <c r="AW73" s="11"/>
      <c r="AX73" s="245"/>
      <c r="AY73" s="58"/>
      <c r="AZ73" s="296"/>
      <c r="BA73" s="71"/>
      <c r="BB73" s="106"/>
      <c r="BC73" s="198"/>
      <c r="BD73" s="225"/>
      <c r="BE73" s="58"/>
      <c r="BF73" s="11"/>
      <c r="BG73" s="245"/>
      <c r="BH73" s="58"/>
      <c r="BI73" s="11"/>
      <c r="BJ73" s="11"/>
      <c r="BK73" s="198"/>
      <c r="BL73" s="225"/>
      <c r="BM73" s="2"/>
      <c r="BN73" s="233"/>
      <c r="BO73" s="233"/>
      <c r="BP73" s="2"/>
      <c r="BQ73" s="173"/>
      <c r="BR73" s="173"/>
      <c r="BS73" s="173"/>
      <c r="BT73" s="173"/>
      <c r="BU73" s="173"/>
      <c r="BV73" s="173"/>
      <c r="BW73" s="173"/>
      <c r="BX73" s="173"/>
      <c r="BY73" s="173"/>
      <c r="BZ73" s="173"/>
      <c r="CA73" s="173"/>
      <c r="CB73" s="173"/>
      <c r="CC73" s="133"/>
      <c r="CD73" s="203"/>
      <c r="CE73" s="11"/>
      <c r="CF73" s="133"/>
      <c r="CG73" s="135"/>
      <c r="CH73" s="135"/>
      <c r="CI73" s="58"/>
      <c r="CJ73" s="11"/>
      <c r="CK73" s="133"/>
      <c r="CL73" s="135"/>
      <c r="CM73" s="154"/>
    </row>
    <row r="74" spans="2:91" outlineLevel="1" x14ac:dyDescent="0.2">
      <c r="B74" s="72"/>
      <c r="C74" s="73" t="s">
        <v>14</v>
      </c>
      <c r="D74" s="74"/>
      <c r="E74" s="97">
        <v>0</v>
      </c>
      <c r="F74" s="171">
        <v>0</v>
      </c>
      <c r="G74" s="171">
        <v>0</v>
      </c>
      <c r="H74" s="171">
        <v>0</v>
      </c>
      <c r="I74" s="171">
        <v>0</v>
      </c>
      <c r="J74" s="171">
        <v>0</v>
      </c>
      <c r="K74" s="171">
        <v>0</v>
      </c>
      <c r="L74" s="171">
        <v>0</v>
      </c>
      <c r="M74" s="171">
        <v>0</v>
      </c>
      <c r="N74" s="171">
        <v>0</v>
      </c>
      <c r="O74" s="171">
        <v>0</v>
      </c>
      <c r="P74" s="172">
        <v>0</v>
      </c>
      <c r="Q74" s="190">
        <v>0</v>
      </c>
      <c r="R74" s="74"/>
      <c r="S74" s="97">
        <f t="shared" ref="S74:AD74" si="267">IF(ISERROR(VLOOKUP(CONCATENATE($B$50,S$5),TBCA,19,FALSE)/1000),0,VLOOKUP(CONCATENATE($B$50,S$5),TBCA,19,FALSE)/1000)</f>
        <v>0</v>
      </c>
      <c r="T74" s="171">
        <f t="shared" si="267"/>
        <v>0</v>
      </c>
      <c r="U74" s="171">
        <f t="shared" si="267"/>
        <v>0</v>
      </c>
      <c r="V74" s="171">
        <f t="shared" si="267"/>
        <v>0</v>
      </c>
      <c r="W74" s="171">
        <f t="shared" si="267"/>
        <v>0</v>
      </c>
      <c r="X74" s="171">
        <f t="shared" si="267"/>
        <v>0</v>
      </c>
      <c r="Y74" s="171">
        <f t="shared" si="267"/>
        <v>0</v>
      </c>
      <c r="Z74" s="171">
        <f t="shared" si="267"/>
        <v>0</v>
      </c>
      <c r="AA74" s="171">
        <f t="shared" si="267"/>
        <v>0</v>
      </c>
      <c r="AB74" s="171">
        <f t="shared" si="267"/>
        <v>0</v>
      </c>
      <c r="AC74" s="171">
        <f t="shared" si="267"/>
        <v>0</v>
      </c>
      <c r="AD74" s="172">
        <f t="shared" si="267"/>
        <v>0</v>
      </c>
      <c r="AE74" s="97">
        <f t="shared" ref="AE74:AE79" si="268">SUMIF($S$5:$AD$5,"&lt;="&amp;mois,S74:AD74)</f>
        <v>0</v>
      </c>
      <c r="AF74" s="292"/>
      <c r="AG74" s="107">
        <f t="shared" ref="AG74:AG79" si="269">AE74-AF74</f>
        <v>0</v>
      </c>
      <c r="AH74" s="107" t="e">
        <f t="shared" ref="AH74:AH80" si="270">IF(EXCERCICE="PA",AE74-($CC74/12*(mois)),IF(EXCERCICE="LB1",AE74-($CF74/12*(mois)),AE74-($CK74/12*(mois))))</f>
        <v>#REF!</v>
      </c>
      <c r="AI74" s="107"/>
      <c r="AJ74" s="215">
        <f t="shared" ref="AJ74:AJ80" si="271">IF(ISERROR(IF(EXCERCICE="PA",AE74/$CC74,IF(EXCERCICE="LB1",AE74/$CF74,AE74/$CK74))),0,IF(EXCERCICE="PA",AE74/$CC74,IF(EXCERCICE="LB1",AE74/$CF74,AE74/$CK74)))</f>
        <v>0</v>
      </c>
      <c r="AK74" s="215"/>
      <c r="AL74" s="75"/>
      <c r="AM74" s="77"/>
      <c r="AN74" s="246"/>
      <c r="AO74" s="97" t="e">
        <f t="shared" ref="AO74:AO79" si="272">IF(mois+1&gt;12,AN74,+$AE74+AN74)</f>
        <v>#REF!</v>
      </c>
      <c r="AP74" s="292"/>
      <c r="AQ74" s="107" t="e">
        <f t="shared" ref="AQ74:AQ80" si="273">AO74-AP74</f>
        <v>#REF!</v>
      </c>
      <c r="AR74" s="78" t="e">
        <f t="shared" ref="AR74:AR79" si="274">IF(mois+1&gt;12,0,IF(mois=12,IF(EXCERCICE="PA",AO74-($CC74/12),IF(EXCERCICE="LB1",AO74-($CF74/12),AO74-($CK74/12))),IF(EXCERCICE="PA",AO74-($CC74/12*(mois+1)),IF(EXCERCICE="LB1",AO74-($CF74/12*(mois+1)),AO74-($CK74/12*(mois+1))))))</f>
        <v>#REF!</v>
      </c>
      <c r="AS74" s="180"/>
      <c r="AT74" s="215" t="e">
        <f t="shared" ref="AT74:AT80" si="275">IF(mois+1&gt;12,0,IF(ISERROR(IF(EXCERCICE="PA",AO74/$CC74,IF(EXCERCICE="LB1",AO74/$CF74,AO74/$CK74))),0,IF(EXCERCICE="PA",AO74/$CC74,IF(EXCERCICE="LB1",AO74/$CF74,AO74/$CK74))))</f>
        <v>#REF!</v>
      </c>
      <c r="AU74" s="226"/>
      <c r="AV74" s="11"/>
      <c r="AW74" s="77"/>
      <c r="AX74" s="246"/>
      <c r="AY74" s="97" t="e">
        <f t="shared" ref="AY74:AY79" si="276">IF(mois+2=13,AX74,IF(mois+2&gt;14,AX74,$AO74+AX74))</f>
        <v>#REF!</v>
      </c>
      <c r="AZ74" s="292"/>
      <c r="BA74" s="78" t="e">
        <f t="shared" ref="BA74:BA79" si="277">IF(mois+2&gt;12,0,IF(mois=12,IF(EXCERCICE="PA",AY74-($CC74/12),IF(EXCERCICE="LB1",AY74-($CF74/12),AY74-($CK74/12))),IF(EXCERCICE="PA",AY74-($CC74/12*(mois+2)),IF(EXCERCICE="LB1",AY74-($CF74/12*(mois+2)),AY74-($CK74/12*(mois+2))))))</f>
        <v>#REF!</v>
      </c>
      <c r="BB74" s="180"/>
      <c r="BC74" s="215" t="e">
        <f t="shared" ref="BC74:BC80" si="278">IF(mois+2&gt;12,0,IF(ISERROR(IF(EXCERCICE="PA",AY74/$CC74,IF(EXCERCICE="LB1",AY74/$CF74,AY74/$CK74))),0,IF(EXCERCICE="PA",AY74/$CC74,IF(EXCERCICE="LB1",AY74/$CF74,AY74/$CK74))))</f>
        <v>#REF!</v>
      </c>
      <c r="BD74" s="226"/>
      <c r="BE74" s="75"/>
      <c r="BF74" s="77"/>
      <c r="BG74" s="246"/>
      <c r="BH74" s="97" t="e">
        <f t="shared" ref="BH74:BH79" si="279">IF(mois+3=13,BG74,IF(mois+3&gt;15,BG74,+$AY74+BG74))</f>
        <v>#REF!</v>
      </c>
      <c r="BI74" s="78" t="e">
        <f t="shared" ref="BI74:BI79" si="280">IF(mois+3&gt;12,0,IF(mois=12,IF(EXCERCICE="PA",BH74-($CC74/12),IF(EXCERCICE="LB1",BH74-($CF74/12),BH74-($CK74/12))),IF(EXCERCICE="PA",BH74-($CC74/12*(mois+3)),IF(EXCERCICE="LB1",BH74-($CF74/12*(mois+3)),BH74-($CK74/12*(mois+3))))))</f>
        <v>#REF!</v>
      </c>
      <c r="BJ74" s="78"/>
      <c r="BK74" s="215" t="e">
        <f t="shared" ref="BK74:BK80" si="281">IF(mois+3&gt;12,0,IF(ISERROR(IF(EXCERCICE="PA",BH74/$CC74,IF(EXCERCICE="LB1",BH74/$CF74,BH74/$CK74))),0,IF(EXCERCICE="PA",BH74/$CC74,IF(EXCERCICE="LB1",BH74/$CF74,BH74/$CK74))))</f>
        <v>#REF!</v>
      </c>
      <c r="BL74" s="226"/>
      <c r="BM74" s="2"/>
      <c r="BN74" s="234" t="e">
        <f t="shared" ref="BN74:BN80" si="282">IF(mois&gt;=12,IF(EXCERCICE="PA",CC74-AE74,IF(EXCERCICE="LB1",CF74-AE74,IF(EXCERCICE="LB2",$CK74-AE74))),
IF(mois+1&lt;=13,IF(EXCERCICE="PA",CC74-AO74,IF(EXCERCICE="LB1",CF74-AO74,IF(EXCERCICE="LB2",$CK74-AO74))),
IF(mois+2&lt;=14,IF(EXCERCICE="PA",CC74-AY74,IF(EXCERCICE="LB1",CF74-AY74,IF(EXCERCICE="LB2",$CK74-AY74))),
IF(mois+3&lt;=15,IF(EXCERCICE="PA",CC74-BH74,IF(EXCERCICE="LB1",CF74-BH74,IF(EXCERCICE="LB2",$CK74-BH74))),0))))</f>
        <v>#REF!</v>
      </c>
      <c r="BO74" s="234" t="e">
        <f t="shared" ref="BO74:BO80" si="283">IF(BN74&lt;0,0,BN74/(12-mois))</f>
        <v>#REF!</v>
      </c>
      <c r="BP74" s="2"/>
      <c r="BQ74" s="173"/>
      <c r="BR74" s="173"/>
      <c r="BS74" s="173"/>
      <c r="BT74" s="173"/>
      <c r="BU74" s="173"/>
      <c r="BV74" s="173"/>
      <c r="BW74" s="173"/>
      <c r="BX74" s="173"/>
      <c r="BY74" s="173"/>
      <c r="BZ74" s="173"/>
      <c r="CA74" s="173"/>
      <c r="CB74" s="173"/>
      <c r="CC74" s="97"/>
      <c r="CD74" s="203"/>
      <c r="CE74" s="77"/>
      <c r="CF74" s="97"/>
      <c r="CG74" s="125"/>
      <c r="CH74" s="76"/>
      <c r="CI74" s="75"/>
      <c r="CJ74" s="77"/>
      <c r="CK74" s="97"/>
      <c r="CL74" s="125"/>
      <c r="CM74" s="78"/>
    </row>
    <row r="75" spans="2:91" outlineLevel="1" x14ac:dyDescent="0.2">
      <c r="B75" s="72"/>
      <c r="C75" s="73" t="s">
        <v>15</v>
      </c>
      <c r="D75" s="74"/>
      <c r="E75" s="97">
        <v>0</v>
      </c>
      <c r="F75" s="171">
        <v>0</v>
      </c>
      <c r="G75" s="171">
        <v>0</v>
      </c>
      <c r="H75" s="171">
        <v>0</v>
      </c>
      <c r="I75" s="171">
        <v>0</v>
      </c>
      <c r="J75" s="171">
        <v>0</v>
      </c>
      <c r="K75" s="171">
        <v>0</v>
      </c>
      <c r="L75" s="171">
        <v>0</v>
      </c>
      <c r="M75" s="171">
        <v>0</v>
      </c>
      <c r="N75" s="171">
        <v>0</v>
      </c>
      <c r="O75" s="171">
        <v>0</v>
      </c>
      <c r="P75" s="172">
        <v>0</v>
      </c>
      <c r="Q75" s="190">
        <v>0</v>
      </c>
      <c r="R75" s="74"/>
      <c r="S75" s="97">
        <f t="shared" ref="S75:AD75" si="284">IF(ISERROR(VLOOKUP(CONCATENATE($B$50,S$5),TBCA,20,FALSE)/1000),0,VLOOKUP(CONCATENATE($B$50,S$5),TBCA,20,FALSE)/1000)</f>
        <v>0</v>
      </c>
      <c r="T75" s="171">
        <f t="shared" si="284"/>
        <v>0</v>
      </c>
      <c r="U75" s="171">
        <f t="shared" si="284"/>
        <v>0</v>
      </c>
      <c r="V75" s="171">
        <f t="shared" si="284"/>
        <v>0</v>
      </c>
      <c r="W75" s="171">
        <f t="shared" si="284"/>
        <v>0</v>
      </c>
      <c r="X75" s="171">
        <f t="shared" si="284"/>
        <v>0</v>
      </c>
      <c r="Y75" s="171">
        <f t="shared" si="284"/>
        <v>0</v>
      </c>
      <c r="Z75" s="171">
        <f t="shared" si="284"/>
        <v>0</v>
      </c>
      <c r="AA75" s="171">
        <f t="shared" si="284"/>
        <v>0</v>
      </c>
      <c r="AB75" s="171">
        <f t="shared" si="284"/>
        <v>0</v>
      </c>
      <c r="AC75" s="171">
        <f t="shared" si="284"/>
        <v>0</v>
      </c>
      <c r="AD75" s="172">
        <f t="shared" si="284"/>
        <v>0</v>
      </c>
      <c r="AE75" s="97">
        <f t="shared" si="268"/>
        <v>0</v>
      </c>
      <c r="AF75" s="292"/>
      <c r="AG75" s="107">
        <f t="shared" si="269"/>
        <v>0</v>
      </c>
      <c r="AH75" s="107" t="e">
        <f t="shared" si="270"/>
        <v>#REF!</v>
      </c>
      <c r="AI75" s="107"/>
      <c r="AJ75" s="215">
        <f t="shared" si="271"/>
        <v>0</v>
      </c>
      <c r="AK75" s="215"/>
      <c r="AL75" s="75"/>
      <c r="AM75" s="77"/>
      <c r="AN75" s="246"/>
      <c r="AO75" s="97" t="e">
        <f t="shared" si="272"/>
        <v>#REF!</v>
      </c>
      <c r="AP75" s="292"/>
      <c r="AQ75" s="107" t="e">
        <f t="shared" si="273"/>
        <v>#REF!</v>
      </c>
      <c r="AR75" s="78" t="e">
        <f t="shared" si="274"/>
        <v>#REF!</v>
      </c>
      <c r="AS75" s="180"/>
      <c r="AT75" s="215" t="e">
        <f t="shared" si="275"/>
        <v>#REF!</v>
      </c>
      <c r="AU75" s="226"/>
      <c r="AV75" s="11"/>
      <c r="AW75" s="77"/>
      <c r="AX75" s="246"/>
      <c r="AY75" s="97" t="e">
        <f t="shared" si="276"/>
        <v>#REF!</v>
      </c>
      <c r="AZ75" s="292"/>
      <c r="BA75" s="78" t="e">
        <f t="shared" si="277"/>
        <v>#REF!</v>
      </c>
      <c r="BB75" s="180"/>
      <c r="BC75" s="215" t="e">
        <f t="shared" si="278"/>
        <v>#REF!</v>
      </c>
      <c r="BD75" s="226"/>
      <c r="BE75" s="75"/>
      <c r="BF75" s="77"/>
      <c r="BG75" s="246"/>
      <c r="BH75" s="97" t="e">
        <f t="shared" si="279"/>
        <v>#REF!</v>
      </c>
      <c r="BI75" s="78" t="e">
        <f t="shared" si="280"/>
        <v>#REF!</v>
      </c>
      <c r="BJ75" s="78"/>
      <c r="BK75" s="215" t="e">
        <f t="shared" si="281"/>
        <v>#REF!</v>
      </c>
      <c r="BL75" s="226"/>
      <c r="BM75" s="2"/>
      <c r="BN75" s="234" t="e">
        <f t="shared" si="282"/>
        <v>#REF!</v>
      </c>
      <c r="BO75" s="234" t="e">
        <f t="shared" si="283"/>
        <v>#REF!</v>
      </c>
      <c r="BP75" s="2"/>
      <c r="BQ75" s="173"/>
      <c r="BR75" s="173"/>
      <c r="BS75" s="173"/>
      <c r="BT75" s="173"/>
      <c r="BU75" s="173"/>
      <c r="BV75" s="173"/>
      <c r="BW75" s="173"/>
      <c r="BX75" s="173"/>
      <c r="BY75" s="173"/>
      <c r="BZ75" s="173"/>
      <c r="CA75" s="173"/>
      <c r="CB75" s="173"/>
      <c r="CC75" s="97"/>
      <c r="CD75" s="203"/>
      <c r="CE75" s="77"/>
      <c r="CF75" s="97"/>
      <c r="CG75" s="125"/>
      <c r="CH75" s="76"/>
      <c r="CI75" s="75"/>
      <c r="CJ75" s="77"/>
      <c r="CK75" s="97"/>
      <c r="CL75" s="125"/>
      <c r="CM75" s="78"/>
    </row>
    <row r="76" spans="2:91" outlineLevel="1" x14ac:dyDescent="0.2">
      <c r="B76" s="72"/>
      <c r="C76" s="73" t="s">
        <v>16</v>
      </c>
      <c r="D76" s="74"/>
      <c r="E76" s="97">
        <v>0</v>
      </c>
      <c r="F76" s="171">
        <v>0</v>
      </c>
      <c r="G76" s="171">
        <v>0</v>
      </c>
      <c r="H76" s="171">
        <v>0</v>
      </c>
      <c r="I76" s="171">
        <v>0</v>
      </c>
      <c r="J76" s="171">
        <v>0</v>
      </c>
      <c r="K76" s="171">
        <v>0</v>
      </c>
      <c r="L76" s="171">
        <v>0</v>
      </c>
      <c r="M76" s="171">
        <v>0</v>
      </c>
      <c r="N76" s="171">
        <v>0</v>
      </c>
      <c r="O76" s="171">
        <v>0</v>
      </c>
      <c r="P76" s="172">
        <v>0</v>
      </c>
      <c r="Q76" s="190">
        <v>0</v>
      </c>
      <c r="R76" s="74"/>
      <c r="S76" s="97">
        <f t="shared" ref="S76:AD76" si="285">IF(ISERROR(VLOOKUP(CONCATENATE($B$50,S$5),TBCA,21,FALSE)/1000),0,VLOOKUP(CONCATENATE($B$50,S$5),TBCA,21,FALSE)/1000)</f>
        <v>0</v>
      </c>
      <c r="T76" s="171">
        <f t="shared" si="285"/>
        <v>0</v>
      </c>
      <c r="U76" s="171">
        <f t="shared" si="285"/>
        <v>0</v>
      </c>
      <c r="V76" s="171">
        <f t="shared" si="285"/>
        <v>0</v>
      </c>
      <c r="W76" s="171">
        <f t="shared" si="285"/>
        <v>0</v>
      </c>
      <c r="X76" s="171">
        <f t="shared" si="285"/>
        <v>0</v>
      </c>
      <c r="Y76" s="171">
        <f t="shared" si="285"/>
        <v>0</v>
      </c>
      <c r="Z76" s="171">
        <f t="shared" si="285"/>
        <v>0</v>
      </c>
      <c r="AA76" s="171">
        <f t="shared" si="285"/>
        <v>0</v>
      </c>
      <c r="AB76" s="171">
        <f t="shared" si="285"/>
        <v>0</v>
      </c>
      <c r="AC76" s="171">
        <f t="shared" si="285"/>
        <v>0</v>
      </c>
      <c r="AD76" s="172">
        <f t="shared" si="285"/>
        <v>0</v>
      </c>
      <c r="AE76" s="97">
        <f t="shared" si="268"/>
        <v>0</v>
      </c>
      <c r="AF76" s="292"/>
      <c r="AG76" s="107">
        <f t="shared" si="269"/>
        <v>0</v>
      </c>
      <c r="AH76" s="107" t="e">
        <f t="shared" si="270"/>
        <v>#REF!</v>
      </c>
      <c r="AI76" s="107"/>
      <c r="AJ76" s="215">
        <f t="shared" si="271"/>
        <v>0</v>
      </c>
      <c r="AK76" s="215"/>
      <c r="AL76" s="75"/>
      <c r="AM76" s="77"/>
      <c r="AN76" s="246"/>
      <c r="AO76" s="97" t="e">
        <f t="shared" si="272"/>
        <v>#REF!</v>
      </c>
      <c r="AP76" s="292"/>
      <c r="AQ76" s="107" t="e">
        <f t="shared" si="273"/>
        <v>#REF!</v>
      </c>
      <c r="AR76" s="78" t="e">
        <f t="shared" si="274"/>
        <v>#REF!</v>
      </c>
      <c r="AS76" s="180"/>
      <c r="AT76" s="215" t="e">
        <f t="shared" si="275"/>
        <v>#REF!</v>
      </c>
      <c r="AU76" s="226"/>
      <c r="AV76" s="11"/>
      <c r="AW76" s="77"/>
      <c r="AX76" s="246"/>
      <c r="AY76" s="97" t="e">
        <f t="shared" si="276"/>
        <v>#REF!</v>
      </c>
      <c r="AZ76" s="292"/>
      <c r="BA76" s="78" t="e">
        <f t="shared" si="277"/>
        <v>#REF!</v>
      </c>
      <c r="BB76" s="180"/>
      <c r="BC76" s="215" t="e">
        <f t="shared" si="278"/>
        <v>#REF!</v>
      </c>
      <c r="BD76" s="226"/>
      <c r="BE76" s="75"/>
      <c r="BF76" s="77"/>
      <c r="BG76" s="246"/>
      <c r="BH76" s="97" t="e">
        <f t="shared" si="279"/>
        <v>#REF!</v>
      </c>
      <c r="BI76" s="78" t="e">
        <f t="shared" si="280"/>
        <v>#REF!</v>
      </c>
      <c r="BJ76" s="78"/>
      <c r="BK76" s="215" t="e">
        <f t="shared" si="281"/>
        <v>#REF!</v>
      </c>
      <c r="BL76" s="226"/>
      <c r="BM76" s="2"/>
      <c r="BN76" s="234" t="e">
        <f t="shared" si="282"/>
        <v>#REF!</v>
      </c>
      <c r="BO76" s="234" t="e">
        <f t="shared" si="283"/>
        <v>#REF!</v>
      </c>
      <c r="BP76" s="2"/>
      <c r="BQ76" s="173"/>
      <c r="BR76" s="173"/>
      <c r="BS76" s="173"/>
      <c r="BT76" s="173"/>
      <c r="BU76" s="173"/>
      <c r="BV76" s="173"/>
      <c r="BW76" s="173"/>
      <c r="BX76" s="173"/>
      <c r="BY76" s="173"/>
      <c r="BZ76" s="173"/>
      <c r="CA76" s="173"/>
      <c r="CB76" s="173"/>
      <c r="CC76" s="97"/>
      <c r="CD76" s="203"/>
      <c r="CE76" s="77"/>
      <c r="CF76" s="97"/>
      <c r="CG76" s="125"/>
      <c r="CH76" s="76"/>
      <c r="CI76" s="75"/>
      <c r="CJ76" s="77"/>
      <c r="CK76" s="97"/>
      <c r="CL76" s="125"/>
      <c r="CM76" s="78"/>
    </row>
    <row r="77" spans="2:91" outlineLevel="1" x14ac:dyDescent="0.2">
      <c r="B77" s="72"/>
      <c r="C77" s="73" t="s">
        <v>17</v>
      </c>
      <c r="D77" s="74"/>
      <c r="E77" s="97">
        <v>0</v>
      </c>
      <c r="F77" s="171">
        <v>0</v>
      </c>
      <c r="G77" s="171">
        <v>0</v>
      </c>
      <c r="H77" s="171">
        <v>0</v>
      </c>
      <c r="I77" s="171">
        <v>0</v>
      </c>
      <c r="J77" s="171">
        <v>0</v>
      </c>
      <c r="K77" s="171">
        <v>0</v>
      </c>
      <c r="L77" s="171">
        <v>0</v>
      </c>
      <c r="M77" s="171">
        <v>0</v>
      </c>
      <c r="N77" s="171">
        <v>0</v>
      </c>
      <c r="O77" s="171">
        <v>0</v>
      </c>
      <c r="P77" s="172">
        <v>0</v>
      </c>
      <c r="Q77" s="190">
        <v>0</v>
      </c>
      <c r="R77" s="74"/>
      <c r="S77" s="97">
        <f t="shared" ref="S77:AD77" si="286">IF(ISERROR(VLOOKUP(CONCATENATE($B$50,S$5),TBCA,22,FALSE)/1000),0,VLOOKUP(CONCATENATE($B$50,S$5),TBCA,22,FALSE)/1000)</f>
        <v>0</v>
      </c>
      <c r="T77" s="171">
        <f t="shared" si="286"/>
        <v>0</v>
      </c>
      <c r="U77" s="171">
        <f t="shared" si="286"/>
        <v>0</v>
      </c>
      <c r="V77" s="171">
        <f t="shared" si="286"/>
        <v>0</v>
      </c>
      <c r="W77" s="171">
        <f t="shared" si="286"/>
        <v>0</v>
      </c>
      <c r="X77" s="171">
        <f t="shared" si="286"/>
        <v>0</v>
      </c>
      <c r="Y77" s="171">
        <f t="shared" si="286"/>
        <v>0</v>
      </c>
      <c r="Z77" s="171">
        <f t="shared" si="286"/>
        <v>0</v>
      </c>
      <c r="AA77" s="171">
        <f t="shared" si="286"/>
        <v>0</v>
      </c>
      <c r="AB77" s="171">
        <f t="shared" si="286"/>
        <v>0</v>
      </c>
      <c r="AC77" s="171">
        <f t="shared" si="286"/>
        <v>0</v>
      </c>
      <c r="AD77" s="172">
        <f t="shared" si="286"/>
        <v>0</v>
      </c>
      <c r="AE77" s="97">
        <f t="shared" si="268"/>
        <v>0</v>
      </c>
      <c r="AF77" s="292"/>
      <c r="AG77" s="107">
        <f t="shared" si="269"/>
        <v>0</v>
      </c>
      <c r="AH77" s="107" t="e">
        <f t="shared" si="270"/>
        <v>#REF!</v>
      </c>
      <c r="AI77" s="107"/>
      <c r="AJ77" s="215">
        <f t="shared" si="271"/>
        <v>0</v>
      </c>
      <c r="AK77" s="215"/>
      <c r="AL77" s="75"/>
      <c r="AM77" s="77"/>
      <c r="AN77" s="246"/>
      <c r="AO77" s="97" t="e">
        <f t="shared" si="272"/>
        <v>#REF!</v>
      </c>
      <c r="AP77" s="292"/>
      <c r="AQ77" s="107" t="e">
        <f t="shared" si="273"/>
        <v>#REF!</v>
      </c>
      <c r="AR77" s="78" t="e">
        <f t="shared" si="274"/>
        <v>#REF!</v>
      </c>
      <c r="AS77" s="180"/>
      <c r="AT77" s="215" t="e">
        <f t="shared" si="275"/>
        <v>#REF!</v>
      </c>
      <c r="AU77" s="226"/>
      <c r="AV77" s="11"/>
      <c r="AW77" s="77"/>
      <c r="AX77" s="246"/>
      <c r="AY77" s="97" t="e">
        <f t="shared" si="276"/>
        <v>#REF!</v>
      </c>
      <c r="AZ77" s="292"/>
      <c r="BA77" s="78" t="e">
        <f t="shared" si="277"/>
        <v>#REF!</v>
      </c>
      <c r="BB77" s="180"/>
      <c r="BC77" s="215" t="e">
        <f t="shared" si="278"/>
        <v>#REF!</v>
      </c>
      <c r="BD77" s="226"/>
      <c r="BE77" s="75"/>
      <c r="BF77" s="77"/>
      <c r="BG77" s="246"/>
      <c r="BH77" s="97" t="e">
        <f t="shared" si="279"/>
        <v>#REF!</v>
      </c>
      <c r="BI77" s="78" t="e">
        <f t="shared" si="280"/>
        <v>#REF!</v>
      </c>
      <c r="BJ77" s="78"/>
      <c r="BK77" s="215" t="e">
        <f t="shared" si="281"/>
        <v>#REF!</v>
      </c>
      <c r="BL77" s="226"/>
      <c r="BM77" s="2"/>
      <c r="BN77" s="234" t="e">
        <f t="shared" si="282"/>
        <v>#REF!</v>
      </c>
      <c r="BO77" s="234" t="e">
        <f t="shared" si="283"/>
        <v>#REF!</v>
      </c>
      <c r="BP77" s="2"/>
      <c r="BQ77" s="173"/>
      <c r="BR77" s="173"/>
      <c r="BS77" s="173"/>
      <c r="BT77" s="173"/>
      <c r="BU77" s="173"/>
      <c r="BV77" s="173"/>
      <c r="BW77" s="173"/>
      <c r="BX77" s="173"/>
      <c r="BY77" s="173"/>
      <c r="BZ77" s="173"/>
      <c r="CA77" s="173"/>
      <c r="CB77" s="173"/>
      <c r="CC77" s="97"/>
      <c r="CD77" s="203"/>
      <c r="CE77" s="77"/>
      <c r="CF77" s="97"/>
      <c r="CG77" s="125"/>
      <c r="CH77" s="76"/>
      <c r="CI77" s="75"/>
      <c r="CJ77" s="77"/>
      <c r="CK77" s="97"/>
      <c r="CL77" s="125"/>
      <c r="CM77" s="78"/>
    </row>
    <row r="78" spans="2:91" outlineLevel="1" x14ac:dyDescent="0.2">
      <c r="B78" s="72"/>
      <c r="C78" s="73" t="s">
        <v>18</v>
      </c>
      <c r="D78" s="74"/>
      <c r="E78" s="97">
        <v>0</v>
      </c>
      <c r="F78" s="171">
        <v>0</v>
      </c>
      <c r="G78" s="171">
        <v>0</v>
      </c>
      <c r="H78" s="171">
        <v>0</v>
      </c>
      <c r="I78" s="171">
        <v>0</v>
      </c>
      <c r="J78" s="171">
        <v>0</v>
      </c>
      <c r="K78" s="171">
        <v>0</v>
      </c>
      <c r="L78" s="171">
        <v>0</v>
      </c>
      <c r="M78" s="171">
        <v>0</v>
      </c>
      <c r="N78" s="171">
        <v>0</v>
      </c>
      <c r="O78" s="171">
        <v>0</v>
      </c>
      <c r="P78" s="172">
        <v>0</v>
      </c>
      <c r="Q78" s="190">
        <v>0</v>
      </c>
      <c r="R78" s="74"/>
      <c r="S78" s="97">
        <f t="shared" ref="S78:AD78" si="287">IF(ISERROR(VLOOKUP(CONCATENATE($B$50,S$5),TBCA,23,FALSE)/1000),0,VLOOKUP(CONCATENATE($B$50,S$5),TBCA,23,FALSE)/1000)</f>
        <v>0</v>
      </c>
      <c r="T78" s="171">
        <f t="shared" si="287"/>
        <v>0</v>
      </c>
      <c r="U78" s="171">
        <f t="shared" si="287"/>
        <v>0</v>
      </c>
      <c r="V78" s="171">
        <f t="shared" si="287"/>
        <v>0</v>
      </c>
      <c r="W78" s="171">
        <f t="shared" si="287"/>
        <v>0</v>
      </c>
      <c r="X78" s="171">
        <f t="shared" si="287"/>
        <v>0</v>
      </c>
      <c r="Y78" s="171">
        <f t="shared" si="287"/>
        <v>0</v>
      </c>
      <c r="Z78" s="171">
        <f t="shared" si="287"/>
        <v>0</v>
      </c>
      <c r="AA78" s="171">
        <f t="shared" si="287"/>
        <v>0</v>
      </c>
      <c r="AB78" s="171">
        <f t="shared" si="287"/>
        <v>0</v>
      </c>
      <c r="AC78" s="171">
        <f t="shared" si="287"/>
        <v>0</v>
      </c>
      <c r="AD78" s="172">
        <f t="shared" si="287"/>
        <v>0</v>
      </c>
      <c r="AE78" s="97">
        <f t="shared" si="268"/>
        <v>0</v>
      </c>
      <c r="AF78" s="292"/>
      <c r="AG78" s="107">
        <f>AE78-AF78</f>
        <v>0</v>
      </c>
      <c r="AH78" s="107" t="e">
        <f t="shared" si="270"/>
        <v>#REF!</v>
      </c>
      <c r="AI78" s="107"/>
      <c r="AJ78" s="215">
        <f t="shared" si="271"/>
        <v>0</v>
      </c>
      <c r="AK78" s="215"/>
      <c r="AL78" s="75"/>
      <c r="AM78" s="77"/>
      <c r="AN78" s="246"/>
      <c r="AO78" s="97" t="e">
        <f t="shared" si="272"/>
        <v>#REF!</v>
      </c>
      <c r="AP78" s="292"/>
      <c r="AQ78" s="107" t="e">
        <f t="shared" si="273"/>
        <v>#REF!</v>
      </c>
      <c r="AR78" s="78" t="e">
        <f t="shared" si="274"/>
        <v>#REF!</v>
      </c>
      <c r="AS78" s="180"/>
      <c r="AT78" s="215" t="e">
        <f t="shared" si="275"/>
        <v>#REF!</v>
      </c>
      <c r="AU78" s="226"/>
      <c r="AV78" s="11"/>
      <c r="AW78" s="77"/>
      <c r="AX78" s="246"/>
      <c r="AY78" s="97" t="e">
        <f t="shared" si="276"/>
        <v>#REF!</v>
      </c>
      <c r="AZ78" s="292"/>
      <c r="BA78" s="78" t="e">
        <f t="shared" si="277"/>
        <v>#REF!</v>
      </c>
      <c r="BB78" s="180"/>
      <c r="BC78" s="215" t="e">
        <f t="shared" si="278"/>
        <v>#REF!</v>
      </c>
      <c r="BD78" s="226"/>
      <c r="BE78" s="75"/>
      <c r="BF78" s="77"/>
      <c r="BG78" s="246"/>
      <c r="BH78" s="97" t="e">
        <f t="shared" si="279"/>
        <v>#REF!</v>
      </c>
      <c r="BI78" s="78" t="e">
        <f t="shared" si="280"/>
        <v>#REF!</v>
      </c>
      <c r="BJ78" s="78"/>
      <c r="BK78" s="215" t="e">
        <f t="shared" si="281"/>
        <v>#REF!</v>
      </c>
      <c r="BL78" s="226"/>
      <c r="BM78" s="2"/>
      <c r="BN78" s="234" t="e">
        <f t="shared" si="282"/>
        <v>#REF!</v>
      </c>
      <c r="BO78" s="234" t="e">
        <f t="shared" si="283"/>
        <v>#REF!</v>
      </c>
      <c r="BP78" s="2"/>
      <c r="BQ78" s="173"/>
      <c r="BR78" s="173"/>
      <c r="BS78" s="173"/>
      <c r="BT78" s="173"/>
      <c r="BU78" s="173"/>
      <c r="BV78" s="173"/>
      <c r="BW78" s="173"/>
      <c r="BX78" s="173"/>
      <c r="BY78" s="173"/>
      <c r="BZ78" s="173"/>
      <c r="CA78" s="173"/>
      <c r="CB78" s="173"/>
      <c r="CC78" s="97"/>
      <c r="CD78" s="203"/>
      <c r="CE78" s="77"/>
      <c r="CF78" s="97"/>
      <c r="CG78" s="125"/>
      <c r="CH78" s="76"/>
      <c r="CI78" s="75"/>
      <c r="CJ78" s="77"/>
      <c r="CK78" s="97"/>
      <c r="CL78" s="125"/>
      <c r="CM78" s="78"/>
    </row>
    <row r="79" spans="2:91" outlineLevel="1" x14ac:dyDescent="0.2">
      <c r="B79" s="72"/>
      <c r="C79" s="73" t="s">
        <v>19</v>
      </c>
      <c r="D79" s="74"/>
      <c r="E79" s="97">
        <v>0</v>
      </c>
      <c r="F79" s="171">
        <v>0</v>
      </c>
      <c r="G79" s="171">
        <v>0</v>
      </c>
      <c r="H79" s="171">
        <v>0</v>
      </c>
      <c r="I79" s="171">
        <v>0</v>
      </c>
      <c r="J79" s="171">
        <v>0</v>
      </c>
      <c r="K79" s="171">
        <v>0</v>
      </c>
      <c r="L79" s="171">
        <v>0</v>
      </c>
      <c r="M79" s="171">
        <v>0</v>
      </c>
      <c r="N79" s="171">
        <v>0</v>
      </c>
      <c r="O79" s="171">
        <v>0</v>
      </c>
      <c r="P79" s="172">
        <v>0</v>
      </c>
      <c r="Q79" s="190">
        <v>0</v>
      </c>
      <c r="R79" s="74"/>
      <c r="S79" s="97">
        <f t="shared" ref="S79:AD79" si="288">IF(ISERROR(VLOOKUP(CONCATENATE($B$50,S$5),TBCA,24,FALSE)/1000),0,VLOOKUP(CONCATENATE($B$50,S$5),TBCA,24,FALSE)/1000)</f>
        <v>0</v>
      </c>
      <c r="T79" s="171">
        <f t="shared" si="288"/>
        <v>0</v>
      </c>
      <c r="U79" s="171">
        <f t="shared" si="288"/>
        <v>0</v>
      </c>
      <c r="V79" s="171">
        <f t="shared" si="288"/>
        <v>0</v>
      </c>
      <c r="W79" s="171">
        <f t="shared" si="288"/>
        <v>0</v>
      </c>
      <c r="X79" s="171">
        <f t="shared" si="288"/>
        <v>0</v>
      </c>
      <c r="Y79" s="171">
        <f t="shared" si="288"/>
        <v>0</v>
      </c>
      <c r="Z79" s="171">
        <f t="shared" si="288"/>
        <v>0</v>
      </c>
      <c r="AA79" s="171">
        <f t="shared" si="288"/>
        <v>0</v>
      </c>
      <c r="AB79" s="171">
        <f t="shared" si="288"/>
        <v>0</v>
      </c>
      <c r="AC79" s="171">
        <f t="shared" si="288"/>
        <v>0</v>
      </c>
      <c r="AD79" s="172">
        <f t="shared" si="288"/>
        <v>0</v>
      </c>
      <c r="AE79" s="97">
        <f t="shared" si="268"/>
        <v>0</v>
      </c>
      <c r="AF79" s="292"/>
      <c r="AG79" s="107">
        <f t="shared" si="269"/>
        <v>0</v>
      </c>
      <c r="AH79" s="107" t="e">
        <f t="shared" si="270"/>
        <v>#REF!</v>
      </c>
      <c r="AI79" s="107"/>
      <c r="AJ79" s="215">
        <f t="shared" si="271"/>
        <v>0</v>
      </c>
      <c r="AK79" s="215"/>
      <c r="AL79" s="75"/>
      <c r="AM79" s="77"/>
      <c r="AN79" s="246"/>
      <c r="AO79" s="97" t="e">
        <f t="shared" si="272"/>
        <v>#REF!</v>
      </c>
      <c r="AP79" s="292"/>
      <c r="AQ79" s="107" t="e">
        <f t="shared" si="273"/>
        <v>#REF!</v>
      </c>
      <c r="AR79" s="78" t="e">
        <f t="shared" si="274"/>
        <v>#REF!</v>
      </c>
      <c r="AS79" s="180"/>
      <c r="AT79" s="215" t="e">
        <f t="shared" si="275"/>
        <v>#REF!</v>
      </c>
      <c r="AU79" s="226"/>
      <c r="AV79" s="11"/>
      <c r="AW79" s="77"/>
      <c r="AX79" s="246"/>
      <c r="AY79" s="97" t="e">
        <f t="shared" si="276"/>
        <v>#REF!</v>
      </c>
      <c r="AZ79" s="292"/>
      <c r="BA79" s="78" t="e">
        <f t="shared" si="277"/>
        <v>#REF!</v>
      </c>
      <c r="BB79" s="180"/>
      <c r="BC79" s="215" t="e">
        <f t="shared" si="278"/>
        <v>#REF!</v>
      </c>
      <c r="BD79" s="226"/>
      <c r="BE79" s="75"/>
      <c r="BF79" s="77"/>
      <c r="BG79" s="246"/>
      <c r="BH79" s="97" t="e">
        <f t="shared" si="279"/>
        <v>#REF!</v>
      </c>
      <c r="BI79" s="78" t="e">
        <f t="shared" si="280"/>
        <v>#REF!</v>
      </c>
      <c r="BJ79" s="78"/>
      <c r="BK79" s="215" t="e">
        <f t="shared" si="281"/>
        <v>#REF!</v>
      </c>
      <c r="BL79" s="226"/>
      <c r="BM79" s="2"/>
      <c r="BN79" s="234" t="e">
        <f t="shared" si="282"/>
        <v>#REF!</v>
      </c>
      <c r="BO79" s="234" t="e">
        <f t="shared" si="283"/>
        <v>#REF!</v>
      </c>
      <c r="BP79" s="2"/>
      <c r="BQ79" s="173"/>
      <c r="BR79" s="173"/>
      <c r="BS79" s="173"/>
      <c r="BT79" s="173"/>
      <c r="BU79" s="173"/>
      <c r="BV79" s="173"/>
      <c r="BW79" s="173"/>
      <c r="BX79" s="173"/>
      <c r="BY79" s="173"/>
      <c r="BZ79" s="173"/>
      <c r="CA79" s="173"/>
      <c r="CB79" s="173"/>
      <c r="CC79" s="97"/>
      <c r="CD79" s="203"/>
      <c r="CE79" s="77"/>
      <c r="CF79" s="97"/>
      <c r="CG79" s="125"/>
      <c r="CH79" s="76"/>
      <c r="CI79" s="75"/>
      <c r="CJ79" s="77"/>
      <c r="CK79" s="97"/>
      <c r="CL79" s="125"/>
      <c r="CM79" s="78"/>
    </row>
    <row r="80" spans="2:91" outlineLevel="1" x14ac:dyDescent="0.2">
      <c r="B80" s="81"/>
      <c r="C80" s="82" t="s">
        <v>20</v>
      </c>
      <c r="D80" s="83"/>
      <c r="E80" s="99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192">
        <v>0</v>
      </c>
      <c r="R80" s="83"/>
      <c r="S80" s="99">
        <f>SUM(S64,S71,S74:S79)</f>
        <v>0</v>
      </c>
      <c r="T80" s="87">
        <f t="shared" ref="T80:AE80" si="289">SUM(T64,T71,T74:T79)</f>
        <v>0</v>
      </c>
      <c r="U80" s="87">
        <f t="shared" si="289"/>
        <v>0</v>
      </c>
      <c r="V80" s="87">
        <f t="shared" si="289"/>
        <v>0</v>
      </c>
      <c r="W80" s="87">
        <f t="shared" si="289"/>
        <v>0</v>
      </c>
      <c r="X80" s="87">
        <f t="shared" si="289"/>
        <v>0</v>
      </c>
      <c r="Y80" s="87">
        <f t="shared" si="289"/>
        <v>0</v>
      </c>
      <c r="Z80" s="87">
        <f t="shared" si="289"/>
        <v>0</v>
      </c>
      <c r="AA80" s="87">
        <f t="shared" si="289"/>
        <v>0</v>
      </c>
      <c r="AB80" s="87">
        <f t="shared" si="289"/>
        <v>0</v>
      </c>
      <c r="AC80" s="87">
        <f t="shared" si="289"/>
        <v>0</v>
      </c>
      <c r="AD80" s="87">
        <f t="shared" si="289"/>
        <v>0</v>
      </c>
      <c r="AE80" s="99">
        <f t="shared" si="289"/>
        <v>0</v>
      </c>
      <c r="AF80" s="297"/>
      <c r="AG80" s="109">
        <f>AE80-AF80</f>
        <v>0</v>
      </c>
      <c r="AH80" s="109" t="e">
        <f t="shared" si="270"/>
        <v>#REF!</v>
      </c>
      <c r="AI80" s="177">
        <f>IF(ISERROR(AE80/Q80),0,AE80/Q80)</f>
        <v>0</v>
      </c>
      <c r="AJ80" s="177">
        <f t="shared" si="271"/>
        <v>0</v>
      </c>
      <c r="AK80" s="177" t="str">
        <f>IF(ISERROR(AE80/HLOOKUP(mois,$BQ$5:$CB$39,31,FALSE)),"",AE80/HLOOKUP(mois,$BQ$5:$CB$39,31,FALSE))</f>
        <v/>
      </c>
      <c r="AL80" s="84"/>
      <c r="AM80" s="86"/>
      <c r="AN80" s="248"/>
      <c r="AO80" s="99" t="e">
        <f t="shared" ref="AO80" si="290">SUM(AO64,AO71,AO74:AO79)</f>
        <v>#REF!</v>
      </c>
      <c r="AP80" s="297"/>
      <c r="AQ80" s="109" t="e">
        <f t="shared" si="273"/>
        <v>#REF!</v>
      </c>
      <c r="AR80" s="87" t="e">
        <f t="shared" ref="AR80" si="291">SUM(AR64,AR71,AR74:AR79)</f>
        <v>#REF!</v>
      </c>
      <c r="AS80" s="201" t="e">
        <f>IF(AO80=0,0,IF(mois+1&gt;12,AO80/SUMPRODUCT((($S$6:$U$6)&lt;=mois+1)*$S80:$U80),AO80/SUMPRODUCT((($E$5:$P$5)&lt;=mois+1)*$E80:$P80)))</f>
        <v>#REF!</v>
      </c>
      <c r="AT80" s="177" t="e">
        <f t="shared" si="275"/>
        <v>#REF!</v>
      </c>
      <c r="AU80" s="228" t="str">
        <f>IF(ISERROR(AO80/HLOOKUP(mois+1,$BQ$5:$CB$39,31,FALSE)),"",AO80/HLOOKUP(mois+1,$BQ$5:$CB$39,31,FALSE))</f>
        <v/>
      </c>
      <c r="AV80" s="11"/>
      <c r="AW80" s="86"/>
      <c r="AX80" s="248"/>
      <c r="AY80" s="99" t="e">
        <f t="shared" ref="AY80" si="292">SUM(AY64,AY71,AY74:AY79)</f>
        <v>#REF!</v>
      </c>
      <c r="AZ80" s="297"/>
      <c r="BA80" s="87" t="e">
        <f t="shared" ref="BA80" si="293">SUM(BA64,BA71,BA74:BA79)</f>
        <v>#REF!</v>
      </c>
      <c r="BB80" s="177" t="e">
        <f>IF(AY80=0,0,IF(mois+1&gt;12,AY80/SUMPRODUCT((($S$6:$U$6)&lt;=mois+2)*$S80:$U80),AY80/SUMPRODUCT((($E$5:$P$5)&lt;=mois+2)*$E80:$P80)))</f>
        <v>#REF!</v>
      </c>
      <c r="BC80" s="177" t="e">
        <f t="shared" si="278"/>
        <v>#REF!</v>
      </c>
      <c r="BD80" s="228" t="str">
        <f>IF(ISERROR(AY80/HLOOKUP(mois+2,$BQ$5:$CB$39,31,FALSE)),"",AY80/HLOOKUP(mois+2,$BQ$5:$CB$39,31,FALSE))</f>
        <v/>
      </c>
      <c r="BE80" s="84"/>
      <c r="BF80" s="86"/>
      <c r="BG80" s="248"/>
      <c r="BH80" s="99" t="e">
        <f>SUM(BH64,BH71,BH74:BH79)</f>
        <v>#REF!</v>
      </c>
      <c r="BI80" s="87" t="e">
        <f>SUM(BI64,BI71,BI74:BI79)</f>
        <v>#REF!</v>
      </c>
      <c r="BJ80" s="177" t="e">
        <f>IF(BH80=0,0,IF(mois+1&gt;12,BH80/SUMPRODUCT((($S$6:$U$6)&lt;=mois+3)*$S80:$U80),BH80/SUMPRODUCT((($E$5:$P$5)&lt;=mois+3)*$E80:$P80)))</f>
        <v>#REF!</v>
      </c>
      <c r="BK80" s="177" t="e">
        <f t="shared" si="281"/>
        <v>#REF!</v>
      </c>
      <c r="BL80" s="228" t="str">
        <f>IF(ISERROR(BH80/HLOOKUP(mois+3,$BQ$5:$CB$39,31,FALSE)),"",BH80/HLOOKUP(mois+3,$BQ$5:$CB$39,31,FALSE))</f>
        <v/>
      </c>
      <c r="BM80" s="2"/>
      <c r="BN80" s="132" t="e">
        <f t="shared" si="282"/>
        <v>#REF!</v>
      </c>
      <c r="BO80" s="132" t="e">
        <f t="shared" si="283"/>
        <v>#REF!</v>
      </c>
      <c r="BP80" s="2"/>
      <c r="BQ80" s="196"/>
      <c r="BR80" s="196"/>
      <c r="BS80" s="196"/>
      <c r="BT80" s="196"/>
      <c r="BU80" s="196"/>
      <c r="BV80" s="196"/>
      <c r="BW80" s="196"/>
      <c r="BX80" s="196"/>
      <c r="BY80" s="196"/>
      <c r="BZ80" s="196"/>
      <c r="CA80" s="196"/>
      <c r="CB80" s="196"/>
      <c r="CC80" s="99"/>
      <c r="CD80" s="210"/>
      <c r="CE80" s="86"/>
      <c r="CF80" s="99"/>
      <c r="CG80" s="127"/>
      <c r="CH80" s="85"/>
      <c r="CI80" s="84"/>
      <c r="CJ80" s="86"/>
      <c r="CK80" s="99"/>
      <c r="CL80" s="127"/>
      <c r="CM80" s="87"/>
    </row>
    <row r="81" spans="2:91" outlineLevel="1" x14ac:dyDescent="0.2">
      <c r="B81" s="60"/>
      <c r="C81" s="257" t="s">
        <v>12</v>
      </c>
      <c r="E81" s="61" t="s">
        <v>89</v>
      </c>
      <c r="F81" s="7" t="s">
        <v>89</v>
      </c>
      <c r="G81" s="7" t="s">
        <v>89</v>
      </c>
      <c r="H81" s="7" t="s">
        <v>89</v>
      </c>
      <c r="I81" s="7" t="s">
        <v>89</v>
      </c>
      <c r="J81" s="7" t="s">
        <v>89</v>
      </c>
      <c r="K81" s="7" t="s">
        <v>89</v>
      </c>
      <c r="L81" s="7" t="s">
        <v>89</v>
      </c>
      <c r="M81" s="7" t="s">
        <v>89</v>
      </c>
      <c r="N81" s="7" t="s">
        <v>89</v>
      </c>
      <c r="O81" s="7" t="s">
        <v>89</v>
      </c>
      <c r="P81" s="7" t="s">
        <v>89</v>
      </c>
      <c r="Q81" s="186" t="s">
        <v>89</v>
      </c>
      <c r="S81" s="61" t="str">
        <f t="shared" ref="S81:AE81" si="294">IF(S58=0,"-",S80/S58)</f>
        <v>-</v>
      </c>
      <c r="T81" s="7" t="str">
        <f t="shared" si="294"/>
        <v>-</v>
      </c>
      <c r="U81" s="7" t="str">
        <f t="shared" si="294"/>
        <v>-</v>
      </c>
      <c r="V81" s="7" t="str">
        <f t="shared" si="294"/>
        <v>-</v>
      </c>
      <c r="W81" s="7" t="str">
        <f t="shared" si="294"/>
        <v>-</v>
      </c>
      <c r="X81" s="7" t="str">
        <f t="shared" si="294"/>
        <v>-</v>
      </c>
      <c r="Y81" s="7" t="str">
        <f t="shared" si="294"/>
        <v>-</v>
      </c>
      <c r="Z81" s="7" t="str">
        <f t="shared" si="294"/>
        <v>-</v>
      </c>
      <c r="AA81" s="7" t="str">
        <f t="shared" si="294"/>
        <v>-</v>
      </c>
      <c r="AB81" s="7" t="str">
        <f t="shared" si="294"/>
        <v>-</v>
      </c>
      <c r="AC81" s="7" t="str">
        <f t="shared" si="294"/>
        <v>-</v>
      </c>
      <c r="AD81" s="62" t="str">
        <f t="shared" si="294"/>
        <v>-</v>
      </c>
      <c r="AE81" s="61" t="str">
        <f t="shared" si="294"/>
        <v>-</v>
      </c>
      <c r="AF81" s="293"/>
      <c r="AG81" s="103" t="str">
        <f>IF(AG58=0,"-",AG80/AG58)</f>
        <v>-</v>
      </c>
      <c r="AH81" s="103" t="e">
        <f>IF(AH58=0,"-",AH80/AH58)</f>
        <v>#REF!</v>
      </c>
      <c r="AI81" s="103"/>
      <c r="AJ81" s="197"/>
      <c r="AK81" s="197"/>
      <c r="AL81" s="58"/>
      <c r="AM81" s="11"/>
      <c r="AN81" s="249"/>
      <c r="AO81" s="61" t="e">
        <f t="shared" ref="AO81" si="295">IF(AO58=0,"-",AO80/AO58)</f>
        <v>#REF!</v>
      </c>
      <c r="AP81" s="293"/>
      <c r="AQ81" s="103" t="e">
        <f t="shared" ref="AQ81:AR81" si="296">IF(AQ58=0,"-",AQ80/AQ58)</f>
        <v>#REF!</v>
      </c>
      <c r="AR81" s="7" t="e">
        <f t="shared" si="296"/>
        <v>#REF!</v>
      </c>
      <c r="AS81" s="103"/>
      <c r="AT81" s="197"/>
      <c r="AU81" s="222"/>
      <c r="AV81" s="11"/>
      <c r="AW81" s="11"/>
      <c r="AX81" s="249"/>
      <c r="AY81" s="61" t="e">
        <f t="shared" ref="AY81" si="297">IF(AY58=0,"-",AY80/AY58)</f>
        <v>#REF!</v>
      </c>
      <c r="AZ81" s="293"/>
      <c r="BA81" s="7" t="e">
        <f t="shared" ref="BA81" si="298">IF(BA58=0,"-",BA80/BA58)</f>
        <v>#REF!</v>
      </c>
      <c r="BB81" s="103"/>
      <c r="BC81" s="197"/>
      <c r="BD81" s="222"/>
      <c r="BE81" s="58"/>
      <c r="BF81" s="11"/>
      <c r="BG81" s="249"/>
      <c r="BH81" s="61" t="e">
        <f>IF(BH58=0,"-",BH80/BH58)</f>
        <v>#REF!</v>
      </c>
      <c r="BI81" s="7"/>
      <c r="BJ81" s="7"/>
      <c r="BK81" s="197"/>
      <c r="BL81" s="222"/>
      <c r="BM81" s="2"/>
      <c r="BN81" s="63"/>
      <c r="BO81" s="63"/>
      <c r="BP81" s="2"/>
      <c r="BQ81" s="173"/>
      <c r="BR81" s="173"/>
      <c r="BS81" s="173"/>
      <c r="BT81" s="173"/>
      <c r="BU81" s="173"/>
      <c r="BV81" s="173"/>
      <c r="BW81" s="173"/>
      <c r="BX81" s="173"/>
      <c r="BY81" s="173"/>
      <c r="BZ81" s="173"/>
      <c r="CA81" s="173"/>
      <c r="CB81" s="173"/>
      <c r="CC81" s="61"/>
      <c r="CD81" s="204"/>
      <c r="CE81" s="11"/>
      <c r="CF81" s="61"/>
      <c r="CG81" s="134"/>
      <c r="CH81" s="61"/>
      <c r="CI81" s="58"/>
      <c r="CJ81" s="11"/>
      <c r="CK81" s="61"/>
      <c r="CL81" s="134"/>
      <c r="CM81" s="145"/>
    </row>
    <row r="82" spans="2:91" outlineLevel="1" x14ac:dyDescent="0.2">
      <c r="AE82" s="2"/>
    </row>
    <row r="83" spans="2:91" x14ac:dyDescent="0.2">
      <c r="AE83" s="2"/>
    </row>
    <row r="84" spans="2:91" x14ac:dyDescent="0.2">
      <c r="AE84" s="2"/>
    </row>
    <row r="85" spans="2:91" x14ac:dyDescent="0.2">
      <c r="B85" s="251"/>
      <c r="C85" s="252"/>
      <c r="AE85" s="2"/>
    </row>
    <row r="86" spans="2:91" x14ac:dyDescent="0.2">
      <c r="AE86" s="2"/>
    </row>
    <row r="87" spans="2:91" x14ac:dyDescent="0.2">
      <c r="B87" s="49"/>
      <c r="C87" s="50" t="s">
        <v>57</v>
      </c>
      <c r="D87" s="51"/>
      <c r="E87" s="92">
        <f t="shared" ref="E87:P87" si="299">IF(ISERROR(VLOOKUP(CONCATENATE($B85,E$5),TBCHISTORIQUE,7,FALSE)/1000),0,VLOOKUP(CONCATENATE($B85,E$5),TBCHISTORIQUE,7,FALSE)/1000)</f>
        <v>0</v>
      </c>
      <c r="F87" s="93">
        <f t="shared" si="299"/>
        <v>0</v>
      </c>
      <c r="G87" s="93">
        <f t="shared" si="299"/>
        <v>0</v>
      </c>
      <c r="H87" s="93">
        <f t="shared" si="299"/>
        <v>0</v>
      </c>
      <c r="I87" s="93">
        <f t="shared" si="299"/>
        <v>0</v>
      </c>
      <c r="J87" s="93">
        <f t="shared" si="299"/>
        <v>0</v>
      </c>
      <c r="K87" s="93">
        <f t="shared" si="299"/>
        <v>0</v>
      </c>
      <c r="L87" s="93">
        <f t="shared" si="299"/>
        <v>0</v>
      </c>
      <c r="M87" s="93">
        <f t="shared" si="299"/>
        <v>0</v>
      </c>
      <c r="N87" s="93">
        <f t="shared" si="299"/>
        <v>0</v>
      </c>
      <c r="O87" s="93">
        <f t="shared" si="299"/>
        <v>0</v>
      </c>
      <c r="P87" s="94">
        <f t="shared" si="299"/>
        <v>0</v>
      </c>
      <c r="Q87" s="184">
        <f>SUMIF($E$5:$P$5,"&lt;="&amp;mois,E87:P87)</f>
        <v>0</v>
      </c>
      <c r="R87" s="51"/>
      <c r="S87" s="92">
        <f>IF(ISERROR(VLOOKUP(CONCATENATE($B85,S$5),TBCA,7,FALSE)/1000),0,VLOOKUP(CONCATENATE($B85,S$5),TBCA,7,FALSE)/1000)</f>
        <v>0</v>
      </c>
      <c r="T87" s="93">
        <f t="shared" ref="T87:AD87" si="300">IF(ISERROR(VLOOKUP(CONCATENATE($B$85,T$5),TBCA,7,FALSE)/1000),0,VLOOKUP(CONCATENATE($B$85,T$5),TBCA,7,FALSE)/1000)</f>
        <v>0</v>
      </c>
      <c r="U87" s="93">
        <f t="shared" si="300"/>
        <v>0</v>
      </c>
      <c r="V87" s="93">
        <f t="shared" si="300"/>
        <v>0</v>
      </c>
      <c r="W87" s="93">
        <f t="shared" si="300"/>
        <v>0</v>
      </c>
      <c r="X87" s="93">
        <f t="shared" si="300"/>
        <v>0</v>
      </c>
      <c r="Y87" s="93">
        <f t="shared" si="300"/>
        <v>0</v>
      </c>
      <c r="Z87" s="93">
        <f t="shared" si="300"/>
        <v>0</v>
      </c>
      <c r="AA87" s="93">
        <f t="shared" si="300"/>
        <v>0</v>
      </c>
      <c r="AB87" s="93">
        <f t="shared" si="300"/>
        <v>0</v>
      </c>
      <c r="AC87" s="93">
        <f t="shared" si="300"/>
        <v>0</v>
      </c>
      <c r="AD87" s="94">
        <f t="shared" si="300"/>
        <v>0</v>
      </c>
      <c r="AE87" s="92">
        <f>SUMIF($S$5:$AD$5,"&lt;="&amp;mois,S87:AD87)</f>
        <v>0</v>
      </c>
      <c r="AF87" s="291"/>
      <c r="AG87" s="101">
        <f>AE87-AF87</f>
        <v>0</v>
      </c>
      <c r="AH87" s="101" t="e">
        <f>IF(EXCERCICE="PA",AE87-($CC87/12*(mois)),IF(EXCERCICE="LB1",AE87-($CF87/12*(mois)),AE87-($CK87/12*(mois))))</f>
        <v>#REF!</v>
      </c>
      <c r="AI87" s="174">
        <f>IF(ISERROR(AE87/Q87),0,AE87/Q87)</f>
        <v>0</v>
      </c>
      <c r="AJ87" s="213">
        <f>IF(ISERROR(IF(EXCERCICE="PA",AE87/$CC87,IF(EXCERCICE="LB1",AE87/$CF87,AE87/$CK87))),0,IF(EXCERCICE="PA",AE87/$CC87,IF(EXCERCICE="LB1",AE87/$CF87,AE87/$CK87)))</f>
        <v>0</v>
      </c>
      <c r="AK87" s="213" t="str">
        <f>IF(ISERROR(AE87/HLOOKUP(mois,$BQ$5:$CB$39,3,FALSE)),"",AE87/HLOOKUP(mois,$BQ$5:$CB$39,3,FALSE))</f>
        <v/>
      </c>
      <c r="AL87" s="52"/>
      <c r="AM87" s="54"/>
      <c r="AN87" s="242"/>
      <c r="AO87" s="92" t="e">
        <f>IF(mois+1&gt;12,AN87,+$AE87+AN87)</f>
        <v>#REF!</v>
      </c>
      <c r="AP87" s="291"/>
      <c r="AQ87" s="101" t="e">
        <f>AO87-AP87</f>
        <v>#REF!</v>
      </c>
      <c r="AR87" s="55" t="e">
        <f>IF(mois+1&gt;12,0,IF(mois=12,IF(EXCERCICE="PA",AO87-($CC87/12),IF(EXCERCICE="LB1",AO87-($CF87/12),AO87-($CK87/12))),IF(EXCERCICE="PA",AO87-($CC87/12*(mois+1)),IF(EXCERCICE="LB1",AO87-($CF87/12*(mois+1)),AO87-($CK87/12*(mois+1))))))</f>
        <v>#REF!</v>
      </c>
      <c r="AS87" s="174" t="e">
        <f>IF(AO87=0,0,IF(mois+1&gt;12,AO87/SUMPRODUCT((($S$6:$U$6)&lt;=mois+1)*$S87:$U87),AO87/SUMPRODUCT((($E$5:$P$5)&lt;=mois+1)*$E87:$P87)))</f>
        <v>#REF!</v>
      </c>
      <c r="AT87" s="213" t="e">
        <f>IF(mois+1&gt;12,0,IF(ISERROR(IF(EXCERCICE="PA",AO87/$CC87,IF(EXCERCICE="LB1",AO87/$CF87,AO87/$CK87))),0,IF(EXCERCICE="PA",AO87/$CC87,IF(EXCERCICE="LB1",AO87/$CF87,AO87/$CK87))))</f>
        <v>#REF!</v>
      </c>
      <c r="AU87" s="220" t="str">
        <f>IF(ISERROR(AO87/HLOOKUP(mois+1,$BQ$5:$CB$39,3,FALSE)),"",AO87/HLOOKUP(mois+1,$BQ$5:$CB$39,3,FALSE))</f>
        <v/>
      </c>
      <c r="AV87" s="11"/>
      <c r="AW87" s="54"/>
      <c r="AX87" s="242"/>
      <c r="AY87" s="92"/>
      <c r="AZ87" s="291"/>
      <c r="BA87" s="55" t="e">
        <f>IF(mois+2&gt;12,0,IF(mois=12,IF(EXCERCICE="PA",AY87-($CC87/12),IF(EXCERCICE="LB1",AY87-($CF87/12),AY87-($CK87/12))),IF(EXCERCICE="PA",AY87-($CC87/12*(mois+2)),IF(EXCERCICE="LB1",AY87-($CF87/12*(mois+2)),AY87-($CK87/12*(mois+2))))))</f>
        <v>#REF!</v>
      </c>
      <c r="BB87" s="176">
        <f>IF(AY87=0,0,IF(mois+1&gt;12,AY87/SUMPRODUCT((($S$6:$U$6)&lt;=mois+2)*$S87:$U87),AY87/SUMPRODUCT((($E$5:$P$5)&lt;=mois+2)*$E87:$P87)))</f>
        <v>0</v>
      </c>
      <c r="BC87" s="213" t="e">
        <f>IF(mois+2&gt;12,0,IF(ISERROR(IF(EXCERCICE="PA",AY87/$CC87,IF(EXCERCICE="LB1",AY87/$CF87,AY87/$CK87))),0,IF(EXCERCICE="PA",AY87/$CC87,IF(EXCERCICE="LB1",AY87/$CF87,AY87/$CK87))))</f>
        <v>#REF!</v>
      </c>
      <c r="BD87" s="220" t="str">
        <f>IF(ISERROR(AY87/HLOOKUP(mois+2,$BQ$5:$CB$39,3,FALSE)),"",AY87/HLOOKUP(mois+2,$BQ$5:$CB$39,3,FALSE))</f>
        <v/>
      </c>
      <c r="BE87" s="52"/>
      <c r="BF87" s="54"/>
      <c r="BG87" s="242"/>
      <c r="BH87" s="92" t="e">
        <f>IF(mois+3=13,BG87,IF(mois+3&gt;15,BG87,+$AY87+BG87))</f>
        <v>#REF!</v>
      </c>
      <c r="BI87" s="55" t="e">
        <f>IF(mois+3&gt;12,0,IF(mois=12,IF(EXCERCICE="PA",BH87-($CC87/12),IF(EXCERCICE="LB1",BH87-($CF87/12),BH87-($CK87/12))),IF(EXCERCICE="PA",BH87-($CC87/12*(mois+3)),IF(EXCERCICE="LB1",BH87-($CF87/12*(mois+3)),BH87-($CK87/12*(mois+3))))))</f>
        <v>#REF!</v>
      </c>
      <c r="BJ87" s="176" t="e">
        <f>IF(BH87=0,0,IF(mois+1&gt;12,BH87/SUMPRODUCT((($S$6:$U$6)&lt;=mois+3)*$S87:$U87),BH87/SUMPRODUCT((($E$5:$P$5)&lt;=mois+3)*$E87:$P87)))</f>
        <v>#REF!</v>
      </c>
      <c r="BK87" s="213" t="e">
        <f>IF(mois+3&gt;12,0,IF(ISERROR(IF(EXCERCICE="PA",BH87/$CC87,IF(EXCERCICE="LB1",BH87/$CF87,BH87/$CK87))),0,IF(EXCERCICE="PA",BH87/$CC87,IF(EXCERCICE="LB1",BH87/$CF87,BH87/$CK87))))</f>
        <v>#REF!</v>
      </c>
      <c r="BL87" s="220" t="str">
        <f>IF(ISERROR(BH87/HLOOKUP(mois+3,$BQ$5:$CB$39,3,FALSE)),"",BH87/HLOOKUP(mois+3,$BQ$5:$CB$39,3,FALSE))</f>
        <v/>
      </c>
      <c r="BM87" s="2"/>
      <c r="BN87" s="130" t="e">
        <f>IF(mois&gt;=12,IF(EXCERCICE="PA",CC87-AE87,IF(EXCERCICE="LB1",CF87-AE87,IF(EXCERCICE="LB2",$CK87-AE87))),
IF(mois+1&lt;=13,IF(EXCERCICE="PA",CC87-AO87,IF(EXCERCICE="LB1",CF87-AO87,IF(EXCERCICE="LB2",$CK87-AO87))),
IF(mois+2&lt;=14,IF(EXCERCICE="PA",CC87-AY87,IF(EXCERCICE="LB1",CF87-AY87,IF(EXCERCICE="LB2",$CK87-AY87))),
IF(mois+3&lt;=15,IF(EXCERCICE="PA",CC87-BH87,IF(EXCERCICE="LB1",CF87-BH87,IF(EXCERCICE="LB2",$CK87-BH87))),0))))</f>
        <v>#REF!</v>
      </c>
      <c r="BO87" s="231" t="e">
        <f>IF(BN87&lt;0,0,BN87/(12-mois))</f>
        <v>#REF!</v>
      </c>
      <c r="BQ87" s="196"/>
      <c r="BR87" s="196"/>
      <c r="BS87" s="196"/>
      <c r="BT87" s="196"/>
      <c r="BU87" s="196"/>
      <c r="BV87" s="196"/>
      <c r="BW87" s="196"/>
      <c r="BX87" s="196"/>
      <c r="BY87" s="196"/>
      <c r="BZ87" s="196"/>
      <c r="CA87" s="196"/>
      <c r="CB87" s="196"/>
      <c r="CC87" s="130"/>
      <c r="CD87" s="237"/>
      <c r="CE87" s="54"/>
      <c r="CF87" s="130"/>
      <c r="CG87" s="126"/>
      <c r="CH87" s="55"/>
      <c r="CI87" s="52"/>
      <c r="CJ87" s="54"/>
      <c r="CK87" s="130"/>
      <c r="CL87" s="126"/>
      <c r="CM87" s="55"/>
    </row>
    <row r="88" spans="2:91" x14ac:dyDescent="0.2">
      <c r="B88" s="56"/>
      <c r="C88" s="57" t="s">
        <v>61</v>
      </c>
      <c r="D88" s="2"/>
      <c r="E88" s="95">
        <f t="shared" ref="E88:P88" si="301">IF(ISERROR(VLOOKUP(CONCATENATE($B85,E$5),TBCHISTORIQUE,8,FALSE)/1000),0,VLOOKUP(CONCATENATE($B85,E$5),TBCHISTORIQUE,8,FALSE)/1000)</f>
        <v>0</v>
      </c>
      <c r="F88" s="167">
        <f t="shared" si="301"/>
        <v>0</v>
      </c>
      <c r="G88" s="167">
        <f t="shared" si="301"/>
        <v>0</v>
      </c>
      <c r="H88" s="167">
        <f t="shared" si="301"/>
        <v>0</v>
      </c>
      <c r="I88" s="167">
        <f t="shared" si="301"/>
        <v>0</v>
      </c>
      <c r="J88" s="167">
        <f t="shared" si="301"/>
        <v>0</v>
      </c>
      <c r="K88" s="167">
        <f t="shared" si="301"/>
        <v>0</v>
      </c>
      <c r="L88" s="167">
        <f t="shared" si="301"/>
        <v>0</v>
      </c>
      <c r="M88" s="167">
        <f t="shared" si="301"/>
        <v>0</v>
      </c>
      <c r="N88" s="167">
        <f t="shared" si="301"/>
        <v>0</v>
      </c>
      <c r="O88" s="167">
        <f t="shared" si="301"/>
        <v>0</v>
      </c>
      <c r="P88" s="168">
        <f t="shared" si="301"/>
        <v>0</v>
      </c>
      <c r="Q88" s="185">
        <f>SUMIF($E$5:$P$5,"&lt;="&amp;mois,E88:P88)</f>
        <v>0</v>
      </c>
      <c r="R88" s="2"/>
      <c r="S88" s="95">
        <f t="shared" ref="S88:AD88" si="302">IF(ISERROR(VLOOKUP(CONCATENATE($B85,S$5),TBCA,8,FALSE)/1000),0,VLOOKUP(CONCATENATE($B85,S$5),TBCA,8,FALSE)/1000)</f>
        <v>0</v>
      </c>
      <c r="T88" s="167">
        <f t="shared" si="302"/>
        <v>0</v>
      </c>
      <c r="U88" s="167">
        <f t="shared" si="302"/>
        <v>0</v>
      </c>
      <c r="V88" s="167">
        <f t="shared" si="302"/>
        <v>0</v>
      </c>
      <c r="W88" s="167">
        <f t="shared" si="302"/>
        <v>0</v>
      </c>
      <c r="X88" s="167">
        <f t="shared" si="302"/>
        <v>0</v>
      </c>
      <c r="Y88" s="167">
        <f t="shared" si="302"/>
        <v>0</v>
      </c>
      <c r="Z88" s="167">
        <f t="shared" si="302"/>
        <v>0</v>
      </c>
      <c r="AA88" s="167">
        <f t="shared" si="302"/>
        <v>0</v>
      </c>
      <c r="AB88" s="167">
        <f t="shared" si="302"/>
        <v>0</v>
      </c>
      <c r="AC88" s="167">
        <f t="shared" si="302"/>
        <v>0</v>
      </c>
      <c r="AD88" s="168">
        <f t="shared" si="302"/>
        <v>0</v>
      </c>
      <c r="AE88" s="95">
        <f>SUMIF($S$5:$AD$5,"&lt;="&amp;mois,S88:AD88)</f>
        <v>0</v>
      </c>
      <c r="AF88" s="292"/>
      <c r="AG88" s="102">
        <f>AE88-AF88</f>
        <v>0</v>
      </c>
      <c r="AH88" s="102" t="e">
        <f>IF(EXCERCICE="PA",AE88-($CC88/12*(mois)),IF(EXCERCICE="LB1",AE88-($CF88/12*(mois)),AE88-($CK88/12*(mois))))</f>
        <v>#REF!</v>
      </c>
      <c r="AI88" s="102"/>
      <c r="AJ88" s="212">
        <f>IF(ISERROR(IF(EXCERCICE="PA",AE88/$CC88,IF(EXCERCICE="LB1",AE88/$CF88,AE88/$CK88))),0,IF(EXCERCICE="PA",AE88/$CC88,IF(EXCERCICE="LB1",AE88/$CF88,AE88/$CK88)))</f>
        <v>0</v>
      </c>
      <c r="AK88" s="212"/>
      <c r="AL88" s="58"/>
      <c r="AM88" s="11"/>
      <c r="AN88" s="243"/>
      <c r="AO88" s="95" t="e">
        <f>IF(mois+1&gt;12,AN88,+$AE88+AN88)</f>
        <v>#REF!</v>
      </c>
      <c r="AP88" s="292"/>
      <c r="AQ88" s="102" t="e">
        <f>AO88-AP88</f>
        <v>#REF!</v>
      </c>
      <c r="AR88" s="17" t="e">
        <f>IF(mois+1&gt;12,0,IF(mois=12,IF(EXCERCICE="PA",AO88-($CC88/12),IF(EXCERCICE="LB1",AO88-($CF88/12),AO88-($CK88/12))),IF(EXCERCICE="PA",AO88-($CC88/12*(mois+1)),IF(EXCERCICE="LB1",AO88-($CF88/12*(mois+1)),AO88-($CK88/12*(mois+1))))))</f>
        <v>#REF!</v>
      </c>
      <c r="AS88" s="199"/>
      <c r="AT88" s="212" t="e">
        <f>IF(mois+1&gt;12,0,IF(ISERROR(IF(EXCERCICE="PA",AO88/$CC88,IF(EXCERCICE="LB1",AO88/$CF88,AO88/$CK88))),0,IF(EXCERCICE="PA",AO88/$CC88,IF(EXCERCICE="LB1",AO88/$CF88,AO88/$CK88))))</f>
        <v>#REF!</v>
      </c>
      <c r="AU88" s="221"/>
      <c r="AV88" s="11"/>
      <c r="AW88" s="11"/>
      <c r="AX88" s="243"/>
      <c r="AY88" s="95"/>
      <c r="AZ88" s="292"/>
      <c r="BA88" s="17" t="e">
        <f>IF(mois+2&gt;12,0,IF(mois=12,IF(EXCERCICE="PA",AY88-($CC88/12),IF(EXCERCICE="LB1",AY88-($CF88/12),AY88-($CK88/12))),IF(EXCERCICE="PA",AY88-($CC88/12*(mois+2)),IF(EXCERCICE="LB1",AY88-($CF88/12*(mois+2)),AY88-($CK88/12*(mois+2))))))</f>
        <v>#REF!</v>
      </c>
      <c r="BB88" s="179"/>
      <c r="BC88" s="212" t="e">
        <f>IF(mois+2&gt;12,0,IF(ISERROR(IF(EXCERCICE="PA",AY88/$CC88,IF(EXCERCICE="LB1",AY88/$CF88,AY88/$CK88))),0,IF(EXCERCICE="PA",AY88/$CC88,IF(EXCERCICE="LB1",AY88/$CF88,AY88/$CK88))))</f>
        <v>#REF!</v>
      </c>
      <c r="BD88" s="221"/>
      <c r="BE88" s="58"/>
      <c r="BF88" s="11"/>
      <c r="BG88" s="243"/>
      <c r="BH88" s="95" t="e">
        <f>IF(mois+3=13,BG88,IF(mois+3&gt;15,BG88,+$AY88+BG88))</f>
        <v>#REF!</v>
      </c>
      <c r="BI88" s="17" t="e">
        <f>IF(mois+3&gt;12,0,IF(mois=12,IF(EXCERCICE="PA",BH88-($CC88/12),IF(EXCERCICE="LB1",BH88-($CF88/12),BH88-($CK88/12))),IF(EXCERCICE="PA",BH88-($CC88/12*(mois+3)),IF(EXCERCICE="LB1",BH88-($CF88/12*(mois+3)),BH88-($CK88/12*(mois+3))))))</f>
        <v>#REF!</v>
      </c>
      <c r="BJ88" s="17"/>
      <c r="BK88" s="212" t="e">
        <f>IF(mois+3&gt;12,0,IF(ISERROR(IF(EXCERCICE="PA",BH88/$CC88,IF(EXCERCICE="LB1",BH88/$CF88,BH88/$CK88))),0,IF(EXCERCICE="PA",BH88/$CC88,IF(EXCERCICE="LB1",BH88/$CF88,BH88/$CK88))))</f>
        <v>#REF!</v>
      </c>
      <c r="BL88" s="221"/>
      <c r="BM88" s="2"/>
      <c r="BN88" s="123" t="e">
        <f>IF(mois&gt;=12,IF(EXCERCICE="PA",CC88-AE88,IF(EXCERCICE="LB1",CF88-AE88,IF(EXCERCICE="LB2",$CK88-AE88))),
IF(mois+1&lt;=13,IF(EXCERCICE="PA",CC88-AO88,IF(EXCERCICE="LB1",CF88-AO88,IF(EXCERCICE="LB2",$CK88-AO88))),
IF(mois+2&lt;=14,IF(EXCERCICE="PA",CC88-AY88,IF(EXCERCICE="LB1",CF88-AY88,IF(EXCERCICE="LB2",$CK88-AY88))),
IF(mois+3&lt;=15,IF(EXCERCICE="PA",CC88-BH88,IF(EXCERCICE="LB1",CF88-BH88,IF(EXCERCICE="LB2",$CK88-BH88))),0))))</f>
        <v>#REF!</v>
      </c>
      <c r="BO88" s="123" t="e">
        <f>IF(BN88&lt;0,0,BN88/(12-mois))</f>
        <v>#REF!</v>
      </c>
      <c r="BQ88" s="173"/>
      <c r="BR88" s="173"/>
      <c r="BS88" s="173"/>
      <c r="BT88" s="173"/>
      <c r="BU88" s="173"/>
      <c r="BV88" s="173"/>
      <c r="BW88" s="173"/>
      <c r="BX88" s="173"/>
      <c r="BY88" s="173"/>
      <c r="BZ88" s="173"/>
      <c r="CA88" s="173"/>
      <c r="CB88" s="173"/>
      <c r="CC88" s="123"/>
      <c r="CD88" s="203"/>
      <c r="CE88" s="11"/>
      <c r="CF88" s="95"/>
      <c r="CG88" s="125"/>
      <c r="CH88" s="17"/>
      <c r="CI88" s="58"/>
      <c r="CJ88" s="11"/>
      <c r="CK88" s="95"/>
      <c r="CL88" s="125"/>
      <c r="CM88" s="17"/>
    </row>
    <row r="89" spans="2:91" x14ac:dyDescent="0.2">
      <c r="B89" s="60"/>
      <c r="C89" s="143" t="s">
        <v>62</v>
      </c>
      <c r="D89" s="2"/>
      <c r="E89" s="61" t="str">
        <f>IF(E87=0,"-",E88/E87)</f>
        <v>-</v>
      </c>
      <c r="F89" s="7" t="str">
        <f t="shared" ref="F89" si="303">IF(F87=0,"-",F88/F87)</f>
        <v>-</v>
      </c>
      <c r="G89" s="7" t="str">
        <f t="shared" ref="G89" si="304">IF(G87=0,"-",G88/G87)</f>
        <v>-</v>
      </c>
      <c r="H89" s="7" t="str">
        <f t="shared" ref="H89" si="305">IF(H87=0,"-",H88/H87)</f>
        <v>-</v>
      </c>
      <c r="I89" s="7" t="str">
        <f t="shared" ref="I89" si="306">IF(I87=0,"-",I88/I87)</f>
        <v>-</v>
      </c>
      <c r="J89" s="7" t="str">
        <f t="shared" ref="J89" si="307">IF(J87=0,"-",J88/J87)</f>
        <v>-</v>
      </c>
      <c r="K89" s="7" t="str">
        <f t="shared" ref="K89" si="308">IF(K87=0,"-",K88/K87)</f>
        <v>-</v>
      </c>
      <c r="L89" s="7" t="str">
        <f t="shared" ref="L89" si="309">IF(L87=0,"-",L88/L87)</f>
        <v>-</v>
      </c>
      <c r="M89" s="7" t="str">
        <f t="shared" ref="M89" si="310">IF(M87=0,"-",M88/M87)</f>
        <v>-</v>
      </c>
      <c r="N89" s="7" t="str">
        <f t="shared" ref="N89" si="311">IF(N87=0,"-",N88/N87)</f>
        <v>-</v>
      </c>
      <c r="O89" s="7" t="str">
        <f t="shared" ref="O89" si="312">IF(O87=0,"-",O88/O87)</f>
        <v>-</v>
      </c>
      <c r="P89" s="7" t="str">
        <f t="shared" ref="P89" si="313">IF(P87=0,"-",P88/P87)</f>
        <v>-</v>
      </c>
      <c r="Q89" s="186" t="str">
        <f t="shared" ref="Q89" si="314">IF(Q87=0,"-",Q88/Q87)</f>
        <v>-</v>
      </c>
      <c r="R89" s="2"/>
      <c r="S89" s="61" t="str">
        <f t="shared" ref="S89:AD89" si="315">IF(S87=0,"-",S88/S87)</f>
        <v>-</v>
      </c>
      <c r="T89" s="7" t="str">
        <f t="shared" si="315"/>
        <v>-</v>
      </c>
      <c r="U89" s="7" t="str">
        <f t="shared" si="315"/>
        <v>-</v>
      </c>
      <c r="V89" s="7" t="str">
        <f t="shared" si="315"/>
        <v>-</v>
      </c>
      <c r="W89" s="7" t="str">
        <f t="shared" si="315"/>
        <v>-</v>
      </c>
      <c r="X89" s="7" t="str">
        <f t="shared" si="315"/>
        <v>-</v>
      </c>
      <c r="Y89" s="7" t="str">
        <f t="shared" si="315"/>
        <v>-</v>
      </c>
      <c r="Z89" s="7" t="str">
        <f t="shared" si="315"/>
        <v>-</v>
      </c>
      <c r="AA89" s="7" t="str">
        <f t="shared" si="315"/>
        <v>-</v>
      </c>
      <c r="AB89" s="7" t="str">
        <f t="shared" si="315"/>
        <v>-</v>
      </c>
      <c r="AC89" s="7" t="str">
        <f t="shared" si="315"/>
        <v>-</v>
      </c>
      <c r="AD89" s="7" t="str">
        <f t="shared" si="315"/>
        <v>-</v>
      </c>
      <c r="AE89" s="61" t="str">
        <f>IF(AE87=0,"-",AE88/AE87)</f>
        <v>-</v>
      </c>
      <c r="AF89" s="293"/>
      <c r="AG89" s="103" t="str">
        <f t="shared" ref="AG89" si="316">IF(AG87=0,"-",AG88/AG87)</f>
        <v>-</v>
      </c>
      <c r="AH89" s="103" t="e">
        <f>IF(AH87=0,"-",AH88/AH87)</f>
        <v>#REF!</v>
      </c>
      <c r="AI89" s="103"/>
      <c r="AJ89" s="197"/>
      <c r="AK89" s="197"/>
      <c r="AL89" s="58"/>
      <c r="AM89" s="11"/>
      <c r="AN89" s="249"/>
      <c r="AO89" s="61" t="e">
        <f t="shared" ref="AO89" si="317">IF(AO87=0,"-",AO88/AO87)</f>
        <v>#REF!</v>
      </c>
      <c r="AP89" s="293"/>
      <c r="AQ89" s="103" t="e">
        <f>IF(AQ87=0,"-",AQ88/AQ87)</f>
        <v>#REF!</v>
      </c>
      <c r="AR89" s="7" t="e">
        <f>IF(AR87=0,"-",AR88/AR87)</f>
        <v>#REF!</v>
      </c>
      <c r="AS89" s="197"/>
      <c r="AT89" s="197"/>
      <c r="AU89" s="222"/>
      <c r="AV89" s="11"/>
      <c r="AW89" s="11"/>
      <c r="AX89" s="249"/>
      <c r="AY89" s="61"/>
      <c r="AZ89" s="293"/>
      <c r="BA89" s="7" t="e">
        <f>IF(BA87=0,"-",BA88/BA87)</f>
        <v>#REF!</v>
      </c>
      <c r="BB89" s="103"/>
      <c r="BC89" s="197"/>
      <c r="BD89" s="222"/>
      <c r="BE89" s="58"/>
      <c r="BF89" s="11"/>
      <c r="BG89" s="249"/>
      <c r="BH89" s="61" t="e">
        <f t="shared" ref="BH89:BI89" si="318">IF(BH87=0,"-",BH88/BH87)</f>
        <v>#REF!</v>
      </c>
      <c r="BI89" s="7" t="e">
        <f t="shared" si="318"/>
        <v>#REF!</v>
      </c>
      <c r="BJ89" s="7"/>
      <c r="BK89" s="197"/>
      <c r="BL89" s="222"/>
      <c r="BM89" s="2"/>
      <c r="BN89" s="63"/>
      <c r="BO89" s="63"/>
      <c r="BQ89" s="173"/>
      <c r="BR89" s="173"/>
      <c r="BS89" s="173"/>
      <c r="BT89" s="173"/>
      <c r="BU89" s="173"/>
      <c r="BV89" s="173"/>
      <c r="BW89" s="173"/>
      <c r="BX89" s="173"/>
      <c r="BY89" s="173"/>
      <c r="BZ89" s="173"/>
      <c r="CA89" s="173"/>
      <c r="CB89" s="173"/>
      <c r="CC89" s="63"/>
      <c r="CD89" s="204"/>
      <c r="CE89" s="11"/>
      <c r="CF89" s="61"/>
      <c r="CG89" s="134"/>
      <c r="CH89" s="8"/>
      <c r="CI89" s="58"/>
      <c r="CJ89" s="11"/>
      <c r="CK89" s="61"/>
      <c r="CL89" s="134"/>
      <c r="CM89" s="8"/>
    </row>
    <row r="90" spans="2:91" x14ac:dyDescent="0.2">
      <c r="B90" s="64"/>
      <c r="C90" s="6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194"/>
      <c r="AG90" s="100"/>
      <c r="AH90" s="100"/>
      <c r="AI90" s="100"/>
      <c r="AJ90" s="214"/>
      <c r="AK90" s="214"/>
      <c r="AL90" s="11"/>
      <c r="AM90" s="2"/>
      <c r="AN90" s="71"/>
      <c r="AO90" s="11"/>
      <c r="AP90" s="194"/>
      <c r="AQ90" s="100"/>
      <c r="AR90" s="65"/>
      <c r="AS90" s="2"/>
      <c r="AT90" s="214"/>
      <c r="AU90" s="214"/>
      <c r="AV90" s="11"/>
      <c r="AW90" s="2"/>
      <c r="AX90" s="71"/>
      <c r="AY90" s="11"/>
      <c r="AZ90" s="194"/>
      <c r="BA90" s="65"/>
      <c r="BB90" s="2"/>
      <c r="BC90" s="214"/>
      <c r="BD90" s="214"/>
      <c r="BE90" s="11"/>
      <c r="BF90" s="2"/>
      <c r="BG90" s="71"/>
      <c r="BH90" s="11"/>
      <c r="BI90" s="11"/>
      <c r="BJ90" s="11"/>
      <c r="BK90" s="214"/>
      <c r="BL90" s="214"/>
      <c r="BM90" s="2"/>
      <c r="BN90" s="11"/>
      <c r="BO90" s="11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65"/>
      <c r="CD90" s="205"/>
      <c r="CE90" s="11"/>
      <c r="CF90" s="71"/>
      <c r="CG90" s="137"/>
      <c r="CH90" s="65"/>
      <c r="CI90" s="11"/>
      <c r="CJ90" s="2"/>
      <c r="CK90" s="71"/>
      <c r="CL90" s="137"/>
      <c r="CM90" s="65"/>
    </row>
    <row r="91" spans="2:91" x14ac:dyDescent="0.2">
      <c r="B91" s="66"/>
      <c r="C91" s="67" t="s">
        <v>58</v>
      </c>
      <c r="D91" s="51"/>
      <c r="E91" s="96">
        <f t="shared" ref="E91:P91" si="319">IF(ISERROR(VLOOKUP(CONCATENATE($B85,E$5),TBCHISTORIQUE,9,FALSE)/1000),0,VLOOKUP(CONCATENATE($B85,E$5),TBCHISTORIQUE,9,FALSE)/1000)</f>
        <v>0</v>
      </c>
      <c r="F91" s="169">
        <f t="shared" si="319"/>
        <v>0</v>
      </c>
      <c r="G91" s="169">
        <f t="shared" si="319"/>
        <v>0</v>
      </c>
      <c r="H91" s="169">
        <f t="shared" si="319"/>
        <v>0</v>
      </c>
      <c r="I91" s="169">
        <f t="shared" si="319"/>
        <v>0</v>
      </c>
      <c r="J91" s="169">
        <f t="shared" si="319"/>
        <v>0</v>
      </c>
      <c r="K91" s="169">
        <f t="shared" si="319"/>
        <v>0</v>
      </c>
      <c r="L91" s="169">
        <f t="shared" si="319"/>
        <v>0</v>
      </c>
      <c r="M91" s="169">
        <f t="shared" si="319"/>
        <v>0</v>
      </c>
      <c r="N91" s="169">
        <f t="shared" si="319"/>
        <v>0</v>
      </c>
      <c r="O91" s="169">
        <f t="shared" si="319"/>
        <v>0</v>
      </c>
      <c r="P91" s="170">
        <f t="shared" si="319"/>
        <v>0</v>
      </c>
      <c r="Q91" s="187">
        <f>SUMIF($E$5:$P$5,"&lt;="&amp;mois,E91:P91)</f>
        <v>0</v>
      </c>
      <c r="R91" s="51"/>
      <c r="S91" s="96">
        <f t="shared" ref="S91:AD91" si="320">IF(ISERROR(VLOOKUP(CONCATENATE($B85,S$5),TBCA,9,FALSE)/1000),0,VLOOKUP(CONCATENATE($B85,S$5),TBCA,9,FALSE)/1000)</f>
        <v>0</v>
      </c>
      <c r="T91" s="169">
        <f t="shared" si="320"/>
        <v>0</v>
      </c>
      <c r="U91" s="169">
        <f t="shared" si="320"/>
        <v>0</v>
      </c>
      <c r="V91" s="169">
        <f t="shared" si="320"/>
        <v>0</v>
      </c>
      <c r="W91" s="169">
        <f t="shared" si="320"/>
        <v>0</v>
      </c>
      <c r="X91" s="169">
        <f t="shared" si="320"/>
        <v>0</v>
      </c>
      <c r="Y91" s="169">
        <f t="shared" si="320"/>
        <v>0</v>
      </c>
      <c r="Z91" s="169">
        <f t="shared" si="320"/>
        <v>0</v>
      </c>
      <c r="AA91" s="169">
        <f t="shared" si="320"/>
        <v>0</v>
      </c>
      <c r="AB91" s="169">
        <f t="shared" si="320"/>
        <v>0</v>
      </c>
      <c r="AC91" s="169">
        <f t="shared" si="320"/>
        <v>0</v>
      </c>
      <c r="AD91" s="170">
        <f t="shared" si="320"/>
        <v>0</v>
      </c>
      <c r="AE91" s="324">
        <f>SUMIF($S$5:$AD$5,"&lt;="&amp;mois,S91:AD91)</f>
        <v>0</v>
      </c>
      <c r="AF91" s="294"/>
      <c r="AG91" s="104">
        <f>AE91-AF91</f>
        <v>0</v>
      </c>
      <c r="AH91" s="104" t="e">
        <f>IF(EXCERCICE="PA",AE91-($CC91/12*(mois)),IF(EXCERCICE="LB1",AE91-($CF91/12*(mois)),AE91-($CK91/12*(mois))))</f>
        <v>#REF!</v>
      </c>
      <c r="AI91" s="175">
        <f>IF(ISERROR(AE91/Q91),0,AE91/Q91)</f>
        <v>0</v>
      </c>
      <c r="AJ91" s="175">
        <f>IF(ISERROR(IF(EXCERCICE="PA",AE91/$CC91,IF(EXCERCICE="LB1",AE91/$CF91,AE91/$CK91))),0,IF(EXCERCICE="PA",AE91/$CC91,IF(EXCERCICE="LB1",AE91/$CF91,AE91/$CK91)))</f>
        <v>0</v>
      </c>
      <c r="AK91" s="223" t="str">
        <f>IF(ISERROR(AE91/HLOOKUP(mois,$BQ$5:$CB$39,7,FALSE)),"",AE91/HLOOKUP(mois,$BQ$5:$CB$39,7,FALSE))</f>
        <v/>
      </c>
      <c r="AL91" s="54"/>
      <c r="AM91" s="54"/>
      <c r="AN91" s="250"/>
      <c r="AO91" s="96" t="e">
        <f>IF(mois+1&gt;12,AN91,+$AE91+AN91)</f>
        <v>#REF!</v>
      </c>
      <c r="AP91" s="294"/>
      <c r="AQ91" s="104" t="e">
        <f>AO91-AP91</f>
        <v>#REF!</v>
      </c>
      <c r="AR91" s="68" t="e">
        <f>IF(mois+1&gt;12,0,IF(mois=12,IF(EXCERCICE="PA",AO91-($CC91/12),IF(EXCERCICE="LB1",AO91-($CF91/12),AO91-($CK91/12))),IF(EXCERCICE="PA",AO91-($CC91/12*(mois+1)),IF(EXCERCICE="LB1",AO91-($CF91/12*(mois+1)),AO91-($CK91/12*(mois+1))))))</f>
        <v>#REF!</v>
      </c>
      <c r="AS91" s="200" t="e">
        <f>IF(AO91=0,0,IF(mois+1&gt;12,AO91/SUMPRODUCT((($S$6:$U$6)&lt;=mois+1)*$S91:$U91),AO91/SUMPRODUCT((($E$5:$P$5)&lt;=mois+1)*$E91:$P91)))</f>
        <v>#REF!</v>
      </c>
      <c r="AT91" s="175" t="e">
        <f>IF(mois+1&gt;12,0,IF(ISERROR(IF(EXCERCICE="PA",AO91/$CC91,IF(EXCERCICE="LB1",AO91/$CF91,AO91/$CK91))),0,IF(EXCERCICE="PA",AO91/$CC91,IF(EXCERCICE="LB1",AO91/$CF91,AO91/$CK91))))</f>
        <v>#REF!</v>
      </c>
      <c r="AU91" s="223" t="str">
        <f>IF(ISERROR(AO91/HLOOKUP(mois+1,$BQ$5:$CB$39,7,FALSE)),"",AO91/HLOOKUP(mois+1,$BQ$5:$CB$39,7,FALSE))</f>
        <v/>
      </c>
      <c r="AV91" s="11"/>
      <c r="AW91" s="54"/>
      <c r="AX91" s="250"/>
      <c r="AY91" s="96"/>
      <c r="AZ91" s="294"/>
      <c r="BA91" s="68" t="e">
        <f>IF(mois+2&gt;12,0,IF(mois=12,IF(EXCERCICE="PA",AY91-($CC91/12),IF(EXCERCICE="LB1",AY91-($CF91/12),AY91-($CK91/12))),IF(EXCERCICE="PA",AY91-($CC91/12*(mois+2)),IF(EXCERCICE="LB1",AY91-($CF91/12*(mois+2)),AY91-($CK91/12*(mois+2))))))</f>
        <v>#REF!</v>
      </c>
      <c r="BB91" s="200">
        <f>IF(AY91=0,0,IF(mois+1&gt;12,AY91/SUMPRODUCT((($S$6:$U$6)&lt;=mois+2)*$S91:$U91),AY91/SUMPRODUCT((($E$5:$P$5)&lt;=mois+2)*$E91:$P91)))</f>
        <v>0</v>
      </c>
      <c r="BC91" s="175" t="e">
        <f>IF(mois+2&gt;12,0,IF(ISERROR(IF(EXCERCICE="PA",AY91/$CC91,IF(EXCERCICE="LB1",AY91/$CF91,AY91/$CK91))),0,IF(EXCERCICE="PA",AY91/$CC91,IF(EXCERCICE="LB1",AY91/$CF91,AY91/$CK91))))</f>
        <v>#REF!</v>
      </c>
      <c r="BD91" s="223" t="str">
        <f>IF(ISERROR(AY91/HLOOKUP(mois+2,$BQ$5:$CB$39,7,FALSE)),"",AY91/HLOOKUP(mois+2,$BQ$5:$CB$39,7,FALSE))</f>
        <v/>
      </c>
      <c r="BE91" s="52"/>
      <c r="BF91" s="54"/>
      <c r="BG91" s="250"/>
      <c r="BH91" s="96" t="e">
        <f>IF(mois+3=13,BG91,IF(mois+3&gt;15,BG91,+$AY91+BG91))</f>
        <v>#REF!</v>
      </c>
      <c r="BI91" s="68" t="e">
        <f>IF(mois+3&gt;12,0,IF(mois=12,IF(EXCERCICE="PA",BH91-($CC91/12),IF(EXCERCICE="LB1",BH91-($CF91/12),BH91-($CK91/12))),IF(EXCERCICE="PA",BH91-($CC91/12*(mois+3)),IF(EXCERCICE="LB1",BH91-($CF91/12*(mois+3)),BH91-($CK91/12*(mois+3))))))</f>
        <v>#REF!</v>
      </c>
      <c r="BJ91" s="200" t="e">
        <f>IF(BH91=0,0,IF(mois+1&gt;12,BH91/SUMPRODUCT((($S$6:$U$6)&lt;=mois+3)*$S91:$U91),BH91/SUMPRODUCT((($E$5:$P$5)&lt;=mois+3)*$E91:$P91)))</f>
        <v>#REF!</v>
      </c>
      <c r="BK91" s="175" t="e">
        <f>IF(mois+3&gt;12,0,IF(ISERROR(IF(EXCERCICE="PA",BH91/$CC91,IF(EXCERCICE="LB1",BH91/$CF91,BH91/$CK91))),0,IF(EXCERCICE="PA",BH91/$CC91,IF(EXCERCICE="LB1",BH91/$CF91,BH91/$CK91))))</f>
        <v>#REF!</v>
      </c>
      <c r="BL91" s="223" t="str">
        <f>IF(ISERROR(BH91/HLOOKUP(mois+3,$BQ$5:$CB$39,7,FALSE)),"",BH91/HLOOKUP(mois+3,$BQ$5:$CB$39,7,FALSE))</f>
        <v/>
      </c>
      <c r="BM91" s="2"/>
      <c r="BN91" s="131" t="e">
        <f>IF(mois&gt;=12,IF(EXCERCICE="PA",CC91-AE91,IF(EXCERCICE="LB1",CF91-AE91,IF(EXCERCICE="LB2",$CK91-AE91))),
IF(mois+1&lt;=13,IF(EXCERCICE="PA",CC91-AO91,IF(EXCERCICE="LB1",CF91-AO91,IF(EXCERCICE="LB2",$CK91-AO91))),
IF(mois+2&lt;=14,IF(EXCERCICE="PA",CC91-AY91,IF(EXCERCICE="LB1",CF91-AY91,IF(EXCERCICE="LB2",$CK91-AY91))),
IF(mois+3&lt;=15,IF(EXCERCICE="PA",CC91-BH91,IF(EXCERCICE="LB1",CF91-BH91,IF(EXCERCICE="LB2",$CK91-BH91))),0))))</f>
        <v>#REF!</v>
      </c>
      <c r="BO91" s="131" t="e">
        <f>IF(BN91&lt;0,0,BN91/(12-mois))</f>
        <v>#REF!</v>
      </c>
      <c r="BQ91" s="196"/>
      <c r="BR91" s="196"/>
      <c r="BS91" s="196"/>
      <c r="BT91" s="196"/>
      <c r="BU91" s="196"/>
      <c r="BV91" s="196"/>
      <c r="BW91" s="196"/>
      <c r="BX91" s="196"/>
      <c r="BY91" s="196"/>
      <c r="BZ91" s="196"/>
      <c r="CA91" s="196"/>
      <c r="CB91" s="196"/>
      <c r="CC91" s="131"/>
      <c r="CD91" s="206"/>
      <c r="CE91" s="54"/>
      <c r="CF91" s="96"/>
      <c r="CG91" s="138"/>
      <c r="CH91" s="68"/>
      <c r="CI91" s="52"/>
      <c r="CJ91" s="54"/>
      <c r="CK91" s="96"/>
      <c r="CL91" s="138"/>
      <c r="CM91" s="68"/>
    </row>
    <row r="92" spans="2:91" x14ac:dyDescent="0.2">
      <c r="B92" s="64"/>
      <c r="C92" s="6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194"/>
      <c r="AG92" s="100"/>
      <c r="AH92" s="100"/>
      <c r="AI92" s="100"/>
      <c r="AJ92" s="214"/>
      <c r="AK92" s="214"/>
      <c r="AL92" s="11"/>
      <c r="AM92" s="2"/>
      <c r="AN92" s="71"/>
      <c r="AO92" s="11"/>
      <c r="AP92" s="194"/>
      <c r="AQ92" s="100"/>
      <c r="AR92" s="65"/>
      <c r="AS92" s="2"/>
      <c r="AT92" s="214"/>
      <c r="AU92" s="214"/>
      <c r="AV92" s="11"/>
      <c r="AW92" s="2"/>
      <c r="AX92" s="71"/>
      <c r="AY92" s="11"/>
      <c r="AZ92" s="194"/>
      <c r="BA92" s="65"/>
      <c r="BB92" s="2"/>
      <c r="BC92" s="214"/>
      <c r="BD92" s="214"/>
      <c r="BE92" s="11"/>
      <c r="BF92" s="2"/>
      <c r="BG92" s="71"/>
      <c r="BH92" s="11"/>
      <c r="BI92" s="11"/>
      <c r="BJ92" s="11"/>
      <c r="BK92" s="214"/>
      <c r="BL92" s="214"/>
      <c r="BM92" s="2"/>
      <c r="BN92" s="11"/>
      <c r="BO92" s="11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65"/>
      <c r="CD92" s="205"/>
      <c r="CE92" s="11"/>
      <c r="CF92" s="71"/>
      <c r="CG92" s="137"/>
      <c r="CH92" s="65"/>
      <c r="CI92" s="11"/>
      <c r="CJ92" s="2"/>
      <c r="CK92" s="71"/>
      <c r="CL92" s="137"/>
      <c r="CM92" s="65"/>
    </row>
    <row r="93" spans="2:91" x14ac:dyDescent="0.2">
      <c r="B93" s="49"/>
      <c r="C93" s="50" t="s">
        <v>59</v>
      </c>
      <c r="D93" s="51"/>
      <c r="E93" s="92">
        <f t="shared" ref="E93:P93" si="321">IF(ISERROR(VLOOKUP(CONCATENATE($B85,E$5),TBCHISTORIQUE,10,FALSE)/1000),0,VLOOKUP(CONCATENATE($B85,E$5),TBCHISTORIQUE,10,FALSE)/1000)</f>
        <v>0</v>
      </c>
      <c r="F93" s="93">
        <f t="shared" si="321"/>
        <v>0</v>
      </c>
      <c r="G93" s="93">
        <f t="shared" si="321"/>
        <v>0</v>
      </c>
      <c r="H93" s="93">
        <f t="shared" si="321"/>
        <v>0</v>
      </c>
      <c r="I93" s="93">
        <f t="shared" si="321"/>
        <v>0</v>
      </c>
      <c r="J93" s="93">
        <f t="shared" si="321"/>
        <v>0</v>
      </c>
      <c r="K93" s="93">
        <f t="shared" si="321"/>
        <v>0</v>
      </c>
      <c r="L93" s="93">
        <f t="shared" si="321"/>
        <v>0</v>
      </c>
      <c r="M93" s="93">
        <f t="shared" si="321"/>
        <v>0</v>
      </c>
      <c r="N93" s="93">
        <f t="shared" si="321"/>
        <v>0</v>
      </c>
      <c r="O93" s="93">
        <f t="shared" si="321"/>
        <v>0</v>
      </c>
      <c r="P93" s="94">
        <f t="shared" si="321"/>
        <v>0</v>
      </c>
      <c r="Q93" s="184">
        <f>SUMIF($E$5:$P$5,"&lt;="&amp;mois,E93:P93)</f>
        <v>0</v>
      </c>
      <c r="R93" s="51"/>
      <c r="S93" s="92">
        <f t="shared" ref="S93:AD93" si="322">IF(ISERROR(VLOOKUP(CONCATENATE($B$85,S$5),TBCA,10,FALSE)/1000),0,VLOOKUP(CONCATENATE($B$85,S$5),TBCA,10,FALSE)/1000)</f>
        <v>0</v>
      </c>
      <c r="T93" s="93">
        <f t="shared" si="322"/>
        <v>0</v>
      </c>
      <c r="U93" s="93">
        <f t="shared" si="322"/>
        <v>0</v>
      </c>
      <c r="V93" s="93">
        <f t="shared" si="322"/>
        <v>0</v>
      </c>
      <c r="W93" s="93">
        <f t="shared" si="322"/>
        <v>0</v>
      </c>
      <c r="X93" s="93">
        <f t="shared" si="322"/>
        <v>0</v>
      </c>
      <c r="Y93" s="93">
        <f t="shared" si="322"/>
        <v>0</v>
      </c>
      <c r="Z93" s="93">
        <f t="shared" si="322"/>
        <v>0</v>
      </c>
      <c r="AA93" s="93">
        <f t="shared" si="322"/>
        <v>0</v>
      </c>
      <c r="AB93" s="93">
        <f t="shared" si="322"/>
        <v>0</v>
      </c>
      <c r="AC93" s="93">
        <f t="shared" si="322"/>
        <v>0</v>
      </c>
      <c r="AD93" s="94">
        <f t="shared" si="322"/>
        <v>0</v>
      </c>
      <c r="AE93" s="92">
        <f>SUMIF($S$5:$AD$5,"&lt;="&amp;mois,S93:AD93)</f>
        <v>0</v>
      </c>
      <c r="AF93" s="291"/>
      <c r="AG93" s="101">
        <f t="shared" ref="AG93:AG94" si="323">AE93-AF93</f>
        <v>0</v>
      </c>
      <c r="AH93" s="101" t="e">
        <f>IF(EXCERCICE="PA",AE93-($CC93/12*(mois)),IF(EXCERCICE="LB1",AE93-($CF93/12*(mois)),AE93-($CK93/12*(mois))))</f>
        <v>#REF!</v>
      </c>
      <c r="AI93" s="176">
        <f>IF(ISERROR(AE93/Q93),0,AE93/Q93)</f>
        <v>0</v>
      </c>
      <c r="AJ93" s="176">
        <f>IF(ISERROR(IF(EXCERCICE="PA",AE93/$CC93,IF(EXCERCICE="LB1",AE93/$CF93,AE93/$CK93))),0,IF(EXCERCICE="PA",AE93/$CC93,IF(EXCERCICE="LB1",AE93/$CF93,AE93/$CK93)))</f>
        <v>0</v>
      </c>
      <c r="AK93" s="176" t="str">
        <f>IF(ISERROR(AE93/HLOOKUP(mois,$BQ$5:$CB$39,9,FALSE)),"",AE93/HLOOKUP(mois,$BQ$5:$CB$39,9,FALSE))</f>
        <v/>
      </c>
      <c r="AL93" s="52"/>
      <c r="AM93" s="54"/>
      <c r="AN93" s="242"/>
      <c r="AO93" s="92" t="e">
        <f>IF(mois+1&gt;12,AN93,+$AE93+AN93)</f>
        <v>#REF!</v>
      </c>
      <c r="AP93" s="291"/>
      <c r="AQ93" s="101" t="e">
        <f>AO93-AP93</f>
        <v>#REF!</v>
      </c>
      <c r="AR93" s="55" t="e">
        <f>IF(mois+1&gt;12,0,IF(mois=12,IF(EXCERCICE="PA",AO93-($CC93/12),IF(EXCERCICE="LB1",AO93-($CF93/12),AO93-($CK93/12))),IF(EXCERCICE="PA",AO93-($CC93/12*(mois+1)),IF(EXCERCICE="LB1",AO93-($CF93/12*(mois+1)),AO93-($CK93/12*(mois+1))))))</f>
        <v>#REF!</v>
      </c>
      <c r="AS93" s="176" t="e">
        <f>IF(AO93=0,0,IF(mois+1&gt;12,AO93/SUMPRODUCT((($S$6:$U$6)&lt;=mois+1)*$S93:$U93),AO93/SUMPRODUCT((($E$5:$P$5)&lt;=mois+1)*$E93:$P93)))</f>
        <v>#REF!</v>
      </c>
      <c r="AT93" s="176" t="e">
        <f>IF(mois+1&gt;12,0,IF(ISERROR(IF(EXCERCICE="PA",AO93/$CC93,IF(EXCERCICE="LB1",AO93/$CF93,AO93/$CK93))),0,IF(EXCERCICE="PA",AO93/$CC93,IF(EXCERCICE="LB1",AO93/$CF93,AO93/$CK93))))</f>
        <v>#REF!</v>
      </c>
      <c r="AU93" s="224" t="str">
        <f>IF(ISERROR(AO93/HLOOKUP(mois+1,$BQ$5:$CB$39,9,FALSE)),"",AO93/HLOOKUP(mois+1,$BQ$5:$CB$39,9,FALSE))</f>
        <v/>
      </c>
      <c r="AV93" s="11"/>
      <c r="AW93" s="54"/>
      <c r="AX93" s="242"/>
      <c r="AY93" s="92"/>
      <c r="AZ93" s="291"/>
      <c r="BA93" s="55" t="e">
        <f>IF(mois+2&gt;12,0,IF(mois=12,IF(EXCERCICE="PA",AY93-($CC93/12),IF(EXCERCICE="LB1",AY93-($CF93/12),AY93-($CK93/12))),IF(EXCERCICE="PA",AY93-($CC93/12*(mois+2)),IF(EXCERCICE="LB1",AY93-($CF93/12*(mois+2)),AY93-($CK93/12*(mois+2))))))</f>
        <v>#REF!</v>
      </c>
      <c r="BB93" s="176">
        <f>IF(AY93=0,0,IF(mois+1&gt;12,AY93/SUMPRODUCT((($S$6:$U$6)&lt;=mois+2)*$S93:$U93),AY93/SUMPRODUCT((($E$5:$P$5)&lt;=mois+2)*$E93:$P93)))</f>
        <v>0</v>
      </c>
      <c r="BC93" s="176" t="e">
        <f>IF(mois+2&gt;12,0,IF(ISERROR(IF(EXCERCICE="PA",AY93/$CC93,IF(EXCERCICE="LB1",AY93/$CF93,AY93/$CK93))),0,IF(EXCERCICE="PA",AY93/$CC93,IF(EXCERCICE="LB1",AY93/$CF93,AY93/$CK93))))</f>
        <v>#REF!</v>
      </c>
      <c r="BD93" s="224" t="str">
        <f>IF(ISERROR(AY93/HLOOKUP(mois+2,$BQ$5:$CB$39,9,FALSE)),"",AY93/HLOOKUP(mois+2,$BQ$5:$CB$39,9,FALSE))</f>
        <v/>
      </c>
      <c r="BE93" s="52"/>
      <c r="BF93" s="54"/>
      <c r="BG93" s="242"/>
      <c r="BH93" s="92" t="e">
        <f>IF(mois+3=13,BG93,IF(mois+3&gt;15,BG93,+$AY93+BG93))</f>
        <v>#REF!</v>
      </c>
      <c r="BI93" s="55" t="e">
        <f>IF(mois+3&gt;12,0,IF(mois=12,IF(EXCERCICE="PA",BH93-($CC93/12),IF(EXCERCICE="LB1",BH93-($CF93/12),BH93-($CK93/12))),IF(EXCERCICE="PA",BH93-($CC93/12*(mois+3)),IF(EXCERCICE="LB1",BH93-($CF93/12*(mois+3)),BH93-($CK93/12*(mois+3))))))</f>
        <v>#REF!</v>
      </c>
      <c r="BJ93" s="176" t="e">
        <f>IF(BH93=0,0,IF(mois+1&gt;12,BH93/SUMPRODUCT((($S$6:$U$6)&lt;=mois+3)*$S93:$U93),BH93/SUMPRODUCT((($E$5:$P$5)&lt;=mois+3)*$E93:$P93)))</f>
        <v>#REF!</v>
      </c>
      <c r="BK93" s="176" t="e">
        <f>IF(mois+3&gt;12,0,IF(ISERROR(IF(EXCERCICE="PA",BH93/$CC93,IF(EXCERCICE="LB1",BH93/$CF93,BH93/$CK93))),0,IF(EXCERCICE="PA",BH93/$CC93,IF(EXCERCICE="LB1",BH93/$CF93,BH93/$CK93))))</f>
        <v>#REF!</v>
      </c>
      <c r="BL93" s="224" t="str">
        <f>IF(ISERROR(BH93/HLOOKUP(mois+3,$BQ$5:$CB$39,9,FALSE)),"",BH93/HLOOKUP(mois+3,$BQ$5:$CB$39,9,FALSE))</f>
        <v/>
      </c>
      <c r="BM93" s="2"/>
      <c r="BN93" s="231" t="e">
        <f>IF(mois&gt;=12,IF(EXCERCICE="PA",CC93-AE93,IF(EXCERCICE="LB1",CF93-AE93,IF(EXCERCICE="LB2",$CK93-AE93))),
IF(mois+1&lt;=13,IF(EXCERCICE="PA",CC93-AO93,IF(EXCERCICE="LB1",CF93-AO93,IF(EXCERCICE="LB2",$CK93-AO93))),
IF(mois+2&lt;=14,IF(EXCERCICE="PA",CC93-AY93,IF(EXCERCICE="LB1",CF93-AY93,IF(EXCERCICE="LB2",$CK93-AY93))),
IF(mois+3&lt;=15,IF(EXCERCICE="PA",CC93-BH93,IF(EXCERCICE="LB1",CF93-BH93,IF(EXCERCICE="LB2",$CK93-BH93))),0))))</f>
        <v>#REF!</v>
      </c>
      <c r="BO93" s="231" t="e">
        <f>IF(BN93&lt;0,0,BN93/(12-mois))</f>
        <v>#REF!</v>
      </c>
      <c r="BP93" s="2"/>
      <c r="BQ93" s="196"/>
      <c r="BR93" s="196"/>
      <c r="BS93" s="196"/>
      <c r="BT93" s="196"/>
      <c r="BU93" s="196"/>
      <c r="BV93" s="196"/>
      <c r="BW93" s="196"/>
      <c r="BX93" s="196"/>
      <c r="BY93" s="196"/>
      <c r="BZ93" s="196"/>
      <c r="CA93" s="196"/>
      <c r="CB93" s="196"/>
      <c r="CC93" s="92"/>
      <c r="CD93" s="207"/>
      <c r="CE93" s="54"/>
      <c r="CF93" s="92"/>
      <c r="CG93" s="128"/>
      <c r="CH93" s="53"/>
      <c r="CI93" s="52"/>
      <c r="CJ93" s="54"/>
      <c r="CK93" s="92"/>
      <c r="CL93" s="128"/>
      <c r="CM93" s="55"/>
    </row>
    <row r="94" spans="2:91" x14ac:dyDescent="0.2">
      <c r="B94" s="56"/>
      <c r="C94" s="57" t="s">
        <v>60</v>
      </c>
      <c r="D94" s="2"/>
      <c r="E94" s="95">
        <f t="shared" ref="E94:P94" si="324">IF(ISERROR(VLOOKUP(CONCATENATE($B85,E$5),TBCHISTORIQUE,11,FALSE)/1000),0,VLOOKUP(CONCATENATE($B85,E$5),TBCHISTORIQUE,11,FALSE)/1000)</f>
        <v>0</v>
      </c>
      <c r="F94" s="167">
        <f t="shared" si="324"/>
        <v>0</v>
      </c>
      <c r="G94" s="167">
        <f t="shared" si="324"/>
        <v>0</v>
      </c>
      <c r="H94" s="167">
        <f t="shared" si="324"/>
        <v>0</v>
      </c>
      <c r="I94" s="167">
        <f t="shared" si="324"/>
        <v>0</v>
      </c>
      <c r="J94" s="167">
        <f t="shared" si="324"/>
        <v>0</v>
      </c>
      <c r="K94" s="167">
        <f t="shared" si="324"/>
        <v>0</v>
      </c>
      <c r="L94" s="167">
        <f t="shared" si="324"/>
        <v>0</v>
      </c>
      <c r="M94" s="167">
        <f t="shared" si="324"/>
        <v>0</v>
      </c>
      <c r="N94" s="167">
        <f t="shared" si="324"/>
        <v>0</v>
      </c>
      <c r="O94" s="167">
        <f t="shared" si="324"/>
        <v>0</v>
      </c>
      <c r="P94" s="168">
        <f t="shared" si="324"/>
        <v>0</v>
      </c>
      <c r="Q94" s="185">
        <f>SUMIF($E$5:$P$5,"&lt;="&amp;mois,E94:P94)</f>
        <v>0</v>
      </c>
      <c r="R94" s="2"/>
      <c r="S94" s="95">
        <f t="shared" ref="S94:AD94" si="325">IF(ISERROR(VLOOKUP(CONCATENATE($B$85,S$5),TBCA,11,FALSE)/1000),0,VLOOKUP(CONCATENATE($B$85,S$5),TBCA,11,FALSE)/1000)</f>
        <v>0</v>
      </c>
      <c r="T94" s="167">
        <f t="shared" si="325"/>
        <v>0</v>
      </c>
      <c r="U94" s="167">
        <f t="shared" si="325"/>
        <v>0</v>
      </c>
      <c r="V94" s="167">
        <f t="shared" si="325"/>
        <v>0</v>
      </c>
      <c r="W94" s="167">
        <f t="shared" si="325"/>
        <v>0</v>
      </c>
      <c r="X94" s="167">
        <f t="shared" si="325"/>
        <v>0</v>
      </c>
      <c r="Y94" s="167">
        <f t="shared" si="325"/>
        <v>0</v>
      </c>
      <c r="Z94" s="167">
        <f t="shared" si="325"/>
        <v>0</v>
      </c>
      <c r="AA94" s="167">
        <f t="shared" si="325"/>
        <v>0</v>
      </c>
      <c r="AB94" s="167">
        <f t="shared" si="325"/>
        <v>0</v>
      </c>
      <c r="AC94" s="167">
        <f t="shared" si="325"/>
        <v>0</v>
      </c>
      <c r="AD94" s="168">
        <f t="shared" si="325"/>
        <v>0</v>
      </c>
      <c r="AE94" s="95">
        <f>SUMIF($S$5:$AD$5,"&lt;="&amp;mois,S94:AD94)</f>
        <v>0</v>
      </c>
      <c r="AF94" s="292"/>
      <c r="AG94" s="102">
        <f t="shared" si="323"/>
        <v>0</v>
      </c>
      <c r="AH94" s="102" t="e">
        <f>IF(EXCERCICE="PA",AE94-($CC94/12*(mois)),IF(EXCERCICE="LB1",AE94-($CF94/12*(mois)),AE94-($CK94/12*(mois))))</f>
        <v>#REF!</v>
      </c>
      <c r="AI94" s="102"/>
      <c r="AJ94" s="212">
        <f>IF(ISERROR(IF(EXCERCICE="PA",AE94/$CC94,IF(EXCERCICE="LB1",AE94/$CF94,AE94/$CK94))),0,IF(EXCERCICE="PA",AE94/$CC94,IF(EXCERCICE="LB1",AE94/$CF94,AE94/$CK94)))</f>
        <v>0</v>
      </c>
      <c r="AK94" s="212"/>
      <c r="AL94" s="58"/>
      <c r="AM94" s="11"/>
      <c r="AN94" s="243"/>
      <c r="AO94" s="95" t="e">
        <f>IF(mois+1&gt;12,AN94,+$AE94+AN94)</f>
        <v>#REF!</v>
      </c>
      <c r="AP94" s="292"/>
      <c r="AQ94" s="102" t="e">
        <f>AO94-AP94</f>
        <v>#REF!</v>
      </c>
      <c r="AR94" s="17" t="e">
        <f>IF(mois+1&gt;12,0,IF(mois=12,IF(EXCERCICE="PA",AO94-($CC94/12),IF(EXCERCICE="LB1",AO94-($CF94/12),AO94-($CK94/12))),IF(EXCERCICE="PA",AO94-($CC94/12*(mois+1)),IF(EXCERCICE="LB1",AO94-($CF94/12*(mois+1)),AO94-($CK94/12*(mois+1))))))</f>
        <v>#REF!</v>
      </c>
      <c r="AS94" s="179"/>
      <c r="AT94" s="212" t="e">
        <f>IF(mois+1&gt;12,0,IF(ISERROR(IF(EXCERCICE="PA",AO94/$CC94,IF(EXCERCICE="LB1",AO94/$CF94,AO94/$CK94))),0,IF(EXCERCICE="PA",AO94/$CC94,IF(EXCERCICE="LB1",AO94/$CF94,AO94/$CK94))))</f>
        <v>#REF!</v>
      </c>
      <c r="AU94" s="221"/>
      <c r="AV94" s="11"/>
      <c r="AW94" s="11"/>
      <c r="AX94" s="243"/>
      <c r="AY94" s="95"/>
      <c r="AZ94" s="292"/>
      <c r="BA94" s="17" t="e">
        <f>IF(mois+2&gt;12,0,IF(mois=12,IF(EXCERCICE="PA",AY94-($CC94/12),IF(EXCERCICE="LB1",AY94-($CF94/12),AY94-($CK94/12))),IF(EXCERCICE="PA",AY94-($CC94/12*(mois+2)),IF(EXCERCICE="LB1",AY94-($CF94/12*(mois+2)),AY94-($CK94/12*(mois+2))))))</f>
        <v>#REF!</v>
      </c>
      <c r="BB94" s="179"/>
      <c r="BC94" s="212" t="e">
        <f>IF(mois+2&gt;12,0,IF(ISERROR(IF(EXCERCICE="PA",AY94/$CC94,IF(EXCERCICE="LB1",AY94/$CF94,AY94/$CK94))),0,IF(EXCERCICE="PA",AY94/$CC94,IF(EXCERCICE="LB1",AY94/$CF94,AY94/$CK94))))</f>
        <v>#REF!</v>
      </c>
      <c r="BD94" s="221"/>
      <c r="BE94" s="58"/>
      <c r="BF94" s="11"/>
      <c r="BG94" s="243"/>
      <c r="BH94" s="95" t="e">
        <f>IF(mois+3=13,BG94,IF(mois+3&gt;15,BG94,+$AY94+BG94))</f>
        <v>#REF!</v>
      </c>
      <c r="BI94" s="17" t="e">
        <f>IF(mois+3&gt;12,0,IF(mois=12,IF(EXCERCICE="PA",BH94-($CC94/12),IF(EXCERCICE="LB1",BH94-($CF94/12),BH94-($CK94/12))),IF(EXCERCICE="PA",BH94-($CC94/12*(mois+3)),IF(EXCERCICE="LB1",BH94-($CF94/12*(mois+3)),BH94-($CK94/12*(mois+3))))))</f>
        <v>#REF!</v>
      </c>
      <c r="BJ94" s="17"/>
      <c r="BK94" s="212" t="e">
        <f>IF(mois+3&gt;12,0,IF(ISERROR(IF(EXCERCICE="PA",BH94/$CC94,IF(EXCERCICE="LB1",BH94/$CF94,BH94/$CK94))),0,IF(EXCERCICE="PA",BH94/$CC94,IF(EXCERCICE="LB1",BH94/$CF94,BH94/$CK94))))</f>
        <v>#REF!</v>
      </c>
      <c r="BL94" s="221"/>
      <c r="BM94" s="2"/>
      <c r="BN94" s="123" t="e">
        <f>IF(mois&gt;=12,IF(EXCERCICE="PA",CC94-AE94,IF(EXCERCICE="LB1",CF94-AE94,IF(EXCERCICE="LB2",$CK94-AE94))),
IF(mois+1&lt;=13,IF(EXCERCICE="PA",CC94-AO94,IF(EXCERCICE="LB1",CF94-AO94,IF(EXCERCICE="LB2",$CK94-AO94))),
IF(mois+2&lt;=14,IF(EXCERCICE="PA",CC94-AY94,IF(EXCERCICE="LB1",CF94-AY94,IF(EXCERCICE="LB2",$CK94-AY94))),
IF(mois+3&lt;=15,IF(EXCERCICE="PA",CC94-BH94,IF(EXCERCICE="LB1",CF94-BH94,IF(EXCERCICE="LB2",$CK94-BH94))),0))))</f>
        <v>#REF!</v>
      </c>
      <c r="BO94" s="123" t="e">
        <f>IF(BN94&lt;0,0,BN94/(12-mois))</f>
        <v>#REF!</v>
      </c>
      <c r="BP94" s="2"/>
      <c r="BQ94" s="173"/>
      <c r="BR94" s="173"/>
      <c r="BS94" s="173"/>
      <c r="BT94" s="173"/>
      <c r="BU94" s="173"/>
      <c r="BV94" s="173"/>
      <c r="BW94" s="173"/>
      <c r="BX94" s="173"/>
      <c r="BY94" s="173"/>
      <c r="BZ94" s="173"/>
      <c r="CA94" s="173"/>
      <c r="CB94" s="173"/>
      <c r="CC94" s="95"/>
      <c r="CD94" s="203"/>
      <c r="CE94" s="11"/>
      <c r="CF94" s="95"/>
      <c r="CG94" s="125"/>
      <c r="CH94" s="59"/>
      <c r="CI94" s="58"/>
      <c r="CJ94" s="11"/>
      <c r="CK94" s="95"/>
      <c r="CL94" s="125"/>
      <c r="CM94" s="17"/>
    </row>
    <row r="95" spans="2:91" x14ac:dyDescent="0.2">
      <c r="B95" s="56"/>
      <c r="C95" s="142" t="s">
        <v>63</v>
      </c>
      <c r="D95" s="2"/>
      <c r="E95" s="69" t="str">
        <f>IF(E93=0,"-",E94/E93)</f>
        <v>-</v>
      </c>
      <c r="F95" s="9" t="str">
        <f t="shared" ref="F95" si="326">IF(F93=0,"-",F94/F93)</f>
        <v>-</v>
      </c>
      <c r="G95" s="9" t="str">
        <f t="shared" ref="G95" si="327">IF(G93=0,"-",G94/G93)</f>
        <v>-</v>
      </c>
      <c r="H95" s="9" t="str">
        <f t="shared" ref="H95" si="328">IF(H93=0,"-",H94/H93)</f>
        <v>-</v>
      </c>
      <c r="I95" s="9" t="str">
        <f t="shared" ref="I95" si="329">IF(I93=0,"-",I94/I93)</f>
        <v>-</v>
      </c>
      <c r="J95" s="9" t="str">
        <f t="shared" ref="J95" si="330">IF(J93=0,"-",J94/J93)</f>
        <v>-</v>
      </c>
      <c r="K95" s="9" t="str">
        <f t="shared" ref="K95" si="331">IF(K93=0,"-",K94/K93)</f>
        <v>-</v>
      </c>
      <c r="L95" s="9" t="str">
        <f t="shared" ref="L95" si="332">IF(L93=0,"-",L94/L93)</f>
        <v>-</v>
      </c>
      <c r="M95" s="9" t="str">
        <f t="shared" ref="M95" si="333">IF(M93=0,"-",M94/M93)</f>
        <v>-</v>
      </c>
      <c r="N95" s="9" t="str">
        <f t="shared" ref="N95" si="334">IF(N93=0,"-",N94/N93)</f>
        <v>-</v>
      </c>
      <c r="O95" s="9" t="str">
        <f t="shared" ref="O95" si="335">IF(O93=0,"-",O94/O93)</f>
        <v>-</v>
      </c>
      <c r="P95" s="9" t="str">
        <f t="shared" ref="P95" si="336">IF(P93=0,"-",P94/P93)</f>
        <v>-</v>
      </c>
      <c r="Q95" s="188" t="str">
        <f t="shared" ref="Q95" si="337">IF(Q93=0,"-",Q94/Q93)</f>
        <v>-</v>
      </c>
      <c r="R95" s="2"/>
      <c r="S95" s="69" t="str">
        <f>IF(S93=0,"-",S94/S93)</f>
        <v>-</v>
      </c>
      <c r="T95" s="9" t="str">
        <f t="shared" ref="T95:AD95" si="338">IF(T93=0,"-",T94/T93)</f>
        <v>-</v>
      </c>
      <c r="U95" s="9" t="str">
        <f t="shared" si="338"/>
        <v>-</v>
      </c>
      <c r="V95" s="9" t="str">
        <f t="shared" si="338"/>
        <v>-</v>
      </c>
      <c r="W95" s="9" t="str">
        <f t="shared" si="338"/>
        <v>-</v>
      </c>
      <c r="X95" s="9" t="str">
        <f t="shared" si="338"/>
        <v>-</v>
      </c>
      <c r="Y95" s="9" t="str">
        <f t="shared" si="338"/>
        <v>-</v>
      </c>
      <c r="Z95" s="9" t="str">
        <f t="shared" si="338"/>
        <v>-</v>
      </c>
      <c r="AA95" s="9" t="str">
        <f t="shared" si="338"/>
        <v>-</v>
      </c>
      <c r="AB95" s="9" t="str">
        <f t="shared" si="338"/>
        <v>-</v>
      </c>
      <c r="AC95" s="9" t="str">
        <f t="shared" si="338"/>
        <v>-</v>
      </c>
      <c r="AD95" s="9" t="str">
        <f t="shared" si="338"/>
        <v>-</v>
      </c>
      <c r="AE95" s="69" t="str">
        <f>IF(AE93=0,"-",AE94/AE93)</f>
        <v>-</v>
      </c>
      <c r="AF95" s="295"/>
      <c r="AG95" s="105" t="str">
        <f t="shared" ref="AG95:AH95" si="339">IF(AG93=0,"-",AG94/AG93)</f>
        <v>-</v>
      </c>
      <c r="AH95" s="105" t="e">
        <f t="shared" si="339"/>
        <v>#REF!</v>
      </c>
      <c r="AI95" s="105"/>
      <c r="AJ95" s="212"/>
      <c r="AK95" s="212"/>
      <c r="AL95" s="58"/>
      <c r="AM95" s="11"/>
      <c r="AN95" s="244"/>
      <c r="AO95" s="69" t="e">
        <f t="shared" ref="AO95" si="340">IF(AO93=0,"-",AO94/AO93)</f>
        <v>#REF!</v>
      </c>
      <c r="AP95" s="295"/>
      <c r="AQ95" s="105" t="e">
        <f t="shared" ref="AQ95:AR95" si="341">IF(AQ93=0,"-",AQ94/AQ93)</f>
        <v>#REF!</v>
      </c>
      <c r="AR95" s="9" t="e">
        <f t="shared" si="341"/>
        <v>#REF!</v>
      </c>
      <c r="AS95" s="105"/>
      <c r="AT95" s="212"/>
      <c r="AU95" s="221"/>
      <c r="AV95" s="11"/>
      <c r="AW95" s="11"/>
      <c r="AX95" s="244"/>
      <c r="AY95" s="69"/>
      <c r="AZ95" s="295"/>
      <c r="BA95" s="9" t="e">
        <f t="shared" ref="BA95" si="342">IF(BA93=0,"-",BA94/BA93)</f>
        <v>#REF!</v>
      </c>
      <c r="BB95" s="105"/>
      <c r="BC95" s="212"/>
      <c r="BD95" s="221"/>
      <c r="BE95" s="58"/>
      <c r="BF95" s="11"/>
      <c r="BG95" s="244"/>
      <c r="BH95" s="69" t="e">
        <f t="shared" ref="BH95:BI95" si="343">IF(BH93=0,"-",BH94/BH93)</f>
        <v>#REF!</v>
      </c>
      <c r="BI95" s="9" t="e">
        <f t="shared" si="343"/>
        <v>#REF!</v>
      </c>
      <c r="BJ95" s="9"/>
      <c r="BK95" s="212"/>
      <c r="BL95" s="221"/>
      <c r="BM95" s="2"/>
      <c r="BN95" s="232"/>
      <c r="BO95" s="232"/>
      <c r="BP95" s="2"/>
      <c r="BQ95" s="173"/>
      <c r="BR95" s="173"/>
      <c r="BS95" s="173"/>
      <c r="BT95" s="173"/>
      <c r="BU95" s="173"/>
      <c r="BV95" s="173"/>
      <c r="BW95" s="173"/>
      <c r="BX95" s="173"/>
      <c r="BY95" s="173"/>
      <c r="BZ95" s="173"/>
      <c r="CA95" s="173"/>
      <c r="CB95" s="173"/>
      <c r="CC95" s="69"/>
      <c r="CD95" s="203"/>
      <c r="CE95" s="11"/>
      <c r="CF95" s="69"/>
      <c r="CG95" s="135"/>
      <c r="CH95" s="149"/>
      <c r="CI95" s="58"/>
      <c r="CJ95" s="11"/>
      <c r="CK95" s="69"/>
      <c r="CL95" s="135"/>
      <c r="CM95" s="10"/>
    </row>
    <row r="96" spans="2:91" x14ac:dyDescent="0.2">
      <c r="B96" s="56"/>
      <c r="C96" s="70"/>
      <c r="D96" s="2"/>
      <c r="E96" s="58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89"/>
      <c r="R96" s="2"/>
      <c r="S96" s="58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58"/>
      <c r="AF96" s="296"/>
      <c r="AG96" s="106"/>
      <c r="AH96" s="106"/>
      <c r="AI96" s="106"/>
      <c r="AJ96" s="198"/>
      <c r="AK96" s="198"/>
      <c r="AL96" s="58"/>
      <c r="AM96" s="11"/>
      <c r="AN96" s="245"/>
      <c r="AO96" s="58"/>
      <c r="AP96" s="296"/>
      <c r="AQ96" s="106"/>
      <c r="AR96" s="71"/>
      <c r="AS96" s="106"/>
      <c r="AT96" s="198"/>
      <c r="AU96" s="225"/>
      <c r="AV96" s="11"/>
      <c r="AW96" s="11"/>
      <c r="AX96" s="245"/>
      <c r="AY96" s="58"/>
      <c r="AZ96" s="296"/>
      <c r="BA96" s="71"/>
      <c r="BB96" s="106"/>
      <c r="BC96" s="198"/>
      <c r="BD96" s="225"/>
      <c r="BE96" s="58"/>
      <c r="BF96" s="11"/>
      <c r="BG96" s="245"/>
      <c r="BH96" s="58"/>
      <c r="BI96" s="11"/>
      <c r="BJ96" s="11"/>
      <c r="BK96" s="198"/>
      <c r="BL96" s="225"/>
      <c r="BM96" s="2"/>
      <c r="BN96" s="233"/>
      <c r="BO96" s="233"/>
      <c r="BP96" s="2"/>
      <c r="BQ96" s="173"/>
      <c r="BR96" s="173"/>
      <c r="BS96" s="173"/>
      <c r="BT96" s="173"/>
      <c r="BU96" s="173"/>
      <c r="BV96" s="173"/>
      <c r="BW96" s="173"/>
      <c r="BX96" s="173"/>
      <c r="BY96" s="173"/>
      <c r="BZ96" s="173"/>
      <c r="CA96" s="173"/>
      <c r="CB96" s="173"/>
      <c r="CC96" s="133"/>
      <c r="CD96" s="208"/>
      <c r="CE96" s="11"/>
      <c r="CF96" s="133"/>
      <c r="CG96" s="125"/>
      <c r="CH96" s="70"/>
      <c r="CI96" s="58"/>
      <c r="CJ96" s="11"/>
      <c r="CK96" s="133"/>
      <c r="CL96" s="125"/>
      <c r="CM96" s="71"/>
    </row>
    <row r="97" spans="2:91" x14ac:dyDescent="0.2">
      <c r="B97" s="72"/>
      <c r="C97" s="73" t="s">
        <v>9</v>
      </c>
      <c r="D97" s="74"/>
      <c r="E97" s="97">
        <f>IF(ISERROR(VLOOKUP(CONCATENATE($B85,E$5),TBCHISTORIQUE,12,FALSE)/1000),0,VLOOKUP(CONCATENATE($B85,E$5),TBCHISTORIQUE,12,FALSE)/1000)</f>
        <v>0</v>
      </c>
      <c r="F97" s="171">
        <f t="shared" ref="F97:P97" si="344">IF(ISERROR(VLOOKUP(CONCATENATE($B$50,F$5),TBCHISTORIQUE,12,FALSE)/1000),0,VLOOKUP(CONCATENATE($B$50,F$5),TBCHISTORIQUE,12,FALSE)/1000)</f>
        <v>0</v>
      </c>
      <c r="G97" s="171">
        <f t="shared" si="344"/>
        <v>0</v>
      </c>
      <c r="H97" s="171">
        <f t="shared" si="344"/>
        <v>0</v>
      </c>
      <c r="I97" s="171">
        <f t="shared" si="344"/>
        <v>0</v>
      </c>
      <c r="J97" s="171">
        <f t="shared" si="344"/>
        <v>0</v>
      </c>
      <c r="K97" s="171">
        <f t="shared" si="344"/>
        <v>0</v>
      </c>
      <c r="L97" s="171">
        <f t="shared" si="344"/>
        <v>0</v>
      </c>
      <c r="M97" s="171">
        <f t="shared" si="344"/>
        <v>0</v>
      </c>
      <c r="N97" s="171">
        <f t="shared" si="344"/>
        <v>0</v>
      </c>
      <c r="O97" s="171">
        <f t="shared" si="344"/>
        <v>0</v>
      </c>
      <c r="P97" s="172">
        <f t="shared" si="344"/>
        <v>0</v>
      </c>
      <c r="Q97" s="190">
        <f>SUMIF($E$5:$P$5,"&lt;="&amp;mois,E97:P97)</f>
        <v>0</v>
      </c>
      <c r="R97" s="74"/>
      <c r="S97" s="97">
        <f t="shared" ref="S97:AD97" si="345">IF(ISERROR(VLOOKUP(CONCATENATE($B$85,S$5),TBCA,12,FALSE)/1000),0,VLOOKUP(CONCATENATE($B$85,S$5),TBCA,12,FALSE)/1000)</f>
        <v>0</v>
      </c>
      <c r="T97" s="171">
        <f t="shared" si="345"/>
        <v>0</v>
      </c>
      <c r="U97" s="171">
        <f t="shared" si="345"/>
        <v>0</v>
      </c>
      <c r="V97" s="171">
        <f t="shared" si="345"/>
        <v>0</v>
      </c>
      <c r="W97" s="171">
        <f t="shared" si="345"/>
        <v>0</v>
      </c>
      <c r="X97" s="171">
        <f t="shared" si="345"/>
        <v>0</v>
      </c>
      <c r="Y97" s="171">
        <f t="shared" si="345"/>
        <v>0</v>
      </c>
      <c r="Z97" s="171">
        <f t="shared" si="345"/>
        <v>0</v>
      </c>
      <c r="AA97" s="171">
        <f t="shared" si="345"/>
        <v>0</v>
      </c>
      <c r="AB97" s="171">
        <f t="shared" si="345"/>
        <v>0</v>
      </c>
      <c r="AC97" s="171">
        <f t="shared" si="345"/>
        <v>0</v>
      </c>
      <c r="AD97" s="172">
        <f t="shared" si="345"/>
        <v>0</v>
      </c>
      <c r="AE97" s="97">
        <f>SUMIF($S$5:$AD$5,"&lt;="&amp;mois,S97:AD97)</f>
        <v>0</v>
      </c>
      <c r="AF97" s="292"/>
      <c r="AG97" s="107">
        <f>AE97-AF97</f>
        <v>0</v>
      </c>
      <c r="AH97" s="107" t="e">
        <f>IF(EXCERCICE="PA",AE97-($CC97/12*(mois)),IF(EXCERCICE="LB1",AE97-($CF97/12*(mois)),AE97-($CK97/12*(mois))))</f>
        <v>#REF!</v>
      </c>
      <c r="AI97" s="107"/>
      <c r="AJ97" s="215">
        <f>IF(ISERROR(IF(EXCERCICE="PA",AE97/$CC97,IF(EXCERCICE="LB1",AE97/$CF97,AE97/$CK97))),0,IF(EXCERCICE="PA",AE97/$CC97,IF(EXCERCICE="LB1",AE97/$CF97,AE97/$CK97)))</f>
        <v>0</v>
      </c>
      <c r="AK97" s="215"/>
      <c r="AL97" s="75"/>
      <c r="AM97" s="77"/>
      <c r="AN97" s="246"/>
      <c r="AO97" s="97" t="e">
        <f>IF(mois+1&gt;12,AN97,+$AE97+AN97)</f>
        <v>#REF!</v>
      </c>
      <c r="AP97" s="292"/>
      <c r="AQ97" s="107" t="e">
        <f>AO97-AP97</f>
        <v>#REF!</v>
      </c>
      <c r="AR97" s="78" t="e">
        <f>IF(mois+1&gt;12,0,IF(mois=12,IF(EXCERCICE="PA",AO97-($CC97/12),IF(EXCERCICE="LB1",AO97-($CF97/12),AO97-($CK97/12))),IF(EXCERCICE="PA",AO97-($CC97/12*(mois+1)),IF(EXCERCICE="LB1",AO97-($CF97/12*(mois+1)),AO97-($CK97/12*(mois+1))))))</f>
        <v>#REF!</v>
      </c>
      <c r="AS97" s="180"/>
      <c r="AT97" s="215" t="e">
        <f>IF(mois+1&gt;12,0,IF(ISERROR(IF(EXCERCICE="PA",AO97/$CC97,IF(EXCERCICE="LB1",AO97/$CF97,AO97/$CK97))),0,IF(EXCERCICE="PA",AO97/$CC97,IF(EXCERCICE="LB1",AO97/$CF97,AO97/$CK97))))</f>
        <v>#REF!</v>
      </c>
      <c r="AU97" s="226"/>
      <c r="AV97" s="11"/>
      <c r="AW97" s="77"/>
      <c r="AX97" s="246"/>
      <c r="AY97" s="97"/>
      <c r="AZ97" s="292"/>
      <c r="BA97" s="78" t="e">
        <f>IF(mois+2&gt;12,0,IF(mois=12,IF(EXCERCICE="PA",AY97-($CC97/12),IF(EXCERCICE="LB1",AY97-($CF97/12),AY97-($CK97/12))),IF(EXCERCICE="PA",AY97-($CC97/12*(mois+2)),IF(EXCERCICE="LB1",AY97-($CF97/12*(mois+2)),AY97-($CK97/12*(mois+2))))))</f>
        <v>#REF!</v>
      </c>
      <c r="BB97" s="180"/>
      <c r="BC97" s="215" t="e">
        <f>IF(mois+2&gt;12,0,IF(ISERROR(IF(EXCERCICE="PA",AY97/$CC97,IF(EXCERCICE="LB1",AY97/$CF97,AY97/$CK97))),0,IF(EXCERCICE="PA",AY97/$CC97,IF(EXCERCICE="LB1",AY97/$CF97,AY97/$CK97))))</f>
        <v>#REF!</v>
      </c>
      <c r="BD97" s="226"/>
      <c r="BE97" s="75"/>
      <c r="BF97" s="77"/>
      <c r="BG97" s="246"/>
      <c r="BH97" s="97" t="e">
        <f>IF(mois+3=13,BG97,IF(mois+3&gt;15,BG97,+$AY97+BG97))</f>
        <v>#REF!</v>
      </c>
      <c r="BI97" s="78" t="e">
        <f>IF(mois+3&gt;12,0,IF(mois=12,IF(EXCERCICE="PA",BH97-($CC97/12),IF(EXCERCICE="LB1",BH97-($CF97/12),BH97-($CK97/12))),IF(EXCERCICE="PA",BH97-($CC97/12*(mois+3)),IF(EXCERCICE="LB1",BH97-($CF97/12*(mois+3)),BH97-($CK97/12*(mois+3))))))</f>
        <v>#REF!</v>
      </c>
      <c r="BJ97" s="78"/>
      <c r="BK97" s="215" t="e">
        <f>IF(mois+3&gt;12,0,IF(ISERROR(IF(EXCERCICE="PA",BH97/$CC97,IF(EXCERCICE="LB1",BH97/$CF97,BH97/$CK97))),0,IF(EXCERCICE="PA",BH97/$CC97,IF(EXCERCICE="LB1",BH97/$CF97,BH97/$CK97))))</f>
        <v>#REF!</v>
      </c>
      <c r="BL97" s="226"/>
      <c r="BM97" s="2"/>
      <c r="BN97" s="123" t="e">
        <f>IF(mois&gt;=12,IF(EXCERCICE="PA",CC97-AE97,IF(EXCERCICE="LB1",CF97-AE97,IF(EXCERCICE="LB2",$CK97-AE97))),
IF(mois+1&lt;=13,IF(EXCERCICE="PA",CC97-AO97,IF(EXCERCICE="LB1",CF97-AO97,IF(EXCERCICE="LB2",$CK97-AO97))),
IF(mois+2&lt;=14,IF(EXCERCICE="PA",CC97-AY97,IF(EXCERCICE="LB1",CF97-AY97,IF(EXCERCICE="LB2",$CK97-AY97))),
IF(mois+3&lt;=15,IF(EXCERCICE="PA",CC97-BH97,IF(EXCERCICE="LB1",CF97-BH97,IF(EXCERCICE="LB2",$CK97-BH97))),0))))</f>
        <v>#REF!</v>
      </c>
      <c r="BO97" s="123" t="e">
        <f>IF(BN97&lt;0,0,BN97/(12-mois))</f>
        <v>#REF!</v>
      </c>
      <c r="BP97" s="2"/>
      <c r="BQ97" s="173"/>
      <c r="BR97" s="173"/>
      <c r="BS97" s="173"/>
      <c r="BT97" s="173"/>
      <c r="BU97" s="173"/>
      <c r="BV97" s="173"/>
      <c r="BW97" s="173"/>
      <c r="BX97" s="173"/>
      <c r="BY97" s="173"/>
      <c r="BZ97" s="173"/>
      <c r="CA97" s="173"/>
      <c r="CB97" s="173"/>
      <c r="CC97" s="97"/>
      <c r="CD97" s="209"/>
      <c r="CE97" s="77"/>
      <c r="CF97" s="97"/>
      <c r="CG97" s="136"/>
      <c r="CH97" s="76"/>
      <c r="CI97" s="75"/>
      <c r="CJ97" s="77"/>
      <c r="CK97" s="97"/>
      <c r="CL97" s="136"/>
      <c r="CM97" s="78"/>
    </row>
    <row r="98" spans="2:91" x14ac:dyDescent="0.2">
      <c r="B98" s="72"/>
      <c r="C98" s="73" t="s">
        <v>10</v>
      </c>
      <c r="D98" s="74"/>
      <c r="E98" s="97">
        <f>IF(ISERROR(VLOOKUP(CONCATENATE($B85,E$5),TBCHISTORIQUE,13,FALSE)/1000),0,VLOOKUP(CONCATENATE($B85,E$5),TBCHISTORIQUE,13,FALSE)/1000)</f>
        <v>0</v>
      </c>
      <c r="F98" s="171">
        <f t="shared" ref="F98:P98" si="346">IF(ISERROR(VLOOKUP(CONCATENATE($B$50,F$5),TBCHISTORIQUE,13,FALSE)/1000),0,VLOOKUP(CONCATENATE($B$50,F$5),TBCHISTORIQUE,13,FALSE)/1000)</f>
        <v>0</v>
      </c>
      <c r="G98" s="171">
        <f t="shared" si="346"/>
        <v>0</v>
      </c>
      <c r="H98" s="171">
        <f t="shared" si="346"/>
        <v>0</v>
      </c>
      <c r="I98" s="171">
        <f t="shared" si="346"/>
        <v>0</v>
      </c>
      <c r="J98" s="171">
        <f t="shared" si="346"/>
        <v>0</v>
      </c>
      <c r="K98" s="171">
        <f t="shared" si="346"/>
        <v>0</v>
      </c>
      <c r="L98" s="171">
        <f t="shared" si="346"/>
        <v>0</v>
      </c>
      <c r="M98" s="171">
        <f t="shared" si="346"/>
        <v>0</v>
      </c>
      <c r="N98" s="171">
        <f t="shared" si="346"/>
        <v>0</v>
      </c>
      <c r="O98" s="171">
        <f t="shared" si="346"/>
        <v>0</v>
      </c>
      <c r="P98" s="172">
        <f t="shared" si="346"/>
        <v>0</v>
      </c>
      <c r="Q98" s="190">
        <f>SUMIF($E$5:$P$5,"&lt;="&amp;mois,E98:P98)</f>
        <v>0</v>
      </c>
      <c r="R98" s="74"/>
      <c r="S98" s="97">
        <f t="shared" ref="S98:AD98" si="347">IF(ISERROR(VLOOKUP(CONCATENATE($B$85,S$5),TBCA,13,FALSE)/1000),0,VLOOKUP(CONCATENATE($B$85,S$5),TBCA,13,FALSE)/1000)</f>
        <v>0</v>
      </c>
      <c r="T98" s="171">
        <f t="shared" si="347"/>
        <v>0</v>
      </c>
      <c r="U98" s="171">
        <f t="shared" si="347"/>
        <v>0</v>
      </c>
      <c r="V98" s="171">
        <f t="shared" si="347"/>
        <v>0</v>
      </c>
      <c r="W98" s="171">
        <f t="shared" si="347"/>
        <v>0</v>
      </c>
      <c r="X98" s="171">
        <f t="shared" si="347"/>
        <v>0</v>
      </c>
      <c r="Y98" s="171">
        <f t="shared" si="347"/>
        <v>0</v>
      </c>
      <c r="Z98" s="171">
        <f t="shared" si="347"/>
        <v>0</v>
      </c>
      <c r="AA98" s="171">
        <f t="shared" si="347"/>
        <v>0</v>
      </c>
      <c r="AB98" s="171">
        <f t="shared" si="347"/>
        <v>0</v>
      </c>
      <c r="AC98" s="171">
        <f t="shared" si="347"/>
        <v>0</v>
      </c>
      <c r="AD98" s="172">
        <f t="shared" si="347"/>
        <v>0</v>
      </c>
      <c r="AE98" s="97">
        <f>SUMIF($S$5:$AD$5,"&lt;="&amp;mois,S98:AD98)</f>
        <v>0</v>
      </c>
      <c r="AF98" s="292"/>
      <c r="AG98" s="107">
        <f>AE98-AF98</f>
        <v>0</v>
      </c>
      <c r="AH98" s="107" t="e">
        <f>IF(EXCERCICE="PA",AE98-($CC98/12*(mois)),IF(EXCERCICE="LB1",AE98-($CF98/12*(mois)),AE98-($CK98/12*(mois))))</f>
        <v>#REF!</v>
      </c>
      <c r="AI98" s="107"/>
      <c r="AJ98" s="215">
        <f>IF(ISERROR(IF(EXCERCICE="PA",AE98/$CC98,IF(EXCERCICE="LB1",AE98/$CF98,AE98/$CK98))),0,IF(EXCERCICE="PA",AE98/$CC98,IF(EXCERCICE="LB1",AE98/$CF98,AE98/$CK98)))</f>
        <v>0</v>
      </c>
      <c r="AK98" s="215"/>
      <c r="AL98" s="75"/>
      <c r="AM98" s="77"/>
      <c r="AN98" s="246"/>
      <c r="AO98" s="97" t="e">
        <f>IF(mois+1&gt;12,AN98,+$AE98+AN98)</f>
        <v>#REF!</v>
      </c>
      <c r="AP98" s="292"/>
      <c r="AQ98" s="107" t="e">
        <f>AO98-AP98</f>
        <v>#REF!</v>
      </c>
      <c r="AR98" s="78" t="e">
        <f>IF(mois+1&gt;12,0,IF(mois=12,IF(EXCERCICE="PA",AO98-($CC98/12),IF(EXCERCICE="LB1",AO98-($CF98/12),AO98-($CK98/12))),IF(EXCERCICE="PA",AO98-($CC98/12*(mois+1)),IF(EXCERCICE="LB1",AO98-($CF98/12*(mois+1)),AO98-($CK98/12*(mois+1))))))</f>
        <v>#REF!</v>
      </c>
      <c r="AS98" s="180"/>
      <c r="AT98" s="215" t="e">
        <f>IF(mois+1&gt;12,0,IF(ISERROR(IF(EXCERCICE="PA",AO98/$CC98,IF(EXCERCICE="LB1",AO98/$CF98,AO98/$CK98))),0,IF(EXCERCICE="PA",AO98/$CC98,IF(EXCERCICE="LB1",AO98/$CF98,AO98/$CK98))))</f>
        <v>#REF!</v>
      </c>
      <c r="AU98" s="226"/>
      <c r="AV98" s="11"/>
      <c r="AW98" s="77"/>
      <c r="AX98" s="246"/>
      <c r="AY98" s="97"/>
      <c r="AZ98" s="292"/>
      <c r="BA98" s="78" t="e">
        <f>IF(mois+2&gt;12,0,IF(mois=12,IF(EXCERCICE="PA",AY98-($CC98/12),IF(EXCERCICE="LB1",AY98-($CF98/12),AY98-($CK98/12))),IF(EXCERCICE="PA",AY98-($CC98/12*(mois+2)),IF(EXCERCICE="LB1",AY98-($CF98/12*(mois+2)),AY98-($CK98/12*(mois+2))))))</f>
        <v>#REF!</v>
      </c>
      <c r="BB98" s="180"/>
      <c r="BC98" s="215" t="e">
        <f>IF(mois+2&gt;12,0,IF(ISERROR(IF(EXCERCICE="PA",AY98/$CC98,IF(EXCERCICE="LB1",AY98/$CF98,AY98/$CK98))),0,IF(EXCERCICE="PA",AY98/$CC98,IF(EXCERCICE="LB1",AY98/$CF98,AY98/$CK98))))</f>
        <v>#REF!</v>
      </c>
      <c r="BD98" s="226"/>
      <c r="BE98" s="75"/>
      <c r="BF98" s="77"/>
      <c r="BG98" s="246"/>
      <c r="BH98" s="97" t="e">
        <f>IF(mois+3=13,BG98,IF(mois+3&gt;15,BG98,+$AY98+BG98))</f>
        <v>#REF!</v>
      </c>
      <c r="BI98" s="78" t="e">
        <f>IF(mois+3&gt;12,0,IF(mois=12,IF(EXCERCICE="PA",BH98-($CC98/12),IF(EXCERCICE="LB1",BH98-($CF98/12),BH98-($CK98/12))),IF(EXCERCICE="PA",BH98-($CC98/12*(mois+3)),IF(EXCERCICE="LB1",BH98-($CF98/12*(mois+3)),BH98-($CK98/12*(mois+3))))))</f>
        <v>#REF!</v>
      </c>
      <c r="BJ98" s="78"/>
      <c r="BK98" s="215" t="e">
        <f>IF(mois+3&gt;12,0,IF(ISERROR(IF(EXCERCICE="PA",BH98/$CC98,IF(EXCERCICE="LB1",BH98/$CF98,BH98/$CK98))),0,IF(EXCERCICE="PA",BH98/$CC98,IF(EXCERCICE="LB1",BH98/$CF98,BH98/$CK98))))</f>
        <v>#REF!</v>
      </c>
      <c r="BL98" s="226"/>
      <c r="BM98" s="2"/>
      <c r="BN98" s="123" t="e">
        <f>IF(mois&gt;=12,IF(EXCERCICE="PA",CC98-AE98,IF(EXCERCICE="LB1",CF98-AE98,IF(EXCERCICE="LB2",$CK98-AE98))),
IF(mois+1&lt;=13,IF(EXCERCICE="PA",CC98-AO98,IF(EXCERCICE="LB1",CF98-AO98,IF(EXCERCICE="LB2",$CK98-AO98))),
IF(mois+2&lt;=14,IF(EXCERCICE="PA",CC98-AY98,IF(EXCERCICE="LB1",CF98-AY98,IF(EXCERCICE="LB2",$CK98-AY98))),
IF(mois+3&lt;=15,IF(EXCERCICE="PA",CC98-BH98,IF(EXCERCICE="LB1",CF98-BH98,IF(EXCERCICE="LB2",$CK98-BH98))),0))))</f>
        <v>#REF!</v>
      </c>
      <c r="BO98" s="123" t="e">
        <f>IF(BN98&lt;0,0,BN98/(12-mois))</f>
        <v>#REF!</v>
      </c>
      <c r="BP98" s="2"/>
      <c r="BQ98" s="173"/>
      <c r="BR98" s="173"/>
      <c r="BS98" s="173"/>
      <c r="BT98" s="173"/>
      <c r="BU98" s="173"/>
      <c r="BV98" s="173"/>
      <c r="BW98" s="173"/>
      <c r="BX98" s="173"/>
      <c r="BY98" s="173"/>
      <c r="BZ98" s="173"/>
      <c r="CA98" s="173"/>
      <c r="CB98" s="173"/>
      <c r="CC98" s="97"/>
      <c r="CD98" s="209"/>
      <c r="CE98" s="77"/>
      <c r="CF98" s="97"/>
      <c r="CG98" s="136"/>
      <c r="CH98" s="76"/>
      <c r="CI98" s="75"/>
      <c r="CJ98" s="77"/>
      <c r="CK98" s="97"/>
      <c r="CL98" s="136"/>
      <c r="CM98" s="78"/>
    </row>
    <row r="99" spans="2:91" x14ac:dyDescent="0.2">
      <c r="B99" s="56"/>
      <c r="C99" s="79" t="s">
        <v>64</v>
      </c>
      <c r="D99" s="51"/>
      <c r="E99" s="98">
        <f>E94+SUM(E97:E98)</f>
        <v>0</v>
      </c>
      <c r="F99" s="14">
        <f t="shared" ref="F99" si="348">F94+SUM(F97:F98)</f>
        <v>0</v>
      </c>
      <c r="G99" s="14">
        <f t="shared" ref="G99" si="349">G94+SUM(G97:G98)</f>
        <v>0</v>
      </c>
      <c r="H99" s="14">
        <f t="shared" ref="H99" si="350">H94+SUM(H97:H98)</f>
        <v>0</v>
      </c>
      <c r="I99" s="14">
        <f t="shared" ref="I99" si="351">I94+SUM(I97:I98)</f>
        <v>0</v>
      </c>
      <c r="J99" s="14">
        <f t="shared" ref="J99" si="352">J94+SUM(J97:J98)</f>
        <v>0</v>
      </c>
      <c r="K99" s="14">
        <f t="shared" ref="K99" si="353">K94+SUM(K97:K98)</f>
        <v>0</v>
      </c>
      <c r="L99" s="14">
        <f t="shared" ref="L99" si="354">L94+SUM(L97:L98)</f>
        <v>0</v>
      </c>
      <c r="M99" s="14">
        <f t="shared" ref="M99" si="355">M94+SUM(M97:M98)</f>
        <v>0</v>
      </c>
      <c r="N99" s="14">
        <f t="shared" ref="N99" si="356">N94+SUM(N97:N98)</f>
        <v>0</v>
      </c>
      <c r="O99" s="14">
        <f t="shared" ref="O99" si="357">O94+SUM(O97:O98)</f>
        <v>0</v>
      </c>
      <c r="P99" s="14">
        <f t="shared" ref="P99" si="358">P94+SUM(P97:P98)</f>
        <v>0</v>
      </c>
      <c r="Q99" s="191">
        <f>Q94+SUM(Q97:Q98)</f>
        <v>0</v>
      </c>
      <c r="R99" s="51"/>
      <c r="S99" s="98">
        <f>S94+SUM(S97:S98)</f>
        <v>0</v>
      </c>
      <c r="T99" s="14">
        <f t="shared" ref="T99:AD99" si="359">T94+SUM(T97:T98)</f>
        <v>0</v>
      </c>
      <c r="U99" s="14">
        <f t="shared" si="359"/>
        <v>0</v>
      </c>
      <c r="V99" s="14">
        <f t="shared" si="359"/>
        <v>0</v>
      </c>
      <c r="W99" s="14">
        <f t="shared" si="359"/>
        <v>0</v>
      </c>
      <c r="X99" s="14">
        <f t="shared" si="359"/>
        <v>0</v>
      </c>
      <c r="Y99" s="14">
        <f t="shared" si="359"/>
        <v>0</v>
      </c>
      <c r="Z99" s="14">
        <f t="shared" si="359"/>
        <v>0</v>
      </c>
      <c r="AA99" s="14">
        <f t="shared" si="359"/>
        <v>0</v>
      </c>
      <c r="AB99" s="14">
        <f t="shared" si="359"/>
        <v>0</v>
      </c>
      <c r="AC99" s="14">
        <f t="shared" si="359"/>
        <v>0</v>
      </c>
      <c r="AD99" s="14">
        <f t="shared" si="359"/>
        <v>0</v>
      </c>
      <c r="AE99" s="98">
        <f>AE94+SUM(AE97:AE98)</f>
        <v>0</v>
      </c>
      <c r="AF99" s="297"/>
      <c r="AG99" s="108">
        <f>AE99-AF99</f>
        <v>0</v>
      </c>
      <c r="AH99" s="108" t="e">
        <f>IF(EXCERCICE="PA",AE99-($CC99/12*(mois)),IF(EXCERCICE="LB1",AE99-($CF99/12*(mois)),AE99-($CK99/12*(mois))))</f>
        <v>#REF!</v>
      </c>
      <c r="AI99" s="108"/>
      <c r="AJ99" s="201">
        <f>IF(ISERROR(IF(EXCERCICE="PA",AE99/$CC99,IF(EXCERCICE="LB1",AE99/$CF99,AE99/$CK99))),0,IF(EXCERCICE="PA",AE99/$CC99,IF(EXCERCICE="LB1",AE99/$CF99,AE99/$CK99)))</f>
        <v>0</v>
      </c>
      <c r="AK99" s="201"/>
      <c r="AL99" s="52"/>
      <c r="AM99" s="54"/>
      <c r="AN99" s="247"/>
      <c r="AO99" s="98" t="e">
        <f>AO94+SUM(AO97:AO98)</f>
        <v>#REF!</v>
      </c>
      <c r="AP99" s="297"/>
      <c r="AQ99" s="108" t="e">
        <f>AO99-AP99</f>
        <v>#REF!</v>
      </c>
      <c r="AR99" s="14" t="e">
        <f>AR94+SUM(AR97:AR98)</f>
        <v>#REF!</v>
      </c>
      <c r="AS99" s="108"/>
      <c r="AT99" s="201" t="e">
        <f>IF(mois+1&gt;12,0,IF(ISERROR(IF(EXCERCICE="PA",AO99/$CC99,IF(EXCERCICE="LB1",AO99/$CF99,AO99/$CK99))),0,IF(EXCERCICE="PA",AO99/$CC99,IF(EXCERCICE="LB1",AO99/$CF99,AO99/$CK99))))</f>
        <v>#REF!</v>
      </c>
      <c r="AU99" s="227"/>
      <c r="AV99" s="11"/>
      <c r="AW99" s="54"/>
      <c r="AX99" s="247"/>
      <c r="AY99" s="98"/>
      <c r="AZ99" s="297"/>
      <c r="BA99" s="14" t="e">
        <f>BA94+SUM(BA97:BA98)</f>
        <v>#REF!</v>
      </c>
      <c r="BB99" s="108"/>
      <c r="BC99" s="201" t="e">
        <f>IF(mois+2&gt;12,0,IF(ISERROR(IF(EXCERCICE="PA",AY99/$CC99,IF(EXCERCICE="LB1",AY99/$CF99,AY99/$CK99))),0,IF(EXCERCICE="PA",AY99/$CC99,IF(EXCERCICE="LB1",AY99/$CF99,AY99/$CK99))))</f>
        <v>#REF!</v>
      </c>
      <c r="BD99" s="227"/>
      <c r="BE99" s="52"/>
      <c r="BF99" s="54"/>
      <c r="BG99" s="247"/>
      <c r="BH99" s="98" t="e">
        <f>BH94+SUM(BH97:BH98)</f>
        <v>#REF!</v>
      </c>
      <c r="BI99" s="14" t="e">
        <f>BI94+SUM(BI97:BI98)</f>
        <v>#REF!</v>
      </c>
      <c r="BJ99" s="14"/>
      <c r="BK99" s="201" t="e">
        <f>IF(mois+3&gt;12,0,IF(ISERROR(IF(EXCERCICE="PA",BH99/$CC99,IF(EXCERCICE="LB1",BH99/$CF99,BH99/$CK99))),0,IF(EXCERCICE="PA",BH99/$CC99,IF(EXCERCICE="LB1",BH99/$CF99,BH99/$CK99))))</f>
        <v>#REF!</v>
      </c>
      <c r="BL99" s="227"/>
      <c r="BM99" s="2"/>
      <c r="BN99" s="235" t="e">
        <f>IF(mois&gt;=12,IF(EXCERCICE="PA",CC99-AE99,IF(EXCERCICE="LB1",CF99-AE99,IF(EXCERCICE="LB2",$CK99-AE99))),
IF(mois+1&lt;=13,IF(EXCERCICE="PA",CC99-AO99,IF(EXCERCICE="LB1",CF99-AO99,IF(EXCERCICE="LB2",$CK99-AO99))),
IF(mois+2&lt;=14,IF(EXCERCICE="PA",CC99-AY99,IF(EXCERCICE="LB1",CF99-AY99,IF(EXCERCICE="LB2",$CK99-AY99))),
IF(mois+3&lt;=15,IF(EXCERCICE="PA",CC99-BH99,IF(EXCERCICE="LB1",CF99-BH99,IF(EXCERCICE="LB2",$CK99-BH99))),0))))</f>
        <v>#REF!</v>
      </c>
      <c r="BO99" s="235" t="e">
        <f>IF(BN99&lt;0,0,BN99/(12-mois))</f>
        <v>#REF!</v>
      </c>
      <c r="BP99" s="2"/>
      <c r="BQ99" s="173"/>
      <c r="BR99" s="173"/>
      <c r="BS99" s="173"/>
      <c r="BT99" s="173"/>
      <c r="BU99" s="173"/>
      <c r="BV99" s="173"/>
      <c r="BW99" s="173"/>
      <c r="BX99" s="173"/>
      <c r="BY99" s="173"/>
      <c r="BZ99" s="173"/>
      <c r="CA99" s="173"/>
      <c r="CB99" s="173"/>
      <c r="CC99" s="98"/>
      <c r="CD99" s="210"/>
      <c r="CE99" s="54"/>
      <c r="CF99" s="98"/>
      <c r="CG99" s="127"/>
      <c r="CH99" s="80"/>
      <c r="CI99" s="52"/>
      <c r="CJ99" s="54"/>
      <c r="CK99" s="98"/>
      <c r="CL99" s="127"/>
      <c r="CM99" s="14"/>
    </row>
    <row r="100" spans="2:91" x14ac:dyDescent="0.2">
      <c r="B100" s="60"/>
      <c r="C100" s="257" t="s">
        <v>65</v>
      </c>
      <c r="E100" s="61" t="str">
        <f>IF(E93=0,"-",E99/E93)</f>
        <v>-</v>
      </c>
      <c r="F100" s="7" t="str">
        <f t="shared" ref="F100" si="360">IF(F93=0,"-",F99/F93)</f>
        <v>-</v>
      </c>
      <c r="G100" s="7" t="str">
        <f t="shared" ref="G100" si="361">IF(G93=0,"-",G99/G93)</f>
        <v>-</v>
      </c>
      <c r="H100" s="7" t="str">
        <f t="shared" ref="H100" si="362">IF(H93=0,"-",H99/H93)</f>
        <v>-</v>
      </c>
      <c r="I100" s="7" t="str">
        <f t="shared" ref="I100" si="363">IF(I93=0,"-",I99/I93)</f>
        <v>-</v>
      </c>
      <c r="J100" s="7" t="str">
        <f t="shared" ref="J100" si="364">IF(J93=0,"-",J99/J93)</f>
        <v>-</v>
      </c>
      <c r="K100" s="7" t="str">
        <f t="shared" ref="K100" si="365">IF(K93=0,"-",K99/K93)</f>
        <v>-</v>
      </c>
      <c r="L100" s="7" t="str">
        <f t="shared" ref="L100" si="366">IF(L93=0,"-",L99/L93)</f>
        <v>-</v>
      </c>
      <c r="M100" s="7" t="str">
        <f t="shared" ref="M100" si="367">IF(M93=0,"-",M99/M93)</f>
        <v>-</v>
      </c>
      <c r="N100" s="7" t="str">
        <f t="shared" ref="N100" si="368">IF(N93=0,"-",N99/N93)</f>
        <v>-</v>
      </c>
      <c r="O100" s="7" t="str">
        <f t="shared" ref="O100" si="369">IF(O93=0,"-",O99/O93)</f>
        <v>-</v>
      </c>
      <c r="P100" s="7" t="str">
        <f t="shared" ref="P100" si="370">IF(P93=0,"-",P99/P93)</f>
        <v>-</v>
      </c>
      <c r="Q100" s="186" t="str">
        <f t="shared" ref="Q100" si="371">IF(Q93=0,"-",Q99/Q93)</f>
        <v>-</v>
      </c>
      <c r="S100" s="61" t="str">
        <f>IF(S93=0,"-",S99/S93)</f>
        <v>-</v>
      </c>
      <c r="T100" s="7" t="str">
        <f t="shared" ref="T100:AE100" si="372">IF(T93=0,"-",T99/T93)</f>
        <v>-</v>
      </c>
      <c r="U100" s="7" t="str">
        <f t="shared" si="372"/>
        <v>-</v>
      </c>
      <c r="V100" s="7" t="str">
        <f t="shared" si="372"/>
        <v>-</v>
      </c>
      <c r="W100" s="7" t="str">
        <f t="shared" si="372"/>
        <v>-</v>
      </c>
      <c r="X100" s="7" t="str">
        <f t="shared" si="372"/>
        <v>-</v>
      </c>
      <c r="Y100" s="7" t="str">
        <f t="shared" si="372"/>
        <v>-</v>
      </c>
      <c r="Z100" s="7" t="str">
        <f t="shared" si="372"/>
        <v>-</v>
      </c>
      <c r="AA100" s="7" t="str">
        <f t="shared" si="372"/>
        <v>-</v>
      </c>
      <c r="AB100" s="7" t="str">
        <f t="shared" si="372"/>
        <v>-</v>
      </c>
      <c r="AC100" s="7" t="str">
        <f t="shared" si="372"/>
        <v>-</v>
      </c>
      <c r="AD100" s="62" t="str">
        <f t="shared" si="372"/>
        <v>-</v>
      </c>
      <c r="AE100" s="61" t="str">
        <f t="shared" si="372"/>
        <v>-</v>
      </c>
      <c r="AF100" s="293"/>
      <c r="AG100" s="103" t="str">
        <f t="shared" ref="AG100:AH100" si="373">IF(AG93=0,"-",AG99/AG93)</f>
        <v>-</v>
      </c>
      <c r="AH100" s="103" t="e">
        <f t="shared" si="373"/>
        <v>#REF!</v>
      </c>
      <c r="AI100" s="103"/>
      <c r="AJ100" s="197"/>
      <c r="AK100" s="197"/>
      <c r="AL100" s="58"/>
      <c r="AM100" s="11"/>
      <c r="AN100" s="249"/>
      <c r="AO100" s="61" t="e">
        <f t="shared" ref="AO100" si="374">IF(AO93=0,"-",AO99/AO93)</f>
        <v>#REF!</v>
      </c>
      <c r="AP100" s="293"/>
      <c r="AQ100" s="103" t="e">
        <f t="shared" ref="AQ100" si="375">IF(AQ93=0,"-",AQ99/AQ93)</f>
        <v>#REF!</v>
      </c>
      <c r="AR100" s="7"/>
      <c r="AS100" s="103"/>
      <c r="AT100" s="197"/>
      <c r="AU100" s="222"/>
      <c r="AV100" s="11"/>
      <c r="AW100" s="11"/>
      <c r="AX100" s="249"/>
      <c r="AY100" s="61"/>
      <c r="AZ100" s="293"/>
      <c r="BA100" s="7" t="e">
        <f t="shared" ref="BA100" si="376">IF(BA93=0,"-",BA99/BA93)</f>
        <v>#REF!</v>
      </c>
      <c r="BB100" s="103"/>
      <c r="BC100" s="197"/>
      <c r="BD100" s="222"/>
      <c r="BE100" s="58"/>
      <c r="BF100" s="11"/>
      <c r="BG100" s="249"/>
      <c r="BH100" s="61" t="e">
        <f t="shared" ref="BH100:BI100" si="377">IF(BH93=0,"-",BH99/BH93)</f>
        <v>#REF!</v>
      </c>
      <c r="BI100" s="7" t="e">
        <f t="shared" si="377"/>
        <v>#REF!</v>
      </c>
      <c r="BJ100" s="7"/>
      <c r="BK100" s="197"/>
      <c r="BL100" s="222"/>
      <c r="BM100" s="2"/>
      <c r="BN100" s="63"/>
      <c r="BO100" s="63"/>
      <c r="BP100" s="2"/>
      <c r="BQ100" s="173"/>
      <c r="BR100" s="173"/>
      <c r="BS100" s="173"/>
      <c r="BT100" s="173"/>
      <c r="BU100" s="173"/>
      <c r="BV100" s="173"/>
      <c r="BW100" s="173"/>
      <c r="BX100" s="173"/>
      <c r="BY100" s="173"/>
      <c r="BZ100" s="173"/>
      <c r="CA100" s="173"/>
      <c r="CB100" s="173"/>
      <c r="CC100" s="61"/>
      <c r="CD100" s="204"/>
      <c r="CE100" s="11"/>
      <c r="CF100" s="61"/>
      <c r="CG100" s="134"/>
      <c r="CH100" s="61"/>
      <c r="CI100" s="58"/>
      <c r="CJ100" s="11"/>
      <c r="CK100" s="61"/>
      <c r="CL100" s="134"/>
      <c r="CM100" s="145"/>
    </row>
    <row r="101" spans="2:91" x14ac:dyDescent="0.2">
      <c r="AE101" s="2"/>
    </row>
    <row r="102" spans="2:91" x14ac:dyDescent="0.2">
      <c r="AE102" s="2"/>
    </row>
    <row r="103" spans="2:91" x14ac:dyDescent="0.2">
      <c r="AE103" s="2"/>
    </row>
    <row r="104" spans="2:91" x14ac:dyDescent="0.2">
      <c r="AE104" s="2"/>
    </row>
    <row r="105" spans="2:91" x14ac:dyDescent="0.2">
      <c r="B105" s="251"/>
      <c r="C105" s="252"/>
      <c r="AE105" s="2"/>
    </row>
    <row r="106" spans="2:91" x14ac:dyDescent="0.2">
      <c r="AE106" s="2"/>
    </row>
    <row r="107" spans="2:91" x14ac:dyDescent="0.2">
      <c r="B107" s="49"/>
      <c r="C107" s="50" t="s">
        <v>57</v>
      </c>
      <c r="D107" s="51"/>
      <c r="E107" s="92">
        <f t="shared" ref="E107:P107" si="378">IF(ISERROR(VLOOKUP(CONCATENATE($B105,E$5),TBCHISTORIQUE,7,FALSE)/1000),0,VLOOKUP(CONCATENATE($B105,E$5),TBCHISTORIQUE,7,FALSE)/1000)</f>
        <v>0</v>
      </c>
      <c r="F107" s="93">
        <f t="shared" si="378"/>
        <v>0</v>
      </c>
      <c r="G107" s="93">
        <f t="shared" si="378"/>
        <v>0</v>
      </c>
      <c r="H107" s="93">
        <f t="shared" si="378"/>
        <v>0</v>
      </c>
      <c r="I107" s="93">
        <f t="shared" si="378"/>
        <v>0</v>
      </c>
      <c r="J107" s="93">
        <f t="shared" si="378"/>
        <v>0</v>
      </c>
      <c r="K107" s="93">
        <f t="shared" si="378"/>
        <v>0</v>
      </c>
      <c r="L107" s="93">
        <f t="shared" si="378"/>
        <v>0</v>
      </c>
      <c r="M107" s="93">
        <f t="shared" si="378"/>
        <v>0</v>
      </c>
      <c r="N107" s="93">
        <f t="shared" si="378"/>
        <v>0</v>
      </c>
      <c r="O107" s="93">
        <f t="shared" si="378"/>
        <v>0</v>
      </c>
      <c r="P107" s="94">
        <f t="shared" si="378"/>
        <v>0</v>
      </c>
      <c r="Q107" s="184">
        <f>SUMIF($E$5:$P$5,"&lt;="&amp;mois,E107:P107)</f>
        <v>0</v>
      </c>
      <c r="R107" s="51"/>
      <c r="S107" s="92">
        <f>IF(ISERROR(VLOOKUP(CONCATENATE($B105,S$5),TBCA,7,FALSE)/1000),0,VLOOKUP(CONCATENATE($B105,S$5),TBCA,7,FALSE)/1000)</f>
        <v>0</v>
      </c>
      <c r="T107" s="93">
        <f t="shared" ref="T107:AD107" si="379">IF(ISERROR(VLOOKUP(CONCATENATE($B$85,T$5),TBCA,7,FALSE)/1000),0,VLOOKUP(CONCATENATE($B$85,T$5),TBCA,7,FALSE)/1000)</f>
        <v>0</v>
      </c>
      <c r="U107" s="93">
        <f t="shared" si="379"/>
        <v>0</v>
      </c>
      <c r="V107" s="93">
        <f t="shared" si="379"/>
        <v>0</v>
      </c>
      <c r="W107" s="93">
        <f t="shared" si="379"/>
        <v>0</v>
      </c>
      <c r="X107" s="93">
        <f t="shared" si="379"/>
        <v>0</v>
      </c>
      <c r="Y107" s="93">
        <f t="shared" si="379"/>
        <v>0</v>
      </c>
      <c r="Z107" s="93">
        <f t="shared" si="379"/>
        <v>0</v>
      </c>
      <c r="AA107" s="93">
        <f t="shared" si="379"/>
        <v>0</v>
      </c>
      <c r="AB107" s="93">
        <f t="shared" si="379"/>
        <v>0</v>
      </c>
      <c r="AC107" s="93">
        <f t="shared" si="379"/>
        <v>0</v>
      </c>
      <c r="AD107" s="94">
        <f t="shared" si="379"/>
        <v>0</v>
      </c>
      <c r="AE107" s="92">
        <f>SUMIF($S$5:$AD$5,"&lt;="&amp;mois,S107:AD107)</f>
        <v>0</v>
      </c>
      <c r="AF107" s="291"/>
      <c r="AG107" s="101">
        <f>AE107-AF107</f>
        <v>0</v>
      </c>
      <c r="AH107" s="101" t="e">
        <f>IF(EXCERCICE="PA",AE107-($CC107/12*(mois)),IF(EXCERCICE="LB1",AE107-($CF107/12*(mois)),AE107-($CK107/12*(mois))))</f>
        <v>#REF!</v>
      </c>
      <c r="AI107" s="174">
        <f>IF(ISERROR(AE107/Q107),0,AE107/Q107)</f>
        <v>0</v>
      </c>
      <c r="AJ107" s="213">
        <f>IF(ISERROR(IF(EXCERCICE="PA",AE107/$CC107,IF(EXCERCICE="LB1",AE107/$CF107,AE107/$CK107))),0,IF(EXCERCICE="PA",AE107/$CC107,IF(EXCERCICE="LB1",AE107/$CF107,AE107/$CK107)))</f>
        <v>0</v>
      </c>
      <c r="AK107" s="213" t="str">
        <f>IF(ISERROR(AE107/HLOOKUP(mois,$BQ$5:$CB$39,3,FALSE)),"",AE107/HLOOKUP(mois,$BQ$5:$CB$39,3,FALSE))</f>
        <v/>
      </c>
      <c r="AL107" s="52"/>
      <c r="AM107" s="54"/>
      <c r="AN107" s="242"/>
      <c r="AO107" s="92" t="e">
        <f>IF(mois+1&gt;12,AN107,+$AE107+AN107)</f>
        <v>#REF!</v>
      </c>
      <c r="AP107" s="291"/>
      <c r="AQ107" s="101" t="e">
        <f>AO107-AP107</f>
        <v>#REF!</v>
      </c>
      <c r="AR107" s="55" t="e">
        <f>IF(mois+1&gt;12,0,IF(mois=12,IF(EXCERCICE="PA",AO107-($CC107/12),IF(EXCERCICE="LB1",AO107-($CF107/12),AO107-($CK107/12))),IF(EXCERCICE="PA",AO107-($CC107/12*(mois+1)),IF(EXCERCICE="LB1",AO107-($CF107/12*(mois+1)),AO107-($CK107/12*(mois+1))))))</f>
        <v>#REF!</v>
      </c>
      <c r="AS107" s="174" t="e">
        <f>IF(AO107=0,0,IF(mois+1&gt;12,AO107/SUMPRODUCT((($S$6:$U$6)&lt;=mois+1)*$S107:$U107),AO107/SUMPRODUCT((($E$5:$P$5)&lt;=mois+1)*$E107:$P107)))</f>
        <v>#REF!</v>
      </c>
      <c r="AT107" s="213" t="e">
        <f>IF(mois+1&gt;12,0,IF(ISERROR(IF(EXCERCICE="PA",AO107/$CC107,IF(EXCERCICE="LB1",AO107/$CF107,AO107/$CK107))),0,IF(EXCERCICE="PA",AO107/$CC107,IF(EXCERCICE="LB1",AO107/$CF107,AO107/$CK107))))</f>
        <v>#REF!</v>
      </c>
      <c r="AU107" s="220" t="str">
        <f>IF(ISERROR(AO107/HLOOKUP(mois+1,$BQ$5:$CB$39,3,FALSE)),"",AO107/HLOOKUP(mois+1,$BQ$5:$CB$39,3,FALSE))</f>
        <v/>
      </c>
      <c r="AV107" s="11"/>
      <c r="AW107" s="54"/>
      <c r="AX107" s="242"/>
      <c r="AY107" s="92"/>
      <c r="AZ107" s="291"/>
      <c r="BA107" s="55" t="e">
        <f>IF(mois+2&gt;12,0,IF(mois=12,IF(EXCERCICE="PA",AY107-($CC107/12),IF(EXCERCICE="LB1",AY107-($CF107/12),AY107-($CK107/12))),IF(EXCERCICE="PA",AY107-($CC107/12*(mois+2)),IF(EXCERCICE="LB1",AY107-($CF107/12*(mois+2)),AY107-($CK107/12*(mois+2))))))</f>
        <v>#REF!</v>
      </c>
      <c r="BB107" s="176">
        <f>IF(AY107=0,0,IF(mois+1&gt;12,AY107/SUMPRODUCT((($S$6:$U$6)&lt;=mois+2)*$S107:$U107),AY107/SUMPRODUCT((($E$5:$P$5)&lt;=mois+2)*$E107:$P107)))</f>
        <v>0</v>
      </c>
      <c r="BC107" s="213" t="e">
        <f>IF(mois+2&gt;12,0,IF(ISERROR(IF(EXCERCICE="PA",AY107/$CC107,IF(EXCERCICE="LB1",AY107/$CF107,AY107/$CK107))),0,IF(EXCERCICE="PA",AY107/$CC107,IF(EXCERCICE="LB1",AY107/$CF107,AY107/$CK107))))</f>
        <v>#REF!</v>
      </c>
      <c r="BD107" s="220" t="str">
        <f>IF(ISERROR(AY107/HLOOKUP(mois+2,$BQ$5:$CB$39,3,FALSE)),"",AY107/HLOOKUP(mois+2,$BQ$5:$CB$39,3,FALSE))</f>
        <v/>
      </c>
      <c r="BE107" s="52"/>
      <c r="BF107" s="54"/>
      <c r="BG107" s="242"/>
      <c r="BH107" s="92" t="e">
        <f>IF(mois+3=13,BG107,IF(mois+3&gt;15,BG107,+$AY107+BG107))</f>
        <v>#REF!</v>
      </c>
      <c r="BI107" s="55" t="e">
        <f>IF(mois+3&gt;12,0,IF(mois=12,IF(EXCERCICE="PA",BH107-($CC107/12),IF(EXCERCICE="LB1",BH107-($CF107/12),BH107-($CK107/12))),IF(EXCERCICE="PA",BH107-($CC107/12*(mois+3)),IF(EXCERCICE="LB1",BH107-($CF107/12*(mois+3)),BH107-($CK107/12*(mois+3))))))</f>
        <v>#REF!</v>
      </c>
      <c r="BJ107" s="176" t="e">
        <f>IF(BH107=0,0,IF(mois+1&gt;12,BH107/SUMPRODUCT((($S$6:$U$6)&lt;=mois+3)*$S107:$U107),BH107/SUMPRODUCT((($E$5:$P$5)&lt;=mois+3)*$E107:$P107)))</f>
        <v>#REF!</v>
      </c>
      <c r="BK107" s="213" t="e">
        <f>IF(mois+3&gt;12,0,IF(ISERROR(IF(EXCERCICE="PA",BH107/$CC107,IF(EXCERCICE="LB1",BH107/$CF107,BH107/$CK107))),0,IF(EXCERCICE="PA",BH107/$CC107,IF(EXCERCICE="LB1",BH107/$CF107,BH107/$CK107))))</f>
        <v>#REF!</v>
      </c>
      <c r="BL107" s="220" t="str">
        <f>IF(ISERROR(BH107/HLOOKUP(mois+3,$BQ$5:$CB$39,3,FALSE)),"",BH107/HLOOKUP(mois+3,$BQ$5:$CB$39,3,FALSE))</f>
        <v/>
      </c>
      <c r="BM107" s="2"/>
      <c r="BN107" s="130" t="e">
        <f>IF(mois&gt;=12,IF(EXCERCICE="PA",CC107-AE107,IF(EXCERCICE="LB1",CF107-AE107,IF(EXCERCICE="LB2",$CK107-AE107))),
IF(mois+1&lt;=13,IF(EXCERCICE="PA",CC107-AO107,IF(EXCERCICE="LB1",CF107-AO107,IF(EXCERCICE="LB2",$CK107-AO107))),
IF(mois+2&lt;=14,IF(EXCERCICE="PA",CC107-AY107,IF(EXCERCICE="LB1",CF107-AY107,IF(EXCERCICE="LB2",$CK107-AY107))),
IF(mois+3&lt;=15,IF(EXCERCICE="PA",CC107-BH107,IF(EXCERCICE="LB1",CF107-BH107,IF(EXCERCICE="LB2",$CK107-BH107))),0))))</f>
        <v>#REF!</v>
      </c>
      <c r="BO107" s="231" t="e">
        <f>IF(BN107&lt;0,0,BN107/(12-mois))</f>
        <v>#REF!</v>
      </c>
      <c r="BQ107" s="196"/>
      <c r="BR107" s="196"/>
      <c r="BS107" s="196"/>
      <c r="BT107" s="196"/>
      <c r="BU107" s="196"/>
      <c r="BV107" s="196"/>
      <c r="BW107" s="196"/>
      <c r="BX107" s="196"/>
      <c r="BY107" s="196"/>
      <c r="BZ107" s="196"/>
      <c r="CA107" s="196"/>
      <c r="CB107" s="196"/>
      <c r="CC107" s="130"/>
      <c r="CD107" s="237"/>
      <c r="CE107" s="54"/>
      <c r="CF107" s="130"/>
      <c r="CG107" s="126"/>
      <c r="CH107" s="55"/>
      <c r="CI107" s="52"/>
      <c r="CJ107" s="54"/>
      <c r="CK107" s="130"/>
      <c r="CL107" s="126"/>
      <c r="CM107" s="55"/>
    </row>
    <row r="108" spans="2:91" x14ac:dyDescent="0.2">
      <c r="B108" s="56"/>
      <c r="C108" s="57" t="s">
        <v>61</v>
      </c>
      <c r="D108" s="2"/>
      <c r="E108" s="95">
        <f t="shared" ref="E108:P108" si="380">IF(ISERROR(VLOOKUP(CONCATENATE($B105,E$5),TBCHISTORIQUE,8,FALSE)/1000),0,VLOOKUP(CONCATENATE($B105,E$5),TBCHISTORIQUE,8,FALSE)/1000)</f>
        <v>0</v>
      </c>
      <c r="F108" s="167">
        <f t="shared" si="380"/>
        <v>0</v>
      </c>
      <c r="G108" s="167">
        <f t="shared" si="380"/>
        <v>0</v>
      </c>
      <c r="H108" s="167">
        <f t="shared" si="380"/>
        <v>0</v>
      </c>
      <c r="I108" s="167">
        <f t="shared" si="380"/>
        <v>0</v>
      </c>
      <c r="J108" s="167">
        <f t="shared" si="380"/>
        <v>0</v>
      </c>
      <c r="K108" s="167">
        <f t="shared" si="380"/>
        <v>0</v>
      </c>
      <c r="L108" s="167">
        <f t="shared" si="380"/>
        <v>0</v>
      </c>
      <c r="M108" s="167">
        <f t="shared" si="380"/>
        <v>0</v>
      </c>
      <c r="N108" s="167">
        <f t="shared" si="380"/>
        <v>0</v>
      </c>
      <c r="O108" s="167">
        <f t="shared" si="380"/>
        <v>0</v>
      </c>
      <c r="P108" s="168">
        <f t="shared" si="380"/>
        <v>0</v>
      </c>
      <c r="Q108" s="185">
        <f>SUMIF($E$5:$P$5,"&lt;="&amp;mois,E108:P108)</f>
        <v>0</v>
      </c>
      <c r="R108" s="2"/>
      <c r="S108" s="95">
        <f t="shared" ref="S108:AD108" si="381">IF(ISERROR(VLOOKUP(CONCATENATE($B105,S$5),TBCA,8,FALSE)/1000),0,VLOOKUP(CONCATENATE($B105,S$5),TBCA,8,FALSE)/1000)</f>
        <v>0</v>
      </c>
      <c r="T108" s="167">
        <f t="shared" si="381"/>
        <v>0</v>
      </c>
      <c r="U108" s="167">
        <f t="shared" si="381"/>
        <v>0</v>
      </c>
      <c r="V108" s="167">
        <f t="shared" si="381"/>
        <v>0</v>
      </c>
      <c r="W108" s="167">
        <f t="shared" si="381"/>
        <v>0</v>
      </c>
      <c r="X108" s="167">
        <f t="shared" si="381"/>
        <v>0</v>
      </c>
      <c r="Y108" s="167">
        <f t="shared" si="381"/>
        <v>0</v>
      </c>
      <c r="Z108" s="167">
        <f t="shared" si="381"/>
        <v>0</v>
      </c>
      <c r="AA108" s="167">
        <f t="shared" si="381"/>
        <v>0</v>
      </c>
      <c r="AB108" s="167">
        <f t="shared" si="381"/>
        <v>0</v>
      </c>
      <c r="AC108" s="167">
        <f t="shared" si="381"/>
        <v>0</v>
      </c>
      <c r="AD108" s="168">
        <f t="shared" si="381"/>
        <v>0</v>
      </c>
      <c r="AE108" s="95">
        <f>SUMIF($S$5:$AD$5,"&lt;="&amp;mois,S108:AD108)</f>
        <v>0</v>
      </c>
      <c r="AF108" s="292"/>
      <c r="AG108" s="102">
        <f>AE108-AF108</f>
        <v>0</v>
      </c>
      <c r="AH108" s="102" t="e">
        <f>IF(EXCERCICE="PA",AE108-($CC108/12*(mois)),IF(EXCERCICE="LB1",AE108-($CF108/12*(mois)),AE108-($CK108/12*(mois))))</f>
        <v>#REF!</v>
      </c>
      <c r="AI108" s="102"/>
      <c r="AJ108" s="212">
        <f>IF(ISERROR(IF(EXCERCICE="PA",AE108/$CC108,IF(EXCERCICE="LB1",AE108/$CF108,AE108/$CK108))),0,IF(EXCERCICE="PA",AE108/$CC108,IF(EXCERCICE="LB1",AE108/$CF108,AE108/$CK108)))</f>
        <v>0</v>
      </c>
      <c r="AK108" s="212"/>
      <c r="AL108" s="58"/>
      <c r="AM108" s="11"/>
      <c r="AN108" s="243"/>
      <c r="AO108" s="95" t="e">
        <f>IF(mois+1&gt;12,AN108,+$AE108+AN108)</f>
        <v>#REF!</v>
      </c>
      <c r="AP108" s="292"/>
      <c r="AQ108" s="102" t="e">
        <f>AO108-AP108</f>
        <v>#REF!</v>
      </c>
      <c r="AR108" s="17" t="e">
        <f>IF(mois+1&gt;12,0,IF(mois=12,IF(EXCERCICE="PA",AO108-($CC108/12),IF(EXCERCICE="LB1",AO108-($CF108/12),AO108-($CK108/12))),IF(EXCERCICE="PA",AO108-($CC108/12*(mois+1)),IF(EXCERCICE="LB1",AO108-($CF108/12*(mois+1)),AO108-($CK108/12*(mois+1))))))</f>
        <v>#REF!</v>
      </c>
      <c r="AS108" s="199"/>
      <c r="AT108" s="212" t="e">
        <f>IF(mois+1&gt;12,0,IF(ISERROR(IF(EXCERCICE="PA",AO108/$CC108,IF(EXCERCICE="LB1",AO108/$CF108,AO108/$CK108))),0,IF(EXCERCICE="PA",AO108/$CC108,IF(EXCERCICE="LB1",AO108/$CF108,AO108/$CK108))))</f>
        <v>#REF!</v>
      </c>
      <c r="AU108" s="221"/>
      <c r="AV108" s="11"/>
      <c r="AW108" s="11"/>
      <c r="AX108" s="243"/>
      <c r="AY108" s="95"/>
      <c r="AZ108" s="292"/>
      <c r="BA108" s="17" t="e">
        <f>IF(mois+2&gt;12,0,IF(mois=12,IF(EXCERCICE="PA",AY108-($CC108/12),IF(EXCERCICE="LB1",AY108-($CF108/12),AY108-($CK108/12))),IF(EXCERCICE="PA",AY108-($CC108/12*(mois+2)),IF(EXCERCICE="LB1",AY108-($CF108/12*(mois+2)),AY108-($CK108/12*(mois+2))))))</f>
        <v>#REF!</v>
      </c>
      <c r="BB108" s="179"/>
      <c r="BC108" s="212" t="e">
        <f>IF(mois+2&gt;12,0,IF(ISERROR(IF(EXCERCICE="PA",AY108/$CC108,IF(EXCERCICE="LB1",AY108/$CF108,AY108/$CK108))),0,IF(EXCERCICE="PA",AY108/$CC108,IF(EXCERCICE="LB1",AY108/$CF108,AY108/$CK108))))</f>
        <v>#REF!</v>
      </c>
      <c r="BD108" s="221"/>
      <c r="BE108" s="58"/>
      <c r="BF108" s="11"/>
      <c r="BG108" s="243"/>
      <c r="BH108" s="95" t="e">
        <f>IF(mois+3=13,BG108,IF(mois+3&gt;15,BG108,+$AY108+BG108))</f>
        <v>#REF!</v>
      </c>
      <c r="BI108" s="17" t="e">
        <f>IF(mois+3&gt;12,0,IF(mois=12,IF(EXCERCICE="PA",BH108-($CC108/12),IF(EXCERCICE="LB1",BH108-($CF108/12),BH108-($CK108/12))),IF(EXCERCICE="PA",BH108-($CC108/12*(mois+3)),IF(EXCERCICE="LB1",BH108-($CF108/12*(mois+3)),BH108-($CK108/12*(mois+3))))))</f>
        <v>#REF!</v>
      </c>
      <c r="BJ108" s="17"/>
      <c r="BK108" s="212" t="e">
        <f>IF(mois+3&gt;12,0,IF(ISERROR(IF(EXCERCICE="PA",BH108/$CC108,IF(EXCERCICE="LB1",BH108/$CF108,BH108/$CK108))),0,IF(EXCERCICE="PA",BH108/$CC108,IF(EXCERCICE="LB1",BH108/$CF108,BH108/$CK108))))</f>
        <v>#REF!</v>
      </c>
      <c r="BL108" s="221"/>
      <c r="BM108" s="2"/>
      <c r="BN108" s="123" t="e">
        <f>IF(mois&gt;=12,IF(EXCERCICE="PA",CC108-AE108,IF(EXCERCICE="LB1",CF108-AE108,IF(EXCERCICE="LB2",$CK108-AE108))),
IF(mois+1&lt;=13,IF(EXCERCICE="PA",CC108-AO108,IF(EXCERCICE="LB1",CF108-AO108,IF(EXCERCICE="LB2",$CK108-AO108))),
IF(mois+2&lt;=14,IF(EXCERCICE="PA",CC108-AY108,IF(EXCERCICE="LB1",CF108-AY108,IF(EXCERCICE="LB2",$CK108-AY108))),
IF(mois+3&lt;=15,IF(EXCERCICE="PA",CC108-BH108,IF(EXCERCICE="LB1",CF108-BH108,IF(EXCERCICE="LB2",$CK108-BH108))),0))))</f>
        <v>#REF!</v>
      </c>
      <c r="BO108" s="123" t="e">
        <f>IF(BN108&lt;0,0,BN108/(12-mois))</f>
        <v>#REF!</v>
      </c>
      <c r="BQ108" s="173"/>
      <c r="BR108" s="173"/>
      <c r="BS108" s="173"/>
      <c r="BT108" s="173"/>
      <c r="BU108" s="173"/>
      <c r="BV108" s="173"/>
      <c r="BW108" s="173"/>
      <c r="BX108" s="173"/>
      <c r="BY108" s="173"/>
      <c r="BZ108" s="173"/>
      <c r="CA108" s="173"/>
      <c r="CB108" s="173"/>
      <c r="CC108" s="123"/>
      <c r="CD108" s="203"/>
      <c r="CE108" s="11"/>
      <c r="CF108" s="95"/>
      <c r="CG108" s="125"/>
      <c r="CH108" s="17"/>
      <c r="CI108" s="58"/>
      <c r="CJ108" s="11"/>
      <c r="CK108" s="95"/>
      <c r="CL108" s="125"/>
      <c r="CM108" s="17"/>
    </row>
    <row r="109" spans="2:91" x14ac:dyDescent="0.2">
      <c r="B109" s="60"/>
      <c r="C109" s="143" t="s">
        <v>62</v>
      </c>
      <c r="D109" s="2"/>
      <c r="E109" s="61" t="str">
        <f>IF(E107=0,"-",E108/E107)</f>
        <v>-</v>
      </c>
      <c r="F109" s="7" t="str">
        <f t="shared" ref="F109" si="382">IF(F107=0,"-",F108/F107)</f>
        <v>-</v>
      </c>
      <c r="G109" s="7" t="str">
        <f t="shared" ref="G109" si="383">IF(G107=0,"-",G108/G107)</f>
        <v>-</v>
      </c>
      <c r="H109" s="7" t="str">
        <f t="shared" ref="H109" si="384">IF(H107=0,"-",H108/H107)</f>
        <v>-</v>
      </c>
      <c r="I109" s="7" t="str">
        <f t="shared" ref="I109" si="385">IF(I107=0,"-",I108/I107)</f>
        <v>-</v>
      </c>
      <c r="J109" s="7" t="str">
        <f t="shared" ref="J109" si="386">IF(J107=0,"-",J108/J107)</f>
        <v>-</v>
      </c>
      <c r="K109" s="7" t="str">
        <f t="shared" ref="K109" si="387">IF(K107=0,"-",K108/K107)</f>
        <v>-</v>
      </c>
      <c r="L109" s="7" t="str">
        <f t="shared" ref="L109" si="388">IF(L107=0,"-",L108/L107)</f>
        <v>-</v>
      </c>
      <c r="M109" s="7" t="str">
        <f t="shared" ref="M109" si="389">IF(M107=0,"-",M108/M107)</f>
        <v>-</v>
      </c>
      <c r="N109" s="7" t="str">
        <f t="shared" ref="N109" si="390">IF(N107=0,"-",N108/N107)</f>
        <v>-</v>
      </c>
      <c r="O109" s="7" t="str">
        <f t="shared" ref="O109" si="391">IF(O107=0,"-",O108/O107)</f>
        <v>-</v>
      </c>
      <c r="P109" s="7" t="str">
        <f t="shared" ref="P109" si="392">IF(P107=0,"-",P108/P107)</f>
        <v>-</v>
      </c>
      <c r="Q109" s="186" t="str">
        <f t="shared" ref="Q109" si="393">IF(Q107=0,"-",Q108/Q107)</f>
        <v>-</v>
      </c>
      <c r="R109" s="2"/>
      <c r="S109" s="61" t="str">
        <f t="shared" ref="S109" si="394">IF(S107=0,"-",S108/S107)</f>
        <v>-</v>
      </c>
      <c r="T109" s="7" t="str">
        <f t="shared" ref="T109" si="395">IF(T107=0,"-",T108/T107)</f>
        <v>-</v>
      </c>
      <c r="U109" s="7" t="str">
        <f t="shared" ref="U109" si="396">IF(U107=0,"-",U108/U107)</f>
        <v>-</v>
      </c>
      <c r="V109" s="7" t="str">
        <f t="shared" ref="V109" si="397">IF(V107=0,"-",V108/V107)</f>
        <v>-</v>
      </c>
      <c r="W109" s="7" t="str">
        <f t="shared" ref="W109" si="398">IF(W107=0,"-",W108/W107)</f>
        <v>-</v>
      </c>
      <c r="X109" s="7" t="str">
        <f t="shared" ref="X109" si="399">IF(X107=0,"-",X108/X107)</f>
        <v>-</v>
      </c>
      <c r="Y109" s="7" t="str">
        <f t="shared" ref="Y109" si="400">IF(Y107=0,"-",Y108/Y107)</f>
        <v>-</v>
      </c>
      <c r="Z109" s="7" t="str">
        <f t="shared" ref="Z109" si="401">IF(Z107=0,"-",Z108/Z107)</f>
        <v>-</v>
      </c>
      <c r="AA109" s="7" t="str">
        <f t="shared" ref="AA109" si="402">IF(AA107=0,"-",AA108/AA107)</f>
        <v>-</v>
      </c>
      <c r="AB109" s="7" t="str">
        <f t="shared" ref="AB109" si="403">IF(AB107=0,"-",AB108/AB107)</f>
        <v>-</v>
      </c>
      <c r="AC109" s="7" t="str">
        <f t="shared" ref="AC109" si="404">IF(AC107=0,"-",AC108/AC107)</f>
        <v>-</v>
      </c>
      <c r="AD109" s="7" t="str">
        <f t="shared" ref="AD109" si="405">IF(AD107=0,"-",AD108/AD107)</f>
        <v>-</v>
      </c>
      <c r="AE109" s="61" t="str">
        <f>IF(AE107=0,"-",AE108/AE107)</f>
        <v>-</v>
      </c>
      <c r="AF109" s="293"/>
      <c r="AG109" s="103" t="str">
        <f t="shared" ref="AG109" si="406">IF(AG107=0,"-",AG108/AG107)</f>
        <v>-</v>
      </c>
      <c r="AH109" s="103" t="e">
        <f>IF(AH107=0,"-",AH108/AH107)</f>
        <v>#REF!</v>
      </c>
      <c r="AI109" s="103"/>
      <c r="AJ109" s="197"/>
      <c r="AK109" s="197"/>
      <c r="AL109" s="58"/>
      <c r="AM109" s="11"/>
      <c r="AN109" s="249"/>
      <c r="AO109" s="61" t="e">
        <f t="shared" ref="AO109" si="407">IF(AO107=0,"-",AO108/AO107)</f>
        <v>#REF!</v>
      </c>
      <c r="AP109" s="293"/>
      <c r="AQ109" s="103" t="e">
        <f>IF(AQ107=0,"-",AQ108/AQ107)</f>
        <v>#REF!</v>
      </c>
      <c r="AR109" s="7" t="e">
        <f>IF(AR107=0,"-",AR108/AR107)</f>
        <v>#REF!</v>
      </c>
      <c r="AS109" s="197"/>
      <c r="AT109" s="197"/>
      <c r="AU109" s="222"/>
      <c r="AV109" s="11"/>
      <c r="AW109" s="11"/>
      <c r="AX109" s="249"/>
      <c r="AY109" s="61"/>
      <c r="AZ109" s="293"/>
      <c r="BA109" s="7" t="e">
        <f>IF(BA107=0,"-",BA108/BA107)</f>
        <v>#REF!</v>
      </c>
      <c r="BB109" s="103"/>
      <c r="BC109" s="197"/>
      <c r="BD109" s="222"/>
      <c r="BE109" s="58"/>
      <c r="BF109" s="11"/>
      <c r="BG109" s="249"/>
      <c r="BH109" s="61" t="e">
        <f t="shared" ref="BH109:BI109" si="408">IF(BH107=0,"-",BH108/BH107)</f>
        <v>#REF!</v>
      </c>
      <c r="BI109" s="7" t="e">
        <f t="shared" si="408"/>
        <v>#REF!</v>
      </c>
      <c r="BJ109" s="7"/>
      <c r="BK109" s="197"/>
      <c r="BL109" s="222"/>
      <c r="BM109" s="2"/>
      <c r="BN109" s="63"/>
      <c r="BO109" s="63"/>
      <c r="BQ109" s="173"/>
      <c r="BR109" s="173"/>
      <c r="BS109" s="173"/>
      <c r="BT109" s="173"/>
      <c r="BU109" s="173"/>
      <c r="BV109" s="173"/>
      <c r="BW109" s="173"/>
      <c r="BX109" s="173"/>
      <c r="BY109" s="173"/>
      <c r="BZ109" s="173"/>
      <c r="CA109" s="173"/>
      <c r="CB109" s="173"/>
      <c r="CC109" s="63"/>
      <c r="CD109" s="204"/>
      <c r="CE109" s="11"/>
      <c r="CF109" s="61"/>
      <c r="CG109" s="134"/>
      <c r="CH109" s="8"/>
      <c r="CI109" s="58"/>
      <c r="CJ109" s="11"/>
      <c r="CK109" s="61"/>
      <c r="CL109" s="134"/>
      <c r="CM109" s="8"/>
    </row>
    <row r="110" spans="2:91" x14ac:dyDescent="0.2">
      <c r="B110" s="64"/>
      <c r="C110" s="6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194"/>
      <c r="AG110" s="100"/>
      <c r="AH110" s="100"/>
      <c r="AI110" s="100"/>
      <c r="AJ110" s="214"/>
      <c r="AK110" s="214"/>
      <c r="AL110" s="11"/>
      <c r="AM110" s="2"/>
      <c r="AN110" s="71"/>
      <c r="AO110" s="11"/>
      <c r="AP110" s="194"/>
      <c r="AQ110" s="100"/>
      <c r="AR110" s="65"/>
      <c r="AS110" s="2"/>
      <c r="AT110" s="214"/>
      <c r="AU110" s="214"/>
      <c r="AV110" s="11"/>
      <c r="AW110" s="2"/>
      <c r="AX110" s="71"/>
      <c r="AY110" s="11"/>
      <c r="AZ110" s="194"/>
      <c r="BA110" s="65"/>
      <c r="BB110" s="2"/>
      <c r="BC110" s="214"/>
      <c r="BD110" s="214"/>
      <c r="BE110" s="11"/>
      <c r="BF110" s="2"/>
      <c r="BG110" s="71"/>
      <c r="BH110" s="11"/>
      <c r="BI110" s="11"/>
      <c r="BJ110" s="11"/>
      <c r="BK110" s="214"/>
      <c r="BL110" s="214"/>
      <c r="BM110" s="2"/>
      <c r="BN110" s="11"/>
      <c r="BO110" s="11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65"/>
      <c r="CD110" s="205"/>
      <c r="CE110" s="11"/>
      <c r="CF110" s="71"/>
      <c r="CG110" s="137"/>
      <c r="CH110" s="65"/>
      <c r="CI110" s="11"/>
      <c r="CJ110" s="2"/>
      <c r="CK110" s="71"/>
      <c r="CL110" s="137"/>
      <c r="CM110" s="65"/>
    </row>
    <row r="111" spans="2:91" x14ac:dyDescent="0.2">
      <c r="B111" s="66"/>
      <c r="C111" s="67" t="s">
        <v>58</v>
      </c>
      <c r="D111" s="51"/>
      <c r="E111" s="96">
        <f t="shared" ref="E111:P111" si="409">IF(ISERROR(VLOOKUP(CONCATENATE($B105,E$5),TBCHISTORIQUE,9,FALSE)/1000),0,VLOOKUP(CONCATENATE($B105,E$5),TBCHISTORIQUE,9,FALSE)/1000)</f>
        <v>0</v>
      </c>
      <c r="F111" s="169">
        <f t="shared" si="409"/>
        <v>0</v>
      </c>
      <c r="G111" s="169">
        <f t="shared" si="409"/>
        <v>0</v>
      </c>
      <c r="H111" s="169">
        <f t="shared" si="409"/>
        <v>0</v>
      </c>
      <c r="I111" s="169">
        <f t="shared" si="409"/>
        <v>0</v>
      </c>
      <c r="J111" s="169">
        <f t="shared" si="409"/>
        <v>0</v>
      </c>
      <c r="K111" s="169">
        <f t="shared" si="409"/>
        <v>0</v>
      </c>
      <c r="L111" s="169">
        <f t="shared" si="409"/>
        <v>0</v>
      </c>
      <c r="M111" s="169">
        <f t="shared" si="409"/>
        <v>0</v>
      </c>
      <c r="N111" s="169">
        <f t="shared" si="409"/>
        <v>0</v>
      </c>
      <c r="O111" s="169">
        <f t="shared" si="409"/>
        <v>0</v>
      </c>
      <c r="P111" s="170">
        <f t="shared" si="409"/>
        <v>0</v>
      </c>
      <c r="Q111" s="187">
        <f>SUMIF($E$5:$P$5,"&lt;="&amp;mois,E111:P111)</f>
        <v>0</v>
      </c>
      <c r="R111" s="51"/>
      <c r="S111" s="96">
        <f t="shared" ref="S111:AD111" si="410">IF(ISERROR(VLOOKUP(CONCATENATE($B105,S$5),TBCA,9,FALSE)/1000),0,VLOOKUP(CONCATENATE($B105,S$5),TBCA,9,FALSE)/1000)</f>
        <v>0</v>
      </c>
      <c r="T111" s="169">
        <f t="shared" si="410"/>
        <v>0</v>
      </c>
      <c r="U111" s="169">
        <f t="shared" si="410"/>
        <v>0</v>
      </c>
      <c r="V111" s="169">
        <f t="shared" si="410"/>
        <v>0</v>
      </c>
      <c r="W111" s="169">
        <f t="shared" si="410"/>
        <v>0</v>
      </c>
      <c r="X111" s="169">
        <f t="shared" si="410"/>
        <v>0</v>
      </c>
      <c r="Y111" s="169">
        <f t="shared" si="410"/>
        <v>0</v>
      </c>
      <c r="Z111" s="169">
        <f t="shared" si="410"/>
        <v>0</v>
      </c>
      <c r="AA111" s="169">
        <f t="shared" si="410"/>
        <v>0</v>
      </c>
      <c r="AB111" s="169">
        <f t="shared" si="410"/>
        <v>0</v>
      </c>
      <c r="AC111" s="169">
        <f t="shared" si="410"/>
        <v>0</v>
      </c>
      <c r="AD111" s="170">
        <f t="shared" si="410"/>
        <v>0</v>
      </c>
      <c r="AE111" s="324">
        <f>SUMIF($S$5:$AD$5,"&lt;="&amp;mois,S111:AD111)</f>
        <v>0</v>
      </c>
      <c r="AF111" s="294"/>
      <c r="AG111" s="104">
        <f>AE111-AF111</f>
        <v>0</v>
      </c>
      <c r="AH111" s="104" t="e">
        <f>IF(EXCERCICE="PA",AE111-($CC111/12*(mois)),IF(EXCERCICE="LB1",AE111-($CF111/12*(mois)),AE111-($CK111/12*(mois))))</f>
        <v>#REF!</v>
      </c>
      <c r="AI111" s="175">
        <f>IF(ISERROR(AE111/Q111),0,AE111/Q111)</f>
        <v>0</v>
      </c>
      <c r="AJ111" s="175">
        <f>IF(ISERROR(IF(EXCERCICE="PA",AE111/$CC111,IF(EXCERCICE="LB1",AE111/$CF111,AE111/$CK111))),0,IF(EXCERCICE="PA",AE111/$CC111,IF(EXCERCICE="LB1",AE111/$CF111,AE111/$CK111)))</f>
        <v>0</v>
      </c>
      <c r="AK111" s="223" t="str">
        <f>IF(ISERROR(AE111/HLOOKUP(mois,$BQ$5:$CB$39,7,FALSE)),"",AE111/HLOOKUP(mois,$BQ$5:$CB$39,7,FALSE))</f>
        <v/>
      </c>
      <c r="AL111" s="54"/>
      <c r="AM111" s="54"/>
      <c r="AN111" s="250"/>
      <c r="AO111" s="96" t="e">
        <f>IF(mois+1&gt;12,AN111,+$AE111+AN111)</f>
        <v>#REF!</v>
      </c>
      <c r="AP111" s="294"/>
      <c r="AQ111" s="104" t="e">
        <f>AO111-AP111</f>
        <v>#REF!</v>
      </c>
      <c r="AR111" s="68" t="e">
        <f>IF(mois+1&gt;12,0,IF(mois=12,IF(EXCERCICE="PA",AO111-($CC111/12),IF(EXCERCICE="LB1",AO111-($CF111/12),AO111-($CK111/12))),IF(EXCERCICE="PA",AO111-($CC111/12*(mois+1)),IF(EXCERCICE="LB1",AO111-($CF111/12*(mois+1)),AO111-($CK111/12*(mois+1))))))</f>
        <v>#REF!</v>
      </c>
      <c r="AS111" s="200" t="e">
        <f>IF(AO111=0,0,IF(mois+1&gt;12,AO111/SUMPRODUCT((($S$6:$U$6)&lt;=mois+1)*$S111:$U111),AO111/SUMPRODUCT((($E$5:$P$5)&lt;=mois+1)*$E111:$P111)))</f>
        <v>#REF!</v>
      </c>
      <c r="AT111" s="175" t="e">
        <f>IF(mois+1&gt;12,0,IF(ISERROR(IF(EXCERCICE="PA",AO111/$CC111,IF(EXCERCICE="LB1",AO111/$CF111,AO111/$CK111))),0,IF(EXCERCICE="PA",AO111/$CC111,IF(EXCERCICE="LB1",AO111/$CF111,AO111/$CK111))))</f>
        <v>#REF!</v>
      </c>
      <c r="AU111" s="223" t="str">
        <f>IF(ISERROR(AO111/HLOOKUP(mois+1,$BQ$5:$CB$39,7,FALSE)),"",AO111/HLOOKUP(mois+1,$BQ$5:$CB$39,7,FALSE))</f>
        <v/>
      </c>
      <c r="AV111" s="11"/>
      <c r="AW111" s="54"/>
      <c r="AX111" s="250"/>
      <c r="AY111" s="96"/>
      <c r="AZ111" s="294"/>
      <c r="BA111" s="68" t="e">
        <f>IF(mois+2&gt;12,0,IF(mois=12,IF(EXCERCICE="PA",AY111-($CC111/12),IF(EXCERCICE="LB1",AY111-($CF111/12),AY111-($CK111/12))),IF(EXCERCICE="PA",AY111-($CC111/12*(mois+2)),IF(EXCERCICE="LB1",AY111-($CF111/12*(mois+2)),AY111-($CK111/12*(mois+2))))))</f>
        <v>#REF!</v>
      </c>
      <c r="BB111" s="200">
        <f>IF(AY111=0,0,IF(mois+1&gt;12,AY111/SUMPRODUCT((($S$6:$U$6)&lt;=mois+2)*$S111:$U111),AY111/SUMPRODUCT((($E$5:$P$5)&lt;=mois+2)*$E111:$P111)))</f>
        <v>0</v>
      </c>
      <c r="BC111" s="175" t="e">
        <f>IF(mois+2&gt;12,0,IF(ISERROR(IF(EXCERCICE="PA",AY111/$CC111,IF(EXCERCICE="LB1",AY111/$CF111,AY111/$CK111))),0,IF(EXCERCICE="PA",AY111/$CC111,IF(EXCERCICE="LB1",AY111/$CF111,AY111/$CK111))))</f>
        <v>#REF!</v>
      </c>
      <c r="BD111" s="223" t="str">
        <f>IF(ISERROR(AY111/HLOOKUP(mois+2,$BQ$5:$CB$39,7,FALSE)),"",AY111/HLOOKUP(mois+2,$BQ$5:$CB$39,7,FALSE))</f>
        <v/>
      </c>
      <c r="BE111" s="52"/>
      <c r="BF111" s="54"/>
      <c r="BG111" s="250"/>
      <c r="BH111" s="96" t="e">
        <f>IF(mois+3=13,BG111,IF(mois+3&gt;15,BG111,+$AY111+BG111))</f>
        <v>#REF!</v>
      </c>
      <c r="BI111" s="68" t="e">
        <f>IF(mois+3&gt;12,0,IF(mois=12,IF(EXCERCICE="PA",BH111-($CC111/12),IF(EXCERCICE="LB1",BH111-($CF111/12),BH111-($CK111/12))),IF(EXCERCICE="PA",BH111-($CC111/12*(mois+3)),IF(EXCERCICE="LB1",BH111-($CF111/12*(mois+3)),BH111-($CK111/12*(mois+3))))))</f>
        <v>#REF!</v>
      </c>
      <c r="BJ111" s="200" t="e">
        <f>IF(BH111=0,0,IF(mois+1&gt;12,BH111/SUMPRODUCT((($S$6:$U$6)&lt;=mois+3)*$S111:$U111),BH111/SUMPRODUCT((($E$5:$P$5)&lt;=mois+3)*$E111:$P111)))</f>
        <v>#REF!</v>
      </c>
      <c r="BK111" s="175" t="e">
        <f>IF(mois+3&gt;12,0,IF(ISERROR(IF(EXCERCICE="PA",BH111/$CC111,IF(EXCERCICE="LB1",BH111/$CF111,BH111/$CK111))),0,IF(EXCERCICE="PA",BH111/$CC111,IF(EXCERCICE="LB1",BH111/$CF111,BH111/$CK111))))</f>
        <v>#REF!</v>
      </c>
      <c r="BL111" s="223" t="str">
        <f>IF(ISERROR(BH111/HLOOKUP(mois+3,$BQ$5:$CB$39,7,FALSE)),"",BH111/HLOOKUP(mois+3,$BQ$5:$CB$39,7,FALSE))</f>
        <v/>
      </c>
      <c r="BM111" s="2"/>
      <c r="BN111" s="131" t="e">
        <f>IF(mois&gt;=12,IF(EXCERCICE="PA",CC111-AE111,IF(EXCERCICE="LB1",CF111-AE111,IF(EXCERCICE="LB2",$CK111-AE111))),
IF(mois+1&lt;=13,IF(EXCERCICE="PA",CC111-AO111,IF(EXCERCICE="LB1",CF111-AO111,IF(EXCERCICE="LB2",$CK111-AO111))),
IF(mois+2&lt;=14,IF(EXCERCICE="PA",CC111-AY111,IF(EXCERCICE="LB1",CF111-AY111,IF(EXCERCICE="LB2",$CK111-AY111))),
IF(mois+3&lt;=15,IF(EXCERCICE="PA",CC111-BH111,IF(EXCERCICE="LB1",CF111-BH111,IF(EXCERCICE="LB2",$CK111-BH111))),0))))</f>
        <v>#REF!</v>
      </c>
      <c r="BO111" s="131" t="e">
        <f>IF(BN111&lt;0,0,BN111/(12-mois))</f>
        <v>#REF!</v>
      </c>
      <c r="BQ111" s="196"/>
      <c r="BR111" s="196"/>
      <c r="BS111" s="196"/>
      <c r="BT111" s="196"/>
      <c r="BU111" s="196"/>
      <c r="BV111" s="196"/>
      <c r="BW111" s="196"/>
      <c r="BX111" s="196"/>
      <c r="BY111" s="196"/>
      <c r="BZ111" s="196"/>
      <c r="CA111" s="196"/>
      <c r="CB111" s="196"/>
      <c r="CC111" s="131"/>
      <c r="CD111" s="206"/>
      <c r="CE111" s="54"/>
      <c r="CF111" s="96"/>
      <c r="CG111" s="138"/>
      <c r="CH111" s="68"/>
      <c r="CI111" s="52"/>
      <c r="CJ111" s="54"/>
      <c r="CK111" s="96"/>
      <c r="CL111" s="138"/>
      <c r="CM111" s="68"/>
    </row>
    <row r="112" spans="2:91" x14ac:dyDescent="0.2">
      <c r="B112" s="64"/>
      <c r="C112" s="6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194"/>
      <c r="AG112" s="100"/>
      <c r="AH112" s="100"/>
      <c r="AI112" s="100"/>
      <c r="AJ112" s="214"/>
      <c r="AK112" s="214"/>
      <c r="AL112" s="11"/>
      <c r="AM112" s="2"/>
      <c r="AN112" s="71"/>
      <c r="AO112" s="11"/>
      <c r="AP112" s="194"/>
      <c r="AQ112" s="100"/>
      <c r="AR112" s="65"/>
      <c r="AS112" s="2"/>
      <c r="AT112" s="214"/>
      <c r="AU112" s="214"/>
      <c r="AV112" s="11"/>
      <c r="AW112" s="2"/>
      <c r="AX112" s="71"/>
      <c r="AY112" s="11"/>
      <c r="AZ112" s="194"/>
      <c r="BA112" s="65"/>
      <c r="BB112" s="2"/>
      <c r="BC112" s="214"/>
      <c r="BD112" s="214"/>
      <c r="BE112" s="11"/>
      <c r="BF112" s="2"/>
      <c r="BG112" s="71"/>
      <c r="BH112" s="11"/>
      <c r="BI112" s="11"/>
      <c r="BJ112" s="11"/>
      <c r="BK112" s="214"/>
      <c r="BL112" s="214"/>
      <c r="BM112" s="2"/>
      <c r="BN112" s="11"/>
      <c r="BO112" s="11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65"/>
      <c r="CD112" s="205"/>
      <c r="CE112" s="11"/>
      <c r="CF112" s="71"/>
      <c r="CG112" s="137"/>
      <c r="CH112" s="65"/>
      <c r="CI112" s="11"/>
      <c r="CJ112" s="2"/>
      <c r="CK112" s="71"/>
      <c r="CL112" s="137"/>
      <c r="CM112" s="65"/>
    </row>
    <row r="113" spans="2:91" x14ac:dyDescent="0.2">
      <c r="B113" s="49"/>
      <c r="C113" s="50" t="s">
        <v>59</v>
      </c>
      <c r="D113" s="51"/>
      <c r="E113" s="92">
        <f t="shared" ref="E113:P113" si="411">IF(ISERROR(VLOOKUP(CONCATENATE($B105,E$5),TBCHISTORIQUE,10,FALSE)/1000),0,VLOOKUP(CONCATENATE($B105,E$5),TBCHISTORIQUE,10,FALSE)/1000)</f>
        <v>0</v>
      </c>
      <c r="F113" s="93">
        <f t="shared" si="411"/>
        <v>0</v>
      </c>
      <c r="G113" s="93">
        <f t="shared" si="411"/>
        <v>0</v>
      </c>
      <c r="H113" s="93">
        <f t="shared" si="411"/>
        <v>0</v>
      </c>
      <c r="I113" s="93">
        <f t="shared" si="411"/>
        <v>0</v>
      </c>
      <c r="J113" s="93">
        <f t="shared" si="411"/>
        <v>0</v>
      </c>
      <c r="K113" s="93">
        <f t="shared" si="411"/>
        <v>0</v>
      </c>
      <c r="L113" s="93">
        <f t="shared" si="411"/>
        <v>0</v>
      </c>
      <c r="M113" s="93">
        <f t="shared" si="411"/>
        <v>0</v>
      </c>
      <c r="N113" s="93">
        <f t="shared" si="411"/>
        <v>0</v>
      </c>
      <c r="O113" s="93">
        <f t="shared" si="411"/>
        <v>0</v>
      </c>
      <c r="P113" s="94">
        <f t="shared" si="411"/>
        <v>0</v>
      </c>
      <c r="Q113" s="184">
        <f>SUMIF($E$5:$P$5,"&lt;="&amp;mois,E113:P113)</f>
        <v>0</v>
      </c>
      <c r="R113" s="51"/>
      <c r="S113" s="92">
        <f t="shared" ref="S113:AD113" si="412">IF(ISERROR(VLOOKUP(CONCATENATE($B105,S$5),TBCA,10,FALSE)/1000),0,VLOOKUP(CONCATENATE($B105,S$5),TBCA,10,FALSE)/1000)</f>
        <v>0</v>
      </c>
      <c r="T113" s="93">
        <f t="shared" si="412"/>
        <v>0</v>
      </c>
      <c r="U113" s="93">
        <f t="shared" si="412"/>
        <v>0</v>
      </c>
      <c r="V113" s="93">
        <f t="shared" si="412"/>
        <v>0</v>
      </c>
      <c r="W113" s="93">
        <f t="shared" si="412"/>
        <v>0</v>
      </c>
      <c r="X113" s="93">
        <f t="shared" si="412"/>
        <v>0</v>
      </c>
      <c r="Y113" s="93">
        <f t="shared" si="412"/>
        <v>0</v>
      </c>
      <c r="Z113" s="93">
        <f t="shared" si="412"/>
        <v>0</v>
      </c>
      <c r="AA113" s="93">
        <f t="shared" si="412"/>
        <v>0</v>
      </c>
      <c r="AB113" s="93">
        <f t="shared" si="412"/>
        <v>0</v>
      </c>
      <c r="AC113" s="93">
        <f t="shared" si="412"/>
        <v>0</v>
      </c>
      <c r="AD113" s="94">
        <f t="shared" si="412"/>
        <v>0</v>
      </c>
      <c r="AE113" s="92">
        <f>SUMIF($S$5:$AD$5,"&lt;="&amp;mois,S113:AD113)</f>
        <v>0</v>
      </c>
      <c r="AF113" s="291"/>
      <c r="AG113" s="101">
        <f t="shared" ref="AG113:AG114" si="413">AE113-AF113</f>
        <v>0</v>
      </c>
      <c r="AH113" s="101" t="e">
        <f>IF(EXCERCICE="PA",AE113-($CC113/12*(mois)),IF(EXCERCICE="LB1",AE113-($CF113/12*(mois)),AE113-($CK113/12*(mois))))</f>
        <v>#REF!</v>
      </c>
      <c r="AI113" s="176">
        <f>IF(ISERROR(AE113/Q113),0,AE113/Q113)</f>
        <v>0</v>
      </c>
      <c r="AJ113" s="176">
        <f>IF(ISERROR(IF(EXCERCICE="PA",AE113/$CC113,IF(EXCERCICE="LB1",AE113/$CF113,AE113/$CK113))),0,IF(EXCERCICE="PA",AE113/$CC113,IF(EXCERCICE="LB1",AE113/$CF113,AE113/$CK113)))</f>
        <v>0</v>
      </c>
      <c r="AK113" s="176" t="str">
        <f>IF(ISERROR(AE113/HLOOKUP(mois,$BQ$5:$CB$39,9,FALSE)),"",AE113/HLOOKUP(mois,$BQ$5:$CB$39,9,FALSE))</f>
        <v/>
      </c>
      <c r="AL113" s="52"/>
      <c r="AM113" s="54"/>
      <c r="AN113" s="242"/>
      <c r="AO113" s="92" t="e">
        <f>IF(mois+1&gt;12,AN113,+$AE113+AN113)</f>
        <v>#REF!</v>
      </c>
      <c r="AP113" s="291"/>
      <c r="AQ113" s="101" t="e">
        <f>AO113-AP113</f>
        <v>#REF!</v>
      </c>
      <c r="AR113" s="55" t="e">
        <f>IF(mois+1&gt;12,0,IF(mois=12,IF(EXCERCICE="PA",AO113-($CC113/12),IF(EXCERCICE="LB1",AO113-($CF113/12),AO113-($CK113/12))),IF(EXCERCICE="PA",AO113-($CC113/12*(mois+1)),IF(EXCERCICE="LB1",AO113-($CF113/12*(mois+1)),AO113-($CK113/12*(mois+1))))))</f>
        <v>#REF!</v>
      </c>
      <c r="AS113" s="176" t="e">
        <f>IF(AO113=0,0,IF(mois+1&gt;12,AO113/SUMPRODUCT((($S$6:$U$6)&lt;=mois+1)*$S113:$U113),AO113/SUMPRODUCT((($E$5:$P$5)&lt;=mois+1)*$E113:$P113)))</f>
        <v>#REF!</v>
      </c>
      <c r="AT113" s="176" t="e">
        <f>IF(mois+1&gt;12,0,IF(ISERROR(IF(EXCERCICE="PA",AO113/$CC113,IF(EXCERCICE="LB1",AO113/$CF113,AO113/$CK113))),0,IF(EXCERCICE="PA",AO113/$CC113,IF(EXCERCICE="LB1",AO113/$CF113,AO113/$CK113))))</f>
        <v>#REF!</v>
      </c>
      <c r="AU113" s="224" t="str">
        <f>IF(ISERROR(AO113/HLOOKUP(mois+1,$BQ$5:$CB$39,9,FALSE)),"",AO113/HLOOKUP(mois+1,$BQ$5:$CB$39,9,FALSE))</f>
        <v/>
      </c>
      <c r="AV113" s="11"/>
      <c r="AW113" s="54"/>
      <c r="AX113" s="242"/>
      <c r="AY113" s="92"/>
      <c r="AZ113" s="291"/>
      <c r="BA113" s="55" t="e">
        <f>IF(mois+2&gt;12,0,IF(mois=12,IF(EXCERCICE="PA",AY113-($CC113/12),IF(EXCERCICE="LB1",AY113-($CF113/12),AY113-($CK113/12))),IF(EXCERCICE="PA",AY113-($CC113/12*(mois+2)),IF(EXCERCICE="LB1",AY113-($CF113/12*(mois+2)),AY113-($CK113/12*(mois+2))))))</f>
        <v>#REF!</v>
      </c>
      <c r="BB113" s="176">
        <f>IF(AY113=0,0,IF(mois+1&gt;12,AY113/SUMPRODUCT((($S$6:$U$6)&lt;=mois+2)*$S113:$U113),AY113/SUMPRODUCT((($E$5:$P$5)&lt;=mois+2)*$E113:$P113)))</f>
        <v>0</v>
      </c>
      <c r="BC113" s="176" t="e">
        <f>IF(mois+2&gt;12,0,IF(ISERROR(IF(EXCERCICE="PA",AY113/$CC113,IF(EXCERCICE="LB1",AY113/$CF113,AY113/$CK113))),0,IF(EXCERCICE="PA",AY113/$CC113,IF(EXCERCICE="LB1",AY113/$CF113,AY113/$CK113))))</f>
        <v>#REF!</v>
      </c>
      <c r="BD113" s="224" t="str">
        <f>IF(ISERROR(AY113/HLOOKUP(mois+2,$BQ$5:$CB$39,9,FALSE)),"",AY113/HLOOKUP(mois+2,$BQ$5:$CB$39,9,FALSE))</f>
        <v/>
      </c>
      <c r="BE113" s="52"/>
      <c r="BF113" s="54"/>
      <c r="BG113" s="242"/>
      <c r="BH113" s="92" t="e">
        <f>IF(mois+3=13,BG113,IF(mois+3&gt;15,BG113,+$AY113+BG113))</f>
        <v>#REF!</v>
      </c>
      <c r="BI113" s="55" t="e">
        <f>IF(mois+3&gt;12,0,IF(mois=12,IF(EXCERCICE="PA",BH113-($CC113/12),IF(EXCERCICE="LB1",BH113-($CF113/12),BH113-($CK113/12))),IF(EXCERCICE="PA",BH113-($CC113/12*(mois+3)),IF(EXCERCICE="LB1",BH113-($CF113/12*(mois+3)),BH113-($CK113/12*(mois+3))))))</f>
        <v>#REF!</v>
      </c>
      <c r="BJ113" s="176" t="e">
        <f>IF(BH113=0,0,IF(mois+1&gt;12,BH113/SUMPRODUCT((($S$6:$U$6)&lt;=mois+3)*$S113:$U113),BH113/SUMPRODUCT((($E$5:$P$5)&lt;=mois+3)*$E113:$P113)))</f>
        <v>#REF!</v>
      </c>
      <c r="BK113" s="176" t="e">
        <f>IF(mois+3&gt;12,0,IF(ISERROR(IF(EXCERCICE="PA",BH113/$CC113,IF(EXCERCICE="LB1",BH113/$CF113,BH113/$CK113))),0,IF(EXCERCICE="PA",BH113/$CC113,IF(EXCERCICE="LB1",BH113/$CF113,BH113/$CK113))))</f>
        <v>#REF!</v>
      </c>
      <c r="BL113" s="224" t="str">
        <f>IF(ISERROR(BH113/HLOOKUP(mois+3,$BQ$5:$CB$39,9,FALSE)),"",BH113/HLOOKUP(mois+3,$BQ$5:$CB$39,9,FALSE))</f>
        <v/>
      </c>
      <c r="BM113" s="2"/>
      <c r="BN113" s="231" t="e">
        <f>IF(mois&gt;=12,IF(EXCERCICE="PA",CC113-AE113,IF(EXCERCICE="LB1",CF113-AE113,IF(EXCERCICE="LB2",$CK113-AE113))),
IF(mois+1&lt;=13,IF(EXCERCICE="PA",CC113-AO113,IF(EXCERCICE="LB1",CF113-AO113,IF(EXCERCICE="LB2",$CK113-AO113))),
IF(mois+2&lt;=14,IF(EXCERCICE="PA",CC113-AY113,IF(EXCERCICE="LB1",CF113-AY113,IF(EXCERCICE="LB2",$CK113-AY113))),
IF(mois+3&lt;=15,IF(EXCERCICE="PA",CC113-BH113,IF(EXCERCICE="LB1",CF113-BH113,IF(EXCERCICE="LB2",$CK113-BH113))),0))))</f>
        <v>#REF!</v>
      </c>
      <c r="BO113" s="231" t="e">
        <f>IF(BN113&lt;0,0,BN113/(12-mois))</f>
        <v>#REF!</v>
      </c>
      <c r="BP113" s="2"/>
      <c r="BQ113" s="196"/>
      <c r="BR113" s="196"/>
      <c r="BS113" s="196"/>
      <c r="BT113" s="196"/>
      <c r="BU113" s="196"/>
      <c r="BV113" s="196"/>
      <c r="BW113" s="196"/>
      <c r="BX113" s="196"/>
      <c r="BY113" s="196"/>
      <c r="BZ113" s="196"/>
      <c r="CA113" s="196"/>
      <c r="CB113" s="196"/>
      <c r="CC113" s="92"/>
      <c r="CD113" s="207"/>
      <c r="CE113" s="54"/>
      <c r="CF113" s="92"/>
      <c r="CG113" s="128"/>
      <c r="CH113" s="53"/>
      <c r="CI113" s="52"/>
      <c r="CJ113" s="54"/>
      <c r="CK113" s="92"/>
      <c r="CL113" s="128"/>
      <c r="CM113" s="55"/>
    </row>
    <row r="114" spans="2:91" x14ac:dyDescent="0.2">
      <c r="B114" s="56"/>
      <c r="C114" s="57" t="s">
        <v>60</v>
      </c>
      <c r="D114" s="2"/>
      <c r="E114" s="95">
        <f t="shared" ref="E114:P114" si="414">IF(ISERROR(VLOOKUP(CONCATENATE($B105,E$5),TBCHISTORIQUE,11,FALSE)/1000),0,VLOOKUP(CONCATENATE($B105,E$5),TBCHISTORIQUE,11,FALSE)/1000)</f>
        <v>0</v>
      </c>
      <c r="F114" s="167">
        <f t="shared" si="414"/>
        <v>0</v>
      </c>
      <c r="G114" s="167">
        <f t="shared" si="414"/>
        <v>0</v>
      </c>
      <c r="H114" s="167">
        <f t="shared" si="414"/>
        <v>0</v>
      </c>
      <c r="I114" s="167">
        <f t="shared" si="414"/>
        <v>0</v>
      </c>
      <c r="J114" s="167">
        <f t="shared" si="414"/>
        <v>0</v>
      </c>
      <c r="K114" s="167">
        <f t="shared" si="414"/>
        <v>0</v>
      </c>
      <c r="L114" s="167">
        <f t="shared" si="414"/>
        <v>0</v>
      </c>
      <c r="M114" s="167">
        <f t="shared" si="414"/>
        <v>0</v>
      </c>
      <c r="N114" s="167">
        <f t="shared" si="414"/>
        <v>0</v>
      </c>
      <c r="O114" s="167">
        <f t="shared" si="414"/>
        <v>0</v>
      </c>
      <c r="P114" s="168">
        <f t="shared" si="414"/>
        <v>0</v>
      </c>
      <c r="Q114" s="185">
        <f>SUMIF($E$5:$P$5,"&lt;="&amp;mois,E114:P114)</f>
        <v>0</v>
      </c>
      <c r="R114" s="2"/>
      <c r="S114" s="95">
        <f t="shared" ref="S114:AD114" si="415">IF(ISERROR(VLOOKUP(CONCATENATE($B105,S$5),TBCA,11,FALSE)/1000),0,VLOOKUP(CONCATENATE($B105,S$5),TBCA,11,FALSE)/1000)</f>
        <v>0</v>
      </c>
      <c r="T114" s="167">
        <f t="shared" si="415"/>
        <v>0</v>
      </c>
      <c r="U114" s="167">
        <f t="shared" si="415"/>
        <v>0</v>
      </c>
      <c r="V114" s="167">
        <f t="shared" si="415"/>
        <v>0</v>
      </c>
      <c r="W114" s="167">
        <f t="shared" si="415"/>
        <v>0</v>
      </c>
      <c r="X114" s="167">
        <f t="shared" si="415"/>
        <v>0</v>
      </c>
      <c r="Y114" s="167">
        <f t="shared" si="415"/>
        <v>0</v>
      </c>
      <c r="Z114" s="167">
        <f t="shared" si="415"/>
        <v>0</v>
      </c>
      <c r="AA114" s="167">
        <f t="shared" si="415"/>
        <v>0</v>
      </c>
      <c r="AB114" s="167">
        <f t="shared" si="415"/>
        <v>0</v>
      </c>
      <c r="AC114" s="167">
        <f t="shared" si="415"/>
        <v>0</v>
      </c>
      <c r="AD114" s="168">
        <f t="shared" si="415"/>
        <v>0</v>
      </c>
      <c r="AE114" s="95">
        <f>SUMIF($S$5:$AD$5,"&lt;="&amp;mois,S114:AD114)</f>
        <v>0</v>
      </c>
      <c r="AF114" s="292"/>
      <c r="AG114" s="102">
        <f t="shared" si="413"/>
        <v>0</v>
      </c>
      <c r="AH114" s="102" t="e">
        <f>IF(EXCERCICE="PA",AE114-($CC114/12*(mois)),IF(EXCERCICE="LB1",AE114-($CF114/12*(mois)),AE114-($CK114/12*(mois))))</f>
        <v>#REF!</v>
      </c>
      <c r="AI114" s="102"/>
      <c r="AJ114" s="212">
        <f>IF(ISERROR(IF(EXCERCICE="PA",AE114/$CC114,IF(EXCERCICE="LB1",AE114/$CF114,AE114/$CK114))),0,IF(EXCERCICE="PA",AE114/$CC114,IF(EXCERCICE="LB1",AE114/$CF114,AE114/$CK114)))</f>
        <v>0</v>
      </c>
      <c r="AK114" s="212"/>
      <c r="AL114" s="58"/>
      <c r="AM114" s="11"/>
      <c r="AN114" s="243"/>
      <c r="AO114" s="95" t="e">
        <f>IF(mois+1&gt;12,AN114,+$AE114+AN114)</f>
        <v>#REF!</v>
      </c>
      <c r="AP114" s="292"/>
      <c r="AQ114" s="102" t="e">
        <f>AO114-AP114</f>
        <v>#REF!</v>
      </c>
      <c r="AR114" s="17" t="e">
        <f>IF(mois+1&gt;12,0,IF(mois=12,IF(EXCERCICE="PA",AO114-($CC114/12),IF(EXCERCICE="LB1",AO114-($CF114/12),AO114-($CK114/12))),IF(EXCERCICE="PA",AO114-($CC114/12*(mois+1)),IF(EXCERCICE="LB1",AO114-($CF114/12*(mois+1)),AO114-($CK114/12*(mois+1))))))</f>
        <v>#REF!</v>
      </c>
      <c r="AS114" s="179"/>
      <c r="AT114" s="212" t="e">
        <f>IF(mois+1&gt;12,0,IF(ISERROR(IF(EXCERCICE="PA",AO114/$CC114,IF(EXCERCICE="LB1",AO114/$CF114,AO114/$CK114))),0,IF(EXCERCICE="PA",AO114/$CC114,IF(EXCERCICE="LB1",AO114/$CF114,AO114/$CK114))))</f>
        <v>#REF!</v>
      </c>
      <c r="AU114" s="221"/>
      <c r="AV114" s="11"/>
      <c r="AW114" s="11"/>
      <c r="AX114" s="243"/>
      <c r="AY114" s="95"/>
      <c r="AZ114" s="292"/>
      <c r="BA114" s="17" t="e">
        <f>IF(mois+2&gt;12,0,IF(mois=12,IF(EXCERCICE="PA",AY114-($CC114/12),IF(EXCERCICE="LB1",AY114-($CF114/12),AY114-($CK114/12))),IF(EXCERCICE="PA",AY114-($CC114/12*(mois+2)),IF(EXCERCICE="LB1",AY114-($CF114/12*(mois+2)),AY114-($CK114/12*(mois+2))))))</f>
        <v>#REF!</v>
      </c>
      <c r="BB114" s="179"/>
      <c r="BC114" s="212" t="e">
        <f>IF(mois+2&gt;12,0,IF(ISERROR(IF(EXCERCICE="PA",AY114/$CC114,IF(EXCERCICE="LB1",AY114/$CF114,AY114/$CK114))),0,IF(EXCERCICE="PA",AY114/$CC114,IF(EXCERCICE="LB1",AY114/$CF114,AY114/$CK114))))</f>
        <v>#REF!</v>
      </c>
      <c r="BD114" s="221"/>
      <c r="BE114" s="58"/>
      <c r="BF114" s="11"/>
      <c r="BG114" s="243"/>
      <c r="BH114" s="95" t="e">
        <f>IF(mois+3=13,BG114,IF(mois+3&gt;15,BG114,+$AY114+BG114))</f>
        <v>#REF!</v>
      </c>
      <c r="BI114" s="17" t="e">
        <f>IF(mois+3&gt;12,0,IF(mois=12,IF(EXCERCICE="PA",BH114-($CC114/12),IF(EXCERCICE="LB1",BH114-($CF114/12),BH114-($CK114/12))),IF(EXCERCICE="PA",BH114-($CC114/12*(mois+3)),IF(EXCERCICE="LB1",BH114-($CF114/12*(mois+3)),BH114-($CK114/12*(mois+3))))))</f>
        <v>#REF!</v>
      </c>
      <c r="BJ114" s="17"/>
      <c r="BK114" s="212" t="e">
        <f>IF(mois+3&gt;12,0,IF(ISERROR(IF(EXCERCICE="PA",BH114/$CC114,IF(EXCERCICE="LB1",BH114/$CF114,BH114/$CK114))),0,IF(EXCERCICE="PA",BH114/$CC114,IF(EXCERCICE="LB1",BH114/$CF114,BH114/$CK114))))</f>
        <v>#REF!</v>
      </c>
      <c r="BL114" s="221"/>
      <c r="BM114" s="2"/>
      <c r="BN114" s="123" t="e">
        <f>IF(mois&gt;=12,IF(EXCERCICE="PA",CC114-AE114,IF(EXCERCICE="LB1",CF114-AE114,IF(EXCERCICE="LB2",$CK114-AE114))),
IF(mois+1&lt;=13,IF(EXCERCICE="PA",CC114-AO114,IF(EXCERCICE="LB1",CF114-AO114,IF(EXCERCICE="LB2",$CK114-AO114))),
IF(mois+2&lt;=14,IF(EXCERCICE="PA",CC114-AY114,IF(EXCERCICE="LB1",CF114-AY114,IF(EXCERCICE="LB2",$CK114-AY114))),
IF(mois+3&lt;=15,IF(EXCERCICE="PA",CC114-BH114,IF(EXCERCICE="LB1",CF114-BH114,IF(EXCERCICE="LB2",$CK114-BH114))),0))))</f>
        <v>#REF!</v>
      </c>
      <c r="BO114" s="123" t="e">
        <f>IF(BN114&lt;0,0,BN114/(12-mois))</f>
        <v>#REF!</v>
      </c>
      <c r="BP114" s="2"/>
      <c r="BQ114" s="173"/>
      <c r="BR114" s="173"/>
      <c r="BS114" s="173"/>
      <c r="BT114" s="173"/>
      <c r="BU114" s="173"/>
      <c r="BV114" s="173"/>
      <c r="BW114" s="173"/>
      <c r="BX114" s="173"/>
      <c r="BY114" s="173"/>
      <c r="BZ114" s="173"/>
      <c r="CA114" s="173"/>
      <c r="CB114" s="173"/>
      <c r="CC114" s="95"/>
      <c r="CD114" s="203"/>
      <c r="CE114" s="11"/>
      <c r="CF114" s="95"/>
      <c r="CG114" s="125"/>
      <c r="CH114" s="59"/>
      <c r="CI114" s="58"/>
      <c r="CJ114" s="11"/>
      <c r="CK114" s="95"/>
      <c r="CL114" s="125"/>
      <c r="CM114" s="17"/>
    </row>
    <row r="115" spans="2:91" x14ac:dyDescent="0.2">
      <c r="B115" s="56"/>
      <c r="C115" s="142" t="s">
        <v>63</v>
      </c>
      <c r="D115" s="2"/>
      <c r="E115" s="69" t="str">
        <f>IF(E113=0,"-",E114/E113)</f>
        <v>-</v>
      </c>
      <c r="F115" s="9" t="str">
        <f t="shared" ref="F115" si="416">IF(F113=0,"-",F114/F113)</f>
        <v>-</v>
      </c>
      <c r="G115" s="9" t="str">
        <f t="shared" ref="G115" si="417">IF(G113=0,"-",G114/G113)</f>
        <v>-</v>
      </c>
      <c r="H115" s="9" t="str">
        <f t="shared" ref="H115" si="418">IF(H113=0,"-",H114/H113)</f>
        <v>-</v>
      </c>
      <c r="I115" s="9" t="str">
        <f t="shared" ref="I115" si="419">IF(I113=0,"-",I114/I113)</f>
        <v>-</v>
      </c>
      <c r="J115" s="9" t="str">
        <f t="shared" ref="J115" si="420">IF(J113=0,"-",J114/J113)</f>
        <v>-</v>
      </c>
      <c r="K115" s="9" t="str">
        <f t="shared" ref="K115" si="421">IF(K113=0,"-",K114/K113)</f>
        <v>-</v>
      </c>
      <c r="L115" s="9" t="str">
        <f t="shared" ref="L115" si="422">IF(L113=0,"-",L114/L113)</f>
        <v>-</v>
      </c>
      <c r="M115" s="9" t="str">
        <f t="shared" ref="M115" si="423">IF(M113=0,"-",M114/M113)</f>
        <v>-</v>
      </c>
      <c r="N115" s="9" t="str">
        <f t="shared" ref="N115" si="424">IF(N113=0,"-",N114/N113)</f>
        <v>-</v>
      </c>
      <c r="O115" s="9" t="str">
        <f t="shared" ref="O115" si="425">IF(O113=0,"-",O114/O113)</f>
        <v>-</v>
      </c>
      <c r="P115" s="9" t="str">
        <f t="shared" ref="P115" si="426">IF(P113=0,"-",P114/P113)</f>
        <v>-</v>
      </c>
      <c r="Q115" s="188" t="str">
        <f t="shared" ref="Q115" si="427">IF(Q113=0,"-",Q114/Q113)</f>
        <v>-</v>
      </c>
      <c r="R115" s="2"/>
      <c r="S115" s="69" t="str">
        <f>IF(S113=0,"-",S114/S113)</f>
        <v>-</v>
      </c>
      <c r="T115" s="9" t="str">
        <f t="shared" ref="T115:AD115" si="428">IF(T113=0,"-",T114/T113)</f>
        <v>-</v>
      </c>
      <c r="U115" s="9" t="str">
        <f t="shared" si="428"/>
        <v>-</v>
      </c>
      <c r="V115" s="9" t="str">
        <f t="shared" si="428"/>
        <v>-</v>
      </c>
      <c r="W115" s="9" t="str">
        <f t="shared" si="428"/>
        <v>-</v>
      </c>
      <c r="X115" s="9" t="str">
        <f t="shared" si="428"/>
        <v>-</v>
      </c>
      <c r="Y115" s="9" t="str">
        <f t="shared" si="428"/>
        <v>-</v>
      </c>
      <c r="Z115" s="9" t="str">
        <f t="shared" si="428"/>
        <v>-</v>
      </c>
      <c r="AA115" s="9" t="str">
        <f t="shared" si="428"/>
        <v>-</v>
      </c>
      <c r="AB115" s="9" t="str">
        <f t="shared" si="428"/>
        <v>-</v>
      </c>
      <c r="AC115" s="9" t="str">
        <f t="shared" si="428"/>
        <v>-</v>
      </c>
      <c r="AD115" s="9" t="str">
        <f t="shared" si="428"/>
        <v>-</v>
      </c>
      <c r="AE115" s="69" t="str">
        <f>IF(AE113=0,"-",AE114/AE113)</f>
        <v>-</v>
      </c>
      <c r="AF115" s="295"/>
      <c r="AG115" s="105" t="str">
        <f t="shared" ref="AG115:AH115" si="429">IF(AG113=0,"-",AG114/AG113)</f>
        <v>-</v>
      </c>
      <c r="AH115" s="105" t="e">
        <f t="shared" si="429"/>
        <v>#REF!</v>
      </c>
      <c r="AI115" s="105"/>
      <c r="AJ115" s="212"/>
      <c r="AK115" s="212"/>
      <c r="AL115" s="58"/>
      <c r="AM115" s="11"/>
      <c r="AN115" s="244"/>
      <c r="AO115" s="69" t="e">
        <f t="shared" ref="AO115" si="430">IF(AO113=0,"-",AO114/AO113)</f>
        <v>#REF!</v>
      </c>
      <c r="AP115" s="295"/>
      <c r="AQ115" s="105" t="e">
        <f t="shared" ref="AQ115:AR115" si="431">IF(AQ113=0,"-",AQ114/AQ113)</f>
        <v>#REF!</v>
      </c>
      <c r="AR115" s="9" t="e">
        <f t="shared" si="431"/>
        <v>#REF!</v>
      </c>
      <c r="AS115" s="105"/>
      <c r="AT115" s="212"/>
      <c r="AU115" s="221"/>
      <c r="AV115" s="11"/>
      <c r="AW115" s="11"/>
      <c r="AX115" s="244"/>
      <c r="AY115" s="69"/>
      <c r="AZ115" s="295"/>
      <c r="BA115" s="9" t="e">
        <f t="shared" ref="BA115" si="432">IF(BA113=0,"-",BA114/BA113)</f>
        <v>#REF!</v>
      </c>
      <c r="BB115" s="105"/>
      <c r="BC115" s="212"/>
      <c r="BD115" s="221"/>
      <c r="BE115" s="58"/>
      <c r="BF115" s="11"/>
      <c r="BG115" s="244"/>
      <c r="BH115" s="69" t="e">
        <f t="shared" ref="BH115:BI115" si="433">IF(BH113=0,"-",BH114/BH113)</f>
        <v>#REF!</v>
      </c>
      <c r="BI115" s="9" t="e">
        <f t="shared" si="433"/>
        <v>#REF!</v>
      </c>
      <c r="BJ115" s="9"/>
      <c r="BK115" s="212"/>
      <c r="BL115" s="221"/>
      <c r="BM115" s="2"/>
      <c r="BN115" s="232"/>
      <c r="BO115" s="232"/>
      <c r="BP115" s="2"/>
      <c r="BQ115" s="173"/>
      <c r="BR115" s="173"/>
      <c r="BS115" s="173"/>
      <c r="BT115" s="173"/>
      <c r="BU115" s="173"/>
      <c r="BV115" s="173"/>
      <c r="BW115" s="173"/>
      <c r="BX115" s="173"/>
      <c r="BY115" s="173"/>
      <c r="BZ115" s="173"/>
      <c r="CA115" s="173"/>
      <c r="CB115" s="173"/>
      <c r="CC115" s="69"/>
      <c r="CD115" s="203"/>
      <c r="CE115" s="11"/>
      <c r="CF115" s="69"/>
      <c r="CG115" s="135"/>
      <c r="CH115" s="149"/>
      <c r="CI115" s="58"/>
      <c r="CJ115" s="11"/>
      <c r="CK115" s="69"/>
      <c r="CL115" s="135"/>
      <c r="CM115" s="10"/>
    </row>
    <row r="116" spans="2:91" x14ac:dyDescent="0.2">
      <c r="B116" s="56"/>
      <c r="C116" s="70"/>
      <c r="D116" s="2"/>
      <c r="E116" s="58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89"/>
      <c r="R116" s="2"/>
      <c r="S116" s="58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58"/>
      <c r="AF116" s="296"/>
      <c r="AG116" s="106"/>
      <c r="AH116" s="106"/>
      <c r="AI116" s="106"/>
      <c r="AJ116" s="198"/>
      <c r="AK116" s="198"/>
      <c r="AL116" s="58"/>
      <c r="AM116" s="11"/>
      <c r="AN116" s="245"/>
      <c r="AO116" s="58"/>
      <c r="AP116" s="296"/>
      <c r="AQ116" s="106"/>
      <c r="AR116" s="71"/>
      <c r="AS116" s="106"/>
      <c r="AT116" s="198"/>
      <c r="AU116" s="225"/>
      <c r="AV116" s="11"/>
      <c r="AW116" s="11"/>
      <c r="AX116" s="245"/>
      <c r="AY116" s="58"/>
      <c r="AZ116" s="296"/>
      <c r="BA116" s="71"/>
      <c r="BB116" s="106"/>
      <c r="BC116" s="198"/>
      <c r="BD116" s="225"/>
      <c r="BE116" s="58"/>
      <c r="BF116" s="11"/>
      <c r="BG116" s="245"/>
      <c r="BH116" s="58"/>
      <c r="BI116" s="11"/>
      <c r="BJ116" s="11"/>
      <c r="BK116" s="198"/>
      <c r="BL116" s="225"/>
      <c r="BM116" s="2"/>
      <c r="BN116" s="233"/>
      <c r="BO116" s="233"/>
      <c r="BP116" s="2"/>
      <c r="BQ116" s="173"/>
      <c r="BR116" s="173"/>
      <c r="BS116" s="173"/>
      <c r="BT116" s="173"/>
      <c r="BU116" s="173"/>
      <c r="BV116" s="173"/>
      <c r="BW116" s="173"/>
      <c r="BX116" s="173"/>
      <c r="BY116" s="173"/>
      <c r="BZ116" s="173"/>
      <c r="CA116" s="173"/>
      <c r="CB116" s="173"/>
      <c r="CC116" s="133"/>
      <c r="CD116" s="208"/>
      <c r="CE116" s="11"/>
      <c r="CF116" s="133"/>
      <c r="CG116" s="125"/>
      <c r="CH116" s="70"/>
      <c r="CI116" s="58"/>
      <c r="CJ116" s="11"/>
      <c r="CK116" s="133"/>
      <c r="CL116" s="125"/>
      <c r="CM116" s="71"/>
    </row>
    <row r="117" spans="2:91" x14ac:dyDescent="0.2">
      <c r="B117" s="72"/>
      <c r="C117" s="73" t="s">
        <v>9</v>
      </c>
      <c r="D117" s="74"/>
      <c r="E117" s="97">
        <f>IF(ISERROR(VLOOKUP(CONCATENATE($B105,E$5),TBCHISTORIQUE,12,FALSE)/1000),0,VLOOKUP(CONCATENATE($B105,E$5),TBCHISTORIQUE,12,FALSE)/1000)</f>
        <v>0</v>
      </c>
      <c r="F117" s="171">
        <f t="shared" ref="F117:P117" si="434">IF(ISERROR(VLOOKUP(CONCATENATE($B$50,F$5),TBCHISTORIQUE,12,FALSE)/1000),0,VLOOKUP(CONCATENATE($B$50,F$5),TBCHISTORIQUE,12,FALSE)/1000)</f>
        <v>0</v>
      </c>
      <c r="G117" s="171">
        <f t="shared" si="434"/>
        <v>0</v>
      </c>
      <c r="H117" s="171">
        <f t="shared" si="434"/>
        <v>0</v>
      </c>
      <c r="I117" s="171">
        <f t="shared" si="434"/>
        <v>0</v>
      </c>
      <c r="J117" s="171">
        <f t="shared" si="434"/>
        <v>0</v>
      </c>
      <c r="K117" s="171">
        <f t="shared" si="434"/>
        <v>0</v>
      </c>
      <c r="L117" s="171">
        <f t="shared" si="434"/>
        <v>0</v>
      </c>
      <c r="M117" s="171">
        <f t="shared" si="434"/>
        <v>0</v>
      </c>
      <c r="N117" s="171">
        <f t="shared" si="434"/>
        <v>0</v>
      </c>
      <c r="O117" s="171">
        <f t="shared" si="434"/>
        <v>0</v>
      </c>
      <c r="P117" s="172">
        <f t="shared" si="434"/>
        <v>0</v>
      </c>
      <c r="Q117" s="190">
        <f>SUMIF($E$5:$P$5,"&lt;="&amp;mois,E117:P117)</f>
        <v>0</v>
      </c>
      <c r="R117" s="74"/>
      <c r="S117" s="97">
        <f t="shared" ref="S117:AD117" si="435">IF(ISERROR(VLOOKUP(CONCATENATE($B105,S$5),TBCA,12,FALSE)/1000),0,VLOOKUP(CONCATENATE($B105,S$5),TBCA,12,FALSE)/1000)</f>
        <v>0</v>
      </c>
      <c r="T117" s="171">
        <f t="shared" si="435"/>
        <v>0</v>
      </c>
      <c r="U117" s="171">
        <f t="shared" si="435"/>
        <v>0</v>
      </c>
      <c r="V117" s="171">
        <f t="shared" si="435"/>
        <v>0</v>
      </c>
      <c r="W117" s="171">
        <f t="shared" si="435"/>
        <v>0</v>
      </c>
      <c r="X117" s="171">
        <f t="shared" si="435"/>
        <v>0</v>
      </c>
      <c r="Y117" s="171">
        <f t="shared" si="435"/>
        <v>0</v>
      </c>
      <c r="Z117" s="171">
        <f t="shared" si="435"/>
        <v>0</v>
      </c>
      <c r="AA117" s="171">
        <f t="shared" si="435"/>
        <v>0</v>
      </c>
      <c r="AB117" s="171">
        <f t="shared" si="435"/>
        <v>0</v>
      </c>
      <c r="AC117" s="171">
        <f t="shared" si="435"/>
        <v>0</v>
      </c>
      <c r="AD117" s="172">
        <f t="shared" si="435"/>
        <v>0</v>
      </c>
      <c r="AE117" s="97">
        <f>SUMIF($S$5:$AD$5,"&lt;="&amp;mois,S117:AD117)</f>
        <v>0</v>
      </c>
      <c r="AF117" s="292"/>
      <c r="AG117" s="107">
        <f>AE117-AF117</f>
        <v>0</v>
      </c>
      <c r="AH117" s="107" t="e">
        <f>IF(EXCERCICE="PA",AE117-($CC117/12*(mois)),IF(EXCERCICE="LB1",AE117-($CF117/12*(mois)),AE117-($CK117/12*(mois))))</f>
        <v>#REF!</v>
      </c>
      <c r="AI117" s="107"/>
      <c r="AJ117" s="215">
        <f>IF(ISERROR(IF(EXCERCICE="PA",AE117/$CC117,IF(EXCERCICE="LB1",AE117/$CF117,AE117/$CK117))),0,IF(EXCERCICE="PA",AE117/$CC117,IF(EXCERCICE="LB1",AE117/$CF117,AE117/$CK117)))</f>
        <v>0</v>
      </c>
      <c r="AK117" s="215"/>
      <c r="AL117" s="75"/>
      <c r="AM117" s="77"/>
      <c r="AN117" s="246"/>
      <c r="AO117" s="97" t="e">
        <f>IF(mois+1&gt;12,AN117,+$AE117+AN117)</f>
        <v>#REF!</v>
      </c>
      <c r="AP117" s="292"/>
      <c r="AQ117" s="107" t="e">
        <f>AO117-AP117</f>
        <v>#REF!</v>
      </c>
      <c r="AR117" s="78" t="e">
        <f>IF(mois+1&gt;12,0,IF(mois=12,IF(EXCERCICE="PA",AO117-($CC117/12),IF(EXCERCICE="LB1",AO117-($CF117/12),AO117-($CK117/12))),IF(EXCERCICE="PA",AO117-($CC117/12*(mois+1)),IF(EXCERCICE="LB1",AO117-($CF117/12*(mois+1)),AO117-($CK117/12*(mois+1))))))</f>
        <v>#REF!</v>
      </c>
      <c r="AS117" s="180"/>
      <c r="AT117" s="215" t="e">
        <f>IF(mois+1&gt;12,0,IF(ISERROR(IF(EXCERCICE="PA",AO117/$CC117,IF(EXCERCICE="LB1",AO117/$CF117,AO117/$CK117))),0,IF(EXCERCICE="PA",AO117/$CC117,IF(EXCERCICE="LB1",AO117/$CF117,AO117/$CK117))))</f>
        <v>#REF!</v>
      </c>
      <c r="AU117" s="226"/>
      <c r="AV117" s="11"/>
      <c r="AW117" s="77"/>
      <c r="AX117" s="246"/>
      <c r="AY117" s="97"/>
      <c r="AZ117" s="292"/>
      <c r="BA117" s="78" t="e">
        <f>IF(mois+2&gt;12,0,IF(mois=12,IF(EXCERCICE="PA",AY117-($CC117/12),IF(EXCERCICE="LB1",AY117-($CF117/12),AY117-($CK117/12))),IF(EXCERCICE="PA",AY117-($CC117/12*(mois+2)),IF(EXCERCICE="LB1",AY117-($CF117/12*(mois+2)),AY117-($CK117/12*(mois+2))))))</f>
        <v>#REF!</v>
      </c>
      <c r="BB117" s="180"/>
      <c r="BC117" s="215" t="e">
        <f>IF(mois+2&gt;12,0,IF(ISERROR(IF(EXCERCICE="PA",AY117/$CC117,IF(EXCERCICE="LB1",AY117/$CF117,AY117/$CK117))),0,IF(EXCERCICE="PA",AY117/$CC117,IF(EXCERCICE="LB1",AY117/$CF117,AY117/$CK117))))</f>
        <v>#REF!</v>
      </c>
      <c r="BD117" s="226"/>
      <c r="BE117" s="75"/>
      <c r="BF117" s="77"/>
      <c r="BG117" s="246"/>
      <c r="BH117" s="97" t="e">
        <f>IF(mois+3=13,BG117,IF(mois+3&gt;15,BG117,+$AY117+BG117))</f>
        <v>#REF!</v>
      </c>
      <c r="BI117" s="78" t="e">
        <f>IF(mois+3&gt;12,0,IF(mois=12,IF(EXCERCICE="PA",BH117-($CC117/12),IF(EXCERCICE="LB1",BH117-($CF117/12),BH117-($CK117/12))),IF(EXCERCICE="PA",BH117-($CC117/12*(mois+3)),IF(EXCERCICE="LB1",BH117-($CF117/12*(mois+3)),BH117-($CK117/12*(mois+3))))))</f>
        <v>#REF!</v>
      </c>
      <c r="BJ117" s="78"/>
      <c r="BK117" s="215" t="e">
        <f>IF(mois+3&gt;12,0,IF(ISERROR(IF(EXCERCICE="PA",BH117/$CC117,IF(EXCERCICE="LB1",BH117/$CF117,BH117/$CK117))),0,IF(EXCERCICE="PA",BH117/$CC117,IF(EXCERCICE="LB1",BH117/$CF117,BH117/$CK117))))</f>
        <v>#REF!</v>
      </c>
      <c r="BL117" s="226"/>
      <c r="BM117" s="2"/>
      <c r="BN117" s="123" t="e">
        <f>IF(mois&gt;=12,IF(EXCERCICE="PA",CC117-AE117,IF(EXCERCICE="LB1",CF117-AE117,IF(EXCERCICE="LB2",$CK117-AE117))),
IF(mois+1&lt;=13,IF(EXCERCICE="PA",CC117-AO117,IF(EXCERCICE="LB1",CF117-AO117,IF(EXCERCICE="LB2",$CK117-AO117))),
IF(mois+2&lt;=14,IF(EXCERCICE="PA",CC117-AY117,IF(EXCERCICE="LB1",CF117-AY117,IF(EXCERCICE="LB2",$CK117-AY117))),
IF(mois+3&lt;=15,IF(EXCERCICE="PA",CC117-BH117,IF(EXCERCICE="LB1",CF117-BH117,IF(EXCERCICE="LB2",$CK117-BH117))),0))))</f>
        <v>#REF!</v>
      </c>
      <c r="BO117" s="123" t="e">
        <f>IF(BN117&lt;0,0,BN117/(12-mois))</f>
        <v>#REF!</v>
      </c>
      <c r="BP117" s="2"/>
      <c r="BQ117" s="173"/>
      <c r="BR117" s="173"/>
      <c r="BS117" s="173"/>
      <c r="BT117" s="173"/>
      <c r="BU117" s="173"/>
      <c r="BV117" s="173"/>
      <c r="BW117" s="173"/>
      <c r="BX117" s="173"/>
      <c r="BY117" s="173"/>
      <c r="BZ117" s="173"/>
      <c r="CA117" s="173"/>
      <c r="CB117" s="173"/>
      <c r="CC117" s="97"/>
      <c r="CD117" s="209"/>
      <c r="CE117" s="77"/>
      <c r="CF117" s="97"/>
      <c r="CG117" s="136"/>
      <c r="CH117" s="76"/>
      <c r="CI117" s="75"/>
      <c r="CJ117" s="77"/>
      <c r="CK117" s="97"/>
      <c r="CL117" s="136"/>
      <c r="CM117" s="78"/>
    </row>
    <row r="118" spans="2:91" x14ac:dyDescent="0.2">
      <c r="B118" s="72"/>
      <c r="C118" s="73" t="s">
        <v>10</v>
      </c>
      <c r="D118" s="74"/>
      <c r="E118" s="97">
        <f>IF(ISERROR(VLOOKUP(CONCATENATE($B105,E$5),TBCHISTORIQUE,13,FALSE)/1000),0,VLOOKUP(CONCATENATE($B105,E$5),TBCHISTORIQUE,13,FALSE)/1000)</f>
        <v>0</v>
      </c>
      <c r="F118" s="171">
        <f t="shared" ref="F118:P118" si="436">IF(ISERROR(VLOOKUP(CONCATENATE($B$50,F$5),TBCHISTORIQUE,13,FALSE)/1000),0,VLOOKUP(CONCATENATE($B$50,F$5),TBCHISTORIQUE,13,FALSE)/1000)</f>
        <v>0</v>
      </c>
      <c r="G118" s="171">
        <f t="shared" si="436"/>
        <v>0</v>
      </c>
      <c r="H118" s="171">
        <f t="shared" si="436"/>
        <v>0</v>
      </c>
      <c r="I118" s="171">
        <f t="shared" si="436"/>
        <v>0</v>
      </c>
      <c r="J118" s="171">
        <f t="shared" si="436"/>
        <v>0</v>
      </c>
      <c r="K118" s="171">
        <f t="shared" si="436"/>
        <v>0</v>
      </c>
      <c r="L118" s="171">
        <f t="shared" si="436"/>
        <v>0</v>
      </c>
      <c r="M118" s="171">
        <f t="shared" si="436"/>
        <v>0</v>
      </c>
      <c r="N118" s="171">
        <f t="shared" si="436"/>
        <v>0</v>
      </c>
      <c r="O118" s="171">
        <f t="shared" si="436"/>
        <v>0</v>
      </c>
      <c r="P118" s="172">
        <f t="shared" si="436"/>
        <v>0</v>
      </c>
      <c r="Q118" s="190">
        <f>SUMIF($E$5:$P$5,"&lt;="&amp;mois,E118:P118)</f>
        <v>0</v>
      </c>
      <c r="R118" s="74"/>
      <c r="S118" s="97">
        <f t="shared" ref="S118:AD118" si="437">IF(ISERROR(VLOOKUP(CONCATENATE($B105,S$5),TBCA,13,FALSE)/1000),0,VLOOKUP(CONCATENATE($B105,S$5),TBCA,13,FALSE)/1000)</f>
        <v>0</v>
      </c>
      <c r="T118" s="171">
        <f t="shared" si="437"/>
        <v>0</v>
      </c>
      <c r="U118" s="171">
        <f t="shared" si="437"/>
        <v>0</v>
      </c>
      <c r="V118" s="171">
        <f t="shared" si="437"/>
        <v>0</v>
      </c>
      <c r="W118" s="171">
        <f t="shared" si="437"/>
        <v>0</v>
      </c>
      <c r="X118" s="171">
        <f t="shared" si="437"/>
        <v>0</v>
      </c>
      <c r="Y118" s="171">
        <f t="shared" si="437"/>
        <v>0</v>
      </c>
      <c r="Z118" s="171">
        <f t="shared" si="437"/>
        <v>0</v>
      </c>
      <c r="AA118" s="171">
        <f t="shared" si="437"/>
        <v>0</v>
      </c>
      <c r="AB118" s="171">
        <f t="shared" si="437"/>
        <v>0</v>
      </c>
      <c r="AC118" s="171">
        <f t="shared" si="437"/>
        <v>0</v>
      </c>
      <c r="AD118" s="172">
        <f t="shared" si="437"/>
        <v>0</v>
      </c>
      <c r="AE118" s="97">
        <f>SUMIF($S$5:$AD$5,"&lt;="&amp;mois,S118:AD118)</f>
        <v>0</v>
      </c>
      <c r="AF118" s="292"/>
      <c r="AG118" s="107">
        <f>AE118-AF118</f>
        <v>0</v>
      </c>
      <c r="AH118" s="107" t="e">
        <f>IF(EXCERCICE="PA",AE118-($CC118/12*(mois)),IF(EXCERCICE="LB1",AE118-($CF118/12*(mois)),AE118-($CK118/12*(mois))))</f>
        <v>#REF!</v>
      </c>
      <c r="AI118" s="107"/>
      <c r="AJ118" s="215">
        <f>IF(ISERROR(IF(EXCERCICE="PA",AE118/$CC118,IF(EXCERCICE="LB1",AE118/$CF118,AE118/$CK118))),0,IF(EXCERCICE="PA",AE118/$CC118,IF(EXCERCICE="LB1",AE118/$CF118,AE118/$CK118)))</f>
        <v>0</v>
      </c>
      <c r="AK118" s="215"/>
      <c r="AL118" s="75"/>
      <c r="AM118" s="77"/>
      <c r="AN118" s="246"/>
      <c r="AO118" s="97" t="e">
        <f>IF(mois+1&gt;12,AN118,+$AE118+AN118)</f>
        <v>#REF!</v>
      </c>
      <c r="AP118" s="292"/>
      <c r="AQ118" s="107" t="e">
        <f>AO118-AP118</f>
        <v>#REF!</v>
      </c>
      <c r="AR118" s="78" t="e">
        <f>IF(mois+1&gt;12,0,IF(mois=12,IF(EXCERCICE="PA",AO118-($CC118/12),IF(EXCERCICE="LB1",AO118-($CF118/12),AO118-($CK118/12))),IF(EXCERCICE="PA",AO118-($CC118/12*(mois+1)),IF(EXCERCICE="LB1",AO118-($CF118/12*(mois+1)),AO118-($CK118/12*(mois+1))))))</f>
        <v>#REF!</v>
      </c>
      <c r="AS118" s="180"/>
      <c r="AT118" s="215" t="e">
        <f>IF(mois+1&gt;12,0,IF(ISERROR(IF(EXCERCICE="PA",AO118/$CC118,IF(EXCERCICE="LB1",AO118/$CF118,AO118/$CK118))),0,IF(EXCERCICE="PA",AO118/$CC118,IF(EXCERCICE="LB1",AO118/$CF118,AO118/$CK118))))</f>
        <v>#REF!</v>
      </c>
      <c r="AU118" s="226"/>
      <c r="AV118" s="11"/>
      <c r="AW118" s="77"/>
      <c r="AX118" s="246"/>
      <c r="AY118" s="97"/>
      <c r="AZ118" s="292"/>
      <c r="BA118" s="78" t="e">
        <f>IF(mois+2&gt;12,0,IF(mois=12,IF(EXCERCICE="PA",AY118-($CC118/12),IF(EXCERCICE="LB1",AY118-($CF118/12),AY118-($CK118/12))),IF(EXCERCICE="PA",AY118-($CC118/12*(mois+2)),IF(EXCERCICE="LB1",AY118-($CF118/12*(mois+2)),AY118-($CK118/12*(mois+2))))))</f>
        <v>#REF!</v>
      </c>
      <c r="BB118" s="180"/>
      <c r="BC118" s="215" t="e">
        <f>IF(mois+2&gt;12,0,IF(ISERROR(IF(EXCERCICE="PA",AY118/$CC118,IF(EXCERCICE="LB1",AY118/$CF118,AY118/$CK118))),0,IF(EXCERCICE="PA",AY118/$CC118,IF(EXCERCICE="LB1",AY118/$CF118,AY118/$CK118))))</f>
        <v>#REF!</v>
      </c>
      <c r="BD118" s="226"/>
      <c r="BE118" s="75"/>
      <c r="BF118" s="77"/>
      <c r="BG118" s="246"/>
      <c r="BH118" s="97" t="e">
        <f>IF(mois+3=13,BG118,IF(mois+3&gt;15,BG118,+$AY118+BG118))</f>
        <v>#REF!</v>
      </c>
      <c r="BI118" s="78" t="e">
        <f>IF(mois+3&gt;12,0,IF(mois=12,IF(EXCERCICE="PA",BH118-($CC118/12),IF(EXCERCICE="LB1",BH118-($CF118/12),BH118-($CK118/12))),IF(EXCERCICE="PA",BH118-($CC118/12*(mois+3)),IF(EXCERCICE="LB1",BH118-($CF118/12*(mois+3)),BH118-($CK118/12*(mois+3))))))</f>
        <v>#REF!</v>
      </c>
      <c r="BJ118" s="78"/>
      <c r="BK118" s="215" t="e">
        <f>IF(mois+3&gt;12,0,IF(ISERROR(IF(EXCERCICE="PA",BH118/$CC118,IF(EXCERCICE="LB1",BH118/$CF118,BH118/$CK118))),0,IF(EXCERCICE="PA",BH118/$CC118,IF(EXCERCICE="LB1",BH118/$CF118,BH118/$CK118))))</f>
        <v>#REF!</v>
      </c>
      <c r="BL118" s="226"/>
      <c r="BM118" s="2"/>
      <c r="BN118" s="123" t="e">
        <f>IF(mois&gt;=12,IF(EXCERCICE="PA",CC118-AE118,IF(EXCERCICE="LB1",CF118-AE118,IF(EXCERCICE="LB2",$CK118-AE118))),
IF(mois+1&lt;=13,IF(EXCERCICE="PA",CC118-AO118,IF(EXCERCICE="LB1",CF118-AO118,IF(EXCERCICE="LB2",$CK118-AO118))),
IF(mois+2&lt;=14,IF(EXCERCICE="PA",CC118-AY118,IF(EXCERCICE="LB1",CF118-AY118,IF(EXCERCICE="LB2",$CK118-AY118))),
IF(mois+3&lt;=15,IF(EXCERCICE="PA",CC118-BH118,IF(EXCERCICE="LB1",CF118-BH118,IF(EXCERCICE="LB2",$CK118-BH118))),0))))</f>
        <v>#REF!</v>
      </c>
      <c r="BO118" s="123" t="e">
        <f>IF(BN118&lt;0,0,BN118/(12-mois))</f>
        <v>#REF!</v>
      </c>
      <c r="BP118" s="2"/>
      <c r="BQ118" s="173"/>
      <c r="BR118" s="173"/>
      <c r="BS118" s="173"/>
      <c r="BT118" s="173"/>
      <c r="BU118" s="173"/>
      <c r="BV118" s="173"/>
      <c r="BW118" s="173"/>
      <c r="BX118" s="173"/>
      <c r="BY118" s="173"/>
      <c r="BZ118" s="173"/>
      <c r="CA118" s="173"/>
      <c r="CB118" s="173"/>
      <c r="CC118" s="97"/>
      <c r="CD118" s="209"/>
      <c r="CE118" s="77"/>
      <c r="CF118" s="97"/>
      <c r="CG118" s="136"/>
      <c r="CH118" s="76"/>
      <c r="CI118" s="75"/>
      <c r="CJ118" s="77"/>
      <c r="CK118" s="97"/>
      <c r="CL118" s="136"/>
      <c r="CM118" s="78"/>
    </row>
    <row r="119" spans="2:91" x14ac:dyDescent="0.2">
      <c r="B119" s="56"/>
      <c r="C119" s="79" t="s">
        <v>64</v>
      </c>
      <c r="D119" s="51"/>
      <c r="E119" s="98">
        <f>E114+SUM(E117:E118)</f>
        <v>0</v>
      </c>
      <c r="F119" s="14">
        <f t="shared" ref="F119" si="438">F114+SUM(F117:F118)</f>
        <v>0</v>
      </c>
      <c r="G119" s="14">
        <f t="shared" ref="G119" si="439">G114+SUM(G117:G118)</f>
        <v>0</v>
      </c>
      <c r="H119" s="14">
        <f t="shared" ref="H119" si="440">H114+SUM(H117:H118)</f>
        <v>0</v>
      </c>
      <c r="I119" s="14">
        <f t="shared" ref="I119" si="441">I114+SUM(I117:I118)</f>
        <v>0</v>
      </c>
      <c r="J119" s="14">
        <f t="shared" ref="J119" si="442">J114+SUM(J117:J118)</f>
        <v>0</v>
      </c>
      <c r="K119" s="14">
        <f t="shared" ref="K119" si="443">K114+SUM(K117:K118)</f>
        <v>0</v>
      </c>
      <c r="L119" s="14">
        <f t="shared" ref="L119" si="444">L114+SUM(L117:L118)</f>
        <v>0</v>
      </c>
      <c r="M119" s="14">
        <f t="shared" ref="M119" si="445">M114+SUM(M117:M118)</f>
        <v>0</v>
      </c>
      <c r="N119" s="14">
        <f t="shared" ref="N119" si="446">N114+SUM(N117:N118)</f>
        <v>0</v>
      </c>
      <c r="O119" s="14">
        <f t="shared" ref="O119" si="447">O114+SUM(O117:O118)</f>
        <v>0</v>
      </c>
      <c r="P119" s="14">
        <f t="shared" ref="P119" si="448">P114+SUM(P117:P118)</f>
        <v>0</v>
      </c>
      <c r="Q119" s="191">
        <f>Q114+SUM(Q117:Q118)</f>
        <v>0</v>
      </c>
      <c r="R119" s="51"/>
      <c r="S119" s="98">
        <f>S114+SUM(S117:S118)</f>
        <v>0</v>
      </c>
      <c r="T119" s="14">
        <f t="shared" ref="T119:AD119" si="449">T114+SUM(T117:T118)</f>
        <v>0</v>
      </c>
      <c r="U119" s="14">
        <f t="shared" si="449"/>
        <v>0</v>
      </c>
      <c r="V119" s="14">
        <f t="shared" si="449"/>
        <v>0</v>
      </c>
      <c r="W119" s="14">
        <f t="shared" si="449"/>
        <v>0</v>
      </c>
      <c r="X119" s="14">
        <f t="shared" si="449"/>
        <v>0</v>
      </c>
      <c r="Y119" s="14">
        <f t="shared" si="449"/>
        <v>0</v>
      </c>
      <c r="Z119" s="14">
        <f t="shared" si="449"/>
        <v>0</v>
      </c>
      <c r="AA119" s="14">
        <f t="shared" si="449"/>
        <v>0</v>
      </c>
      <c r="AB119" s="14">
        <f t="shared" si="449"/>
        <v>0</v>
      </c>
      <c r="AC119" s="14">
        <f t="shared" si="449"/>
        <v>0</v>
      </c>
      <c r="AD119" s="14">
        <f t="shared" si="449"/>
        <v>0</v>
      </c>
      <c r="AE119" s="98">
        <f>AE114+SUM(AE117:AE118)</f>
        <v>0</v>
      </c>
      <c r="AF119" s="297"/>
      <c r="AG119" s="108">
        <f>AE119-AF119</f>
        <v>0</v>
      </c>
      <c r="AH119" s="108" t="e">
        <f>IF(EXCERCICE="PA",AE119-($CC119/12*(mois)),IF(EXCERCICE="LB1",AE119-($CF119/12*(mois)),AE119-($CK119/12*(mois))))</f>
        <v>#REF!</v>
      </c>
      <c r="AI119" s="108"/>
      <c r="AJ119" s="201">
        <f>IF(ISERROR(IF(EXCERCICE="PA",AE119/$CC119,IF(EXCERCICE="LB1",AE119/$CF119,AE119/$CK119))),0,IF(EXCERCICE="PA",AE119/$CC119,IF(EXCERCICE="LB1",AE119/$CF119,AE119/$CK119)))</f>
        <v>0</v>
      </c>
      <c r="AK119" s="201"/>
      <c r="AL119" s="52"/>
      <c r="AM119" s="54"/>
      <c r="AN119" s="247"/>
      <c r="AO119" s="98" t="e">
        <f>AO114+SUM(AO117:AO118)</f>
        <v>#REF!</v>
      </c>
      <c r="AP119" s="297"/>
      <c r="AQ119" s="108" t="e">
        <f>AO119-AP119</f>
        <v>#REF!</v>
      </c>
      <c r="AR119" s="14" t="e">
        <f>AR114+SUM(AR117:AR118)</f>
        <v>#REF!</v>
      </c>
      <c r="AS119" s="108"/>
      <c r="AT119" s="201" t="e">
        <f>IF(mois+1&gt;12,0,IF(ISERROR(IF(EXCERCICE="PA",AO119/$CC119,IF(EXCERCICE="LB1",AO119/$CF119,AO119/$CK119))),0,IF(EXCERCICE="PA",AO119/$CC119,IF(EXCERCICE="LB1",AO119/$CF119,AO119/$CK119))))</f>
        <v>#REF!</v>
      </c>
      <c r="AU119" s="227"/>
      <c r="AV119" s="11"/>
      <c r="AW119" s="54"/>
      <c r="AX119" s="247"/>
      <c r="AY119" s="98"/>
      <c r="AZ119" s="297"/>
      <c r="BA119" s="14" t="e">
        <f>BA114+SUM(BA117:BA118)</f>
        <v>#REF!</v>
      </c>
      <c r="BB119" s="108"/>
      <c r="BC119" s="201" t="e">
        <f>IF(mois+2&gt;12,0,IF(ISERROR(IF(EXCERCICE="PA",AY119/$CC119,IF(EXCERCICE="LB1",AY119/$CF119,AY119/$CK119))),0,IF(EXCERCICE="PA",AY119/$CC119,IF(EXCERCICE="LB1",AY119/$CF119,AY119/$CK119))))</f>
        <v>#REF!</v>
      </c>
      <c r="BD119" s="227"/>
      <c r="BE119" s="52"/>
      <c r="BF119" s="54"/>
      <c r="BG119" s="247"/>
      <c r="BH119" s="98" t="e">
        <f>BH114+SUM(BH117:BH118)</f>
        <v>#REF!</v>
      </c>
      <c r="BI119" s="14" t="e">
        <f>BI114+SUM(BI117:BI118)</f>
        <v>#REF!</v>
      </c>
      <c r="BJ119" s="14"/>
      <c r="BK119" s="201" t="e">
        <f>IF(mois+3&gt;12,0,IF(ISERROR(IF(EXCERCICE="PA",BH119/$CC119,IF(EXCERCICE="LB1",BH119/$CF119,BH119/$CK119))),0,IF(EXCERCICE="PA",BH119/$CC119,IF(EXCERCICE="LB1",BH119/$CF119,BH119/$CK119))))</f>
        <v>#REF!</v>
      </c>
      <c r="BL119" s="227"/>
      <c r="BM119" s="2"/>
      <c r="BN119" s="235" t="e">
        <f>IF(mois&gt;=12,IF(EXCERCICE="PA",CC119-AE119,IF(EXCERCICE="LB1",CF119-AE119,IF(EXCERCICE="LB2",$CK119-AE119))),
IF(mois+1&lt;=13,IF(EXCERCICE="PA",CC119-AO119,IF(EXCERCICE="LB1",CF119-AO119,IF(EXCERCICE="LB2",$CK119-AO119))),
IF(mois+2&lt;=14,IF(EXCERCICE="PA",CC119-AY119,IF(EXCERCICE="LB1",CF119-AY119,IF(EXCERCICE="LB2",$CK119-AY119))),
IF(mois+3&lt;=15,IF(EXCERCICE="PA",CC119-BH119,IF(EXCERCICE="LB1",CF119-BH119,IF(EXCERCICE="LB2",$CK119-BH119))),0))))</f>
        <v>#REF!</v>
      </c>
      <c r="BO119" s="235" t="e">
        <f>IF(BN119&lt;0,0,BN119/(12-mois))</f>
        <v>#REF!</v>
      </c>
      <c r="BP119" s="2"/>
      <c r="BQ119" s="173"/>
      <c r="BR119" s="173"/>
      <c r="BS119" s="173"/>
      <c r="BT119" s="173"/>
      <c r="BU119" s="173"/>
      <c r="BV119" s="173"/>
      <c r="BW119" s="173"/>
      <c r="BX119" s="173"/>
      <c r="BY119" s="173"/>
      <c r="BZ119" s="173"/>
      <c r="CA119" s="173"/>
      <c r="CB119" s="173"/>
      <c r="CC119" s="98"/>
      <c r="CD119" s="210"/>
      <c r="CE119" s="54"/>
      <c r="CF119" s="98"/>
      <c r="CG119" s="127"/>
      <c r="CH119" s="80"/>
      <c r="CI119" s="52"/>
      <c r="CJ119" s="54"/>
      <c r="CK119" s="98"/>
      <c r="CL119" s="127"/>
      <c r="CM119" s="14"/>
    </row>
    <row r="120" spans="2:91" x14ac:dyDescent="0.2">
      <c r="B120" s="60"/>
      <c r="C120" s="257" t="s">
        <v>65</v>
      </c>
      <c r="E120" s="61" t="str">
        <f>IF(E113=0,"-",E119/E113)</f>
        <v>-</v>
      </c>
      <c r="F120" s="7" t="str">
        <f t="shared" ref="F120" si="450">IF(F113=0,"-",F119/F113)</f>
        <v>-</v>
      </c>
      <c r="G120" s="7" t="str">
        <f t="shared" ref="G120" si="451">IF(G113=0,"-",G119/G113)</f>
        <v>-</v>
      </c>
      <c r="H120" s="7" t="str">
        <f t="shared" ref="H120" si="452">IF(H113=0,"-",H119/H113)</f>
        <v>-</v>
      </c>
      <c r="I120" s="7" t="str">
        <f t="shared" ref="I120" si="453">IF(I113=0,"-",I119/I113)</f>
        <v>-</v>
      </c>
      <c r="J120" s="7" t="str">
        <f t="shared" ref="J120" si="454">IF(J113=0,"-",J119/J113)</f>
        <v>-</v>
      </c>
      <c r="K120" s="7" t="str">
        <f t="shared" ref="K120" si="455">IF(K113=0,"-",K119/K113)</f>
        <v>-</v>
      </c>
      <c r="L120" s="7" t="str">
        <f t="shared" ref="L120" si="456">IF(L113=0,"-",L119/L113)</f>
        <v>-</v>
      </c>
      <c r="M120" s="7" t="str">
        <f t="shared" ref="M120" si="457">IF(M113=0,"-",M119/M113)</f>
        <v>-</v>
      </c>
      <c r="N120" s="7" t="str">
        <f t="shared" ref="N120" si="458">IF(N113=0,"-",N119/N113)</f>
        <v>-</v>
      </c>
      <c r="O120" s="7" t="str">
        <f t="shared" ref="O120" si="459">IF(O113=0,"-",O119/O113)</f>
        <v>-</v>
      </c>
      <c r="P120" s="7" t="str">
        <f t="shared" ref="P120" si="460">IF(P113=0,"-",P119/P113)</f>
        <v>-</v>
      </c>
      <c r="Q120" s="186" t="str">
        <f t="shared" ref="Q120" si="461">IF(Q113=0,"-",Q119/Q113)</f>
        <v>-</v>
      </c>
      <c r="S120" s="61" t="str">
        <f>IF(S113=0,"-",S119/S113)</f>
        <v>-</v>
      </c>
      <c r="T120" s="7" t="str">
        <f t="shared" ref="T120:AE120" si="462">IF(T113=0,"-",T119/T113)</f>
        <v>-</v>
      </c>
      <c r="U120" s="7" t="str">
        <f t="shared" si="462"/>
        <v>-</v>
      </c>
      <c r="V120" s="7" t="str">
        <f t="shared" si="462"/>
        <v>-</v>
      </c>
      <c r="W120" s="7" t="str">
        <f t="shared" si="462"/>
        <v>-</v>
      </c>
      <c r="X120" s="7" t="str">
        <f t="shared" si="462"/>
        <v>-</v>
      </c>
      <c r="Y120" s="7" t="str">
        <f t="shared" si="462"/>
        <v>-</v>
      </c>
      <c r="Z120" s="7" t="str">
        <f t="shared" si="462"/>
        <v>-</v>
      </c>
      <c r="AA120" s="7" t="str">
        <f t="shared" si="462"/>
        <v>-</v>
      </c>
      <c r="AB120" s="7" t="str">
        <f t="shared" si="462"/>
        <v>-</v>
      </c>
      <c r="AC120" s="7" t="str">
        <f t="shared" si="462"/>
        <v>-</v>
      </c>
      <c r="AD120" s="62" t="str">
        <f t="shared" si="462"/>
        <v>-</v>
      </c>
      <c r="AE120" s="61" t="str">
        <f t="shared" si="462"/>
        <v>-</v>
      </c>
      <c r="AF120" s="293"/>
      <c r="AG120" s="103" t="str">
        <f t="shared" ref="AG120:AH120" si="463">IF(AG113=0,"-",AG119/AG113)</f>
        <v>-</v>
      </c>
      <c r="AH120" s="103" t="e">
        <f t="shared" si="463"/>
        <v>#REF!</v>
      </c>
      <c r="AI120" s="103"/>
      <c r="AJ120" s="197"/>
      <c r="AK120" s="197"/>
      <c r="AL120" s="58"/>
      <c r="AM120" s="11"/>
      <c r="AN120" s="249"/>
      <c r="AO120" s="61" t="e">
        <f t="shared" ref="AO120" si="464">IF(AO113=0,"-",AO119/AO113)</f>
        <v>#REF!</v>
      </c>
      <c r="AP120" s="293"/>
      <c r="AQ120" s="103" t="e">
        <f t="shared" ref="AQ120" si="465">IF(AQ113=0,"-",AQ119/AQ113)</f>
        <v>#REF!</v>
      </c>
      <c r="AR120" s="7"/>
      <c r="AS120" s="103"/>
      <c r="AT120" s="197"/>
      <c r="AU120" s="222"/>
      <c r="AV120" s="11"/>
      <c r="AW120" s="11"/>
      <c r="AX120" s="249"/>
      <c r="AY120" s="61"/>
      <c r="AZ120" s="293"/>
      <c r="BA120" s="7" t="e">
        <f t="shared" ref="BA120" si="466">IF(BA113=0,"-",BA119/BA113)</f>
        <v>#REF!</v>
      </c>
      <c r="BB120" s="103"/>
      <c r="BC120" s="197"/>
      <c r="BD120" s="222"/>
      <c r="BE120" s="58"/>
      <c r="BF120" s="11"/>
      <c r="BG120" s="249"/>
      <c r="BH120" s="61" t="e">
        <f t="shared" ref="BH120:BI120" si="467">IF(BH113=0,"-",BH119/BH113)</f>
        <v>#REF!</v>
      </c>
      <c r="BI120" s="7" t="e">
        <f t="shared" si="467"/>
        <v>#REF!</v>
      </c>
      <c r="BJ120" s="7"/>
      <c r="BK120" s="197"/>
      <c r="BL120" s="222"/>
      <c r="BM120" s="2"/>
      <c r="BN120" s="63"/>
      <c r="BO120" s="63"/>
      <c r="BP120" s="2"/>
      <c r="BQ120" s="173"/>
      <c r="BR120" s="173"/>
      <c r="BS120" s="173"/>
      <c r="BT120" s="173"/>
      <c r="BU120" s="173"/>
      <c r="BV120" s="173"/>
      <c r="BW120" s="173"/>
      <c r="BX120" s="173"/>
      <c r="BY120" s="173"/>
      <c r="BZ120" s="173"/>
      <c r="CA120" s="173"/>
      <c r="CB120" s="173"/>
      <c r="CC120" s="61"/>
      <c r="CD120" s="204"/>
      <c r="CE120" s="11"/>
      <c r="CF120" s="61"/>
      <c r="CG120" s="134"/>
      <c r="CH120" s="61"/>
      <c r="CI120" s="58"/>
      <c r="CJ120" s="11"/>
      <c r="CK120" s="61"/>
      <c r="CL120" s="134"/>
      <c r="CM120" s="145"/>
    </row>
    <row r="121" spans="2:91" x14ac:dyDescent="0.2">
      <c r="AE121" s="2"/>
    </row>
    <row r="122" spans="2:91" x14ac:dyDescent="0.2">
      <c r="AE122" s="2"/>
    </row>
    <row r="123" spans="2:91" x14ac:dyDescent="0.2">
      <c r="AE123" s="2"/>
    </row>
    <row r="124" spans="2:91" x14ac:dyDescent="0.2">
      <c r="AE124" s="2"/>
    </row>
    <row r="125" spans="2:91" x14ac:dyDescent="0.2">
      <c r="B125" s="251"/>
      <c r="C125" s="252"/>
      <c r="AE125" s="2"/>
    </row>
    <row r="126" spans="2:91" x14ac:dyDescent="0.2">
      <c r="AE126" s="2"/>
    </row>
    <row r="127" spans="2:91" x14ac:dyDescent="0.2">
      <c r="B127" s="49"/>
      <c r="C127" s="50" t="s">
        <v>57</v>
      </c>
      <c r="D127" s="51"/>
      <c r="E127" s="92">
        <f t="shared" ref="E127:P127" si="468">IF(ISERROR(VLOOKUP(CONCATENATE($B125,E$5),TBCHISTORIQUE,7,FALSE)/1000),0,VLOOKUP(CONCATENATE($B125,E$5),TBCHISTORIQUE,7,FALSE)/1000)</f>
        <v>0</v>
      </c>
      <c r="F127" s="93">
        <f t="shared" si="468"/>
        <v>0</v>
      </c>
      <c r="G127" s="93">
        <f t="shared" si="468"/>
        <v>0</v>
      </c>
      <c r="H127" s="93">
        <f t="shared" si="468"/>
        <v>0</v>
      </c>
      <c r="I127" s="93">
        <f t="shared" si="468"/>
        <v>0</v>
      </c>
      <c r="J127" s="93">
        <f t="shared" si="468"/>
        <v>0</v>
      </c>
      <c r="K127" s="93">
        <f t="shared" si="468"/>
        <v>0</v>
      </c>
      <c r="L127" s="93">
        <f t="shared" si="468"/>
        <v>0</v>
      </c>
      <c r="M127" s="93">
        <f t="shared" si="468"/>
        <v>0</v>
      </c>
      <c r="N127" s="93">
        <f t="shared" si="468"/>
        <v>0</v>
      </c>
      <c r="O127" s="93">
        <f t="shared" si="468"/>
        <v>0</v>
      </c>
      <c r="P127" s="94">
        <f t="shared" si="468"/>
        <v>0</v>
      </c>
      <c r="Q127" s="184">
        <f>SUMIF($E$5:$P$5,"&lt;="&amp;mois,E127:P127)</f>
        <v>0</v>
      </c>
      <c r="R127" s="51"/>
      <c r="S127" s="92">
        <f>IF(ISERROR(VLOOKUP(CONCATENATE($B125,S$5),TBCA,7,FALSE)/1000),0,VLOOKUP(CONCATENATE($B125,S$5),TBCA,7,FALSE)/1000)</f>
        <v>0</v>
      </c>
      <c r="T127" s="93">
        <f t="shared" ref="T127:AD127" si="469">IF(ISERROR(VLOOKUP(CONCATENATE($B$85,T$5),TBCA,7,FALSE)/1000),0,VLOOKUP(CONCATENATE($B$85,T$5),TBCA,7,FALSE)/1000)</f>
        <v>0</v>
      </c>
      <c r="U127" s="93">
        <f t="shared" si="469"/>
        <v>0</v>
      </c>
      <c r="V127" s="93">
        <f t="shared" si="469"/>
        <v>0</v>
      </c>
      <c r="W127" s="93">
        <f t="shared" si="469"/>
        <v>0</v>
      </c>
      <c r="X127" s="93">
        <f t="shared" si="469"/>
        <v>0</v>
      </c>
      <c r="Y127" s="93">
        <f t="shared" si="469"/>
        <v>0</v>
      </c>
      <c r="Z127" s="93">
        <f t="shared" si="469"/>
        <v>0</v>
      </c>
      <c r="AA127" s="93">
        <f t="shared" si="469"/>
        <v>0</v>
      </c>
      <c r="AB127" s="93">
        <f t="shared" si="469"/>
        <v>0</v>
      </c>
      <c r="AC127" s="93">
        <f t="shared" si="469"/>
        <v>0</v>
      </c>
      <c r="AD127" s="94">
        <f t="shared" si="469"/>
        <v>0</v>
      </c>
      <c r="AE127" s="92">
        <f>SUMIF($S$5:$AD$5,"&lt;="&amp;mois,S127:AD127)</f>
        <v>0</v>
      </c>
      <c r="AF127" s="291"/>
      <c r="AG127" s="101">
        <f>AE127-AF127</f>
        <v>0</v>
      </c>
      <c r="AH127" s="101" t="e">
        <f>IF(EXCERCICE="PA",AE127-($CC127/12*(mois)),IF(EXCERCICE="LB1",AE127-($CF127/12*(mois)),AE127-($CK127/12*(mois))))</f>
        <v>#REF!</v>
      </c>
      <c r="AI127" s="174">
        <f>IF(ISERROR(AE127/Q127),0,AE127/Q127)</f>
        <v>0</v>
      </c>
      <c r="AJ127" s="213">
        <f>IF(ISERROR(IF(EXCERCICE="PA",AE127/$CC127,IF(EXCERCICE="LB1",AE127/$CF127,AE127/$CK127))),0,IF(EXCERCICE="PA",AE127/$CC127,IF(EXCERCICE="LB1",AE127/$CF127,AE127/$CK127)))</f>
        <v>0</v>
      </c>
      <c r="AK127" s="213" t="str">
        <f>IF(ISERROR(AE127/HLOOKUP(mois,$BQ$5:$CB$39,3,FALSE)),"",AE127/HLOOKUP(mois,$BQ$5:$CB$39,3,FALSE))</f>
        <v/>
      </c>
      <c r="AL127" s="52"/>
      <c r="AM127" s="54"/>
      <c r="AN127" s="242"/>
      <c r="AO127" s="92" t="e">
        <f>IF(mois+1&gt;12,AN127,+$AE127+AN127)</f>
        <v>#REF!</v>
      </c>
      <c r="AP127" s="291"/>
      <c r="AQ127" s="101" t="e">
        <f>AO127-AP127</f>
        <v>#REF!</v>
      </c>
      <c r="AR127" s="55" t="e">
        <f>IF(mois+1&gt;12,0,IF(mois=12,IF(EXCERCICE="PA",AO127-($CC127/12),IF(EXCERCICE="LB1",AO127-($CF127/12),AO127-($CK127/12))),IF(EXCERCICE="PA",AO127-($CC127/12*(mois+1)),IF(EXCERCICE="LB1",AO127-($CF127/12*(mois+1)),AO127-($CK127/12*(mois+1))))))</f>
        <v>#REF!</v>
      </c>
      <c r="AS127" s="174" t="e">
        <f>IF(AO127=0,0,IF(mois+1&gt;12,AO127/SUMPRODUCT((($S$6:$U$6)&lt;=mois+1)*$S127:$U127),AO127/SUMPRODUCT((($E$5:$P$5)&lt;=mois+1)*$E127:$P127)))</f>
        <v>#REF!</v>
      </c>
      <c r="AT127" s="213" t="e">
        <f>IF(mois+1&gt;12,0,IF(ISERROR(IF(EXCERCICE="PA",AO127/$CC127,IF(EXCERCICE="LB1",AO127/$CF127,AO127/$CK127))),0,IF(EXCERCICE="PA",AO127/$CC127,IF(EXCERCICE="LB1",AO127/$CF127,AO127/$CK127))))</f>
        <v>#REF!</v>
      </c>
      <c r="AU127" s="220" t="str">
        <f>IF(ISERROR(AO127/HLOOKUP(mois+1,$BQ$5:$CB$39,3,FALSE)),"",AO127/HLOOKUP(mois+1,$BQ$5:$CB$39,3,FALSE))</f>
        <v/>
      </c>
      <c r="AV127" s="11"/>
      <c r="AW127" s="54"/>
      <c r="AX127" s="242"/>
      <c r="AY127" s="92"/>
      <c r="AZ127" s="291"/>
      <c r="BA127" s="55" t="e">
        <f>IF(mois+2&gt;12,0,IF(mois=12,IF(EXCERCICE="PA",AY127-($CC127/12),IF(EXCERCICE="LB1",AY127-($CF127/12),AY127-($CK127/12))),IF(EXCERCICE="PA",AY127-($CC127/12*(mois+2)),IF(EXCERCICE="LB1",AY127-($CF127/12*(mois+2)),AY127-($CK127/12*(mois+2))))))</f>
        <v>#REF!</v>
      </c>
      <c r="BB127" s="176">
        <f>IF(AY127=0,0,IF(mois+1&gt;12,AY127/SUMPRODUCT((($S$6:$U$6)&lt;=mois+2)*$S127:$U127),AY127/SUMPRODUCT((($E$5:$P$5)&lt;=mois+2)*$E127:$P127)))</f>
        <v>0</v>
      </c>
      <c r="BC127" s="213" t="e">
        <f>IF(mois+2&gt;12,0,IF(ISERROR(IF(EXCERCICE="PA",AY127/$CC127,IF(EXCERCICE="LB1",AY127/$CF127,AY127/$CK127))),0,IF(EXCERCICE="PA",AY127/$CC127,IF(EXCERCICE="LB1",AY127/$CF127,AY127/$CK127))))</f>
        <v>#REF!</v>
      </c>
      <c r="BD127" s="220" t="str">
        <f>IF(ISERROR(AY127/HLOOKUP(mois+2,$BQ$5:$CB$39,3,FALSE)),"",AY127/HLOOKUP(mois+2,$BQ$5:$CB$39,3,FALSE))</f>
        <v/>
      </c>
      <c r="BE127" s="52"/>
      <c r="BF127" s="54"/>
      <c r="BG127" s="242"/>
      <c r="BH127" s="92" t="e">
        <f>IF(mois+3=13,BG127,IF(mois+3&gt;15,BG127,+$AY127+BG127))</f>
        <v>#REF!</v>
      </c>
      <c r="BI127" s="55" t="e">
        <f>IF(mois+3&gt;12,0,IF(mois=12,IF(EXCERCICE="PA",BH127-($CC127/12),IF(EXCERCICE="LB1",BH127-($CF127/12),BH127-($CK127/12))),IF(EXCERCICE="PA",BH127-($CC127/12*(mois+3)),IF(EXCERCICE="LB1",BH127-($CF127/12*(mois+3)),BH127-($CK127/12*(mois+3))))))</f>
        <v>#REF!</v>
      </c>
      <c r="BJ127" s="176" t="e">
        <f>IF(BH127=0,0,IF(mois+1&gt;12,BH127/SUMPRODUCT((($S$6:$U$6)&lt;=mois+3)*$S127:$U127),BH127/SUMPRODUCT((($E$5:$P$5)&lt;=mois+3)*$E127:$P127)))</f>
        <v>#REF!</v>
      </c>
      <c r="BK127" s="213" t="e">
        <f>IF(mois+3&gt;12,0,IF(ISERROR(IF(EXCERCICE="PA",BH127/$CC127,IF(EXCERCICE="LB1",BH127/$CF127,BH127/$CK127))),0,IF(EXCERCICE="PA",BH127/$CC127,IF(EXCERCICE="LB1",BH127/$CF127,BH127/$CK127))))</f>
        <v>#REF!</v>
      </c>
      <c r="BL127" s="220" t="str">
        <f>IF(ISERROR(BH127/HLOOKUP(mois+3,$BQ$5:$CB$39,3,FALSE)),"",BH127/HLOOKUP(mois+3,$BQ$5:$CB$39,3,FALSE))</f>
        <v/>
      </c>
      <c r="BM127" s="2"/>
      <c r="BN127" s="130" t="e">
        <f>IF(mois&gt;=12,IF(EXCERCICE="PA",CC127-AE127,IF(EXCERCICE="LB1",CF127-AE127,IF(EXCERCICE="LB2",$CK127-AE127))),
IF(mois+1&lt;=13,IF(EXCERCICE="PA",CC127-AO127,IF(EXCERCICE="LB1",CF127-AO127,IF(EXCERCICE="LB2",$CK127-AO127))),
IF(mois+2&lt;=14,IF(EXCERCICE="PA",CC127-AY127,IF(EXCERCICE="LB1",CF127-AY127,IF(EXCERCICE="LB2",$CK127-AY127))),
IF(mois+3&lt;=15,IF(EXCERCICE="PA",CC127-BH127,IF(EXCERCICE="LB1",CF127-BH127,IF(EXCERCICE="LB2",$CK127-BH127))),0))))</f>
        <v>#REF!</v>
      </c>
      <c r="BO127" s="231" t="e">
        <f>IF(BN127&lt;0,0,BN127/(12-mois))</f>
        <v>#REF!</v>
      </c>
      <c r="BQ127" s="196"/>
      <c r="BR127" s="196"/>
      <c r="BS127" s="196"/>
      <c r="BT127" s="196"/>
      <c r="BU127" s="196"/>
      <c r="BV127" s="196"/>
      <c r="BW127" s="196"/>
      <c r="BX127" s="196"/>
      <c r="BY127" s="196"/>
      <c r="BZ127" s="196"/>
      <c r="CA127" s="196"/>
      <c r="CB127" s="196"/>
      <c r="CC127" s="130"/>
      <c r="CD127" s="237"/>
      <c r="CE127" s="54"/>
      <c r="CF127" s="130"/>
      <c r="CG127" s="126"/>
      <c r="CH127" s="55"/>
      <c r="CI127" s="52"/>
      <c r="CJ127" s="54"/>
      <c r="CK127" s="130"/>
      <c r="CL127" s="126"/>
      <c r="CM127" s="55"/>
    </row>
    <row r="128" spans="2:91" x14ac:dyDescent="0.2">
      <c r="B128" s="56"/>
      <c r="C128" s="57" t="s">
        <v>61</v>
      </c>
      <c r="D128" s="2"/>
      <c r="E128" s="95">
        <f t="shared" ref="E128:P128" si="470">IF(ISERROR(VLOOKUP(CONCATENATE($B125,E$5),TBCHISTORIQUE,8,FALSE)/1000),0,VLOOKUP(CONCATENATE($B125,E$5),TBCHISTORIQUE,8,FALSE)/1000)</f>
        <v>0</v>
      </c>
      <c r="F128" s="167">
        <f t="shared" si="470"/>
        <v>0</v>
      </c>
      <c r="G128" s="167">
        <f t="shared" si="470"/>
        <v>0</v>
      </c>
      <c r="H128" s="167">
        <f t="shared" si="470"/>
        <v>0</v>
      </c>
      <c r="I128" s="167">
        <f t="shared" si="470"/>
        <v>0</v>
      </c>
      <c r="J128" s="167">
        <f t="shared" si="470"/>
        <v>0</v>
      </c>
      <c r="K128" s="167">
        <f t="shared" si="470"/>
        <v>0</v>
      </c>
      <c r="L128" s="167">
        <f t="shared" si="470"/>
        <v>0</v>
      </c>
      <c r="M128" s="167">
        <f t="shared" si="470"/>
        <v>0</v>
      </c>
      <c r="N128" s="167">
        <f t="shared" si="470"/>
        <v>0</v>
      </c>
      <c r="O128" s="167">
        <f t="shared" si="470"/>
        <v>0</v>
      </c>
      <c r="P128" s="168">
        <f t="shared" si="470"/>
        <v>0</v>
      </c>
      <c r="Q128" s="185">
        <f>SUMIF($E$5:$P$5,"&lt;="&amp;mois,E128:P128)</f>
        <v>0</v>
      </c>
      <c r="R128" s="2"/>
      <c r="S128" s="95">
        <f t="shared" ref="S128:AD128" si="471">IF(ISERROR(VLOOKUP(CONCATENATE($B125,S$5),TBCA,8,FALSE)/1000),0,VLOOKUP(CONCATENATE($B125,S$5),TBCA,8,FALSE)/1000)</f>
        <v>0</v>
      </c>
      <c r="T128" s="167">
        <f t="shared" si="471"/>
        <v>0</v>
      </c>
      <c r="U128" s="167">
        <f t="shared" si="471"/>
        <v>0</v>
      </c>
      <c r="V128" s="167">
        <f t="shared" si="471"/>
        <v>0</v>
      </c>
      <c r="W128" s="167">
        <f t="shared" si="471"/>
        <v>0</v>
      </c>
      <c r="X128" s="167">
        <f t="shared" si="471"/>
        <v>0</v>
      </c>
      <c r="Y128" s="167">
        <f t="shared" si="471"/>
        <v>0</v>
      </c>
      <c r="Z128" s="167">
        <f t="shared" si="471"/>
        <v>0</v>
      </c>
      <c r="AA128" s="167">
        <f t="shared" si="471"/>
        <v>0</v>
      </c>
      <c r="AB128" s="167">
        <f t="shared" si="471"/>
        <v>0</v>
      </c>
      <c r="AC128" s="167">
        <f t="shared" si="471"/>
        <v>0</v>
      </c>
      <c r="AD128" s="168">
        <f t="shared" si="471"/>
        <v>0</v>
      </c>
      <c r="AE128" s="95">
        <f>SUMIF($S$5:$AD$5,"&lt;="&amp;mois,S128:AD128)</f>
        <v>0</v>
      </c>
      <c r="AF128" s="292"/>
      <c r="AG128" s="102">
        <f>AE128-AF128</f>
        <v>0</v>
      </c>
      <c r="AH128" s="102" t="e">
        <f>IF(EXCERCICE="PA",AE128-($CC128/12*(mois)),IF(EXCERCICE="LB1",AE128-($CF128/12*(mois)),AE128-($CK128/12*(mois))))</f>
        <v>#REF!</v>
      </c>
      <c r="AI128" s="102"/>
      <c r="AJ128" s="212">
        <f>IF(ISERROR(IF(EXCERCICE="PA",AE128/$CC128,IF(EXCERCICE="LB1",AE128/$CF128,AE128/$CK128))),0,IF(EXCERCICE="PA",AE128/$CC128,IF(EXCERCICE="LB1",AE128/$CF128,AE128/$CK128)))</f>
        <v>0</v>
      </c>
      <c r="AK128" s="212"/>
      <c r="AL128" s="58"/>
      <c r="AM128" s="11"/>
      <c r="AN128" s="243"/>
      <c r="AO128" s="95" t="e">
        <f>IF(mois+1&gt;12,AN128,+$AE128+AN128)</f>
        <v>#REF!</v>
      </c>
      <c r="AP128" s="292"/>
      <c r="AQ128" s="102" t="e">
        <f>AO128-AP128</f>
        <v>#REF!</v>
      </c>
      <c r="AR128" s="17" t="e">
        <f>IF(mois+1&gt;12,0,IF(mois=12,IF(EXCERCICE="PA",AO128-($CC128/12),IF(EXCERCICE="LB1",AO128-($CF128/12),AO128-($CK128/12))),IF(EXCERCICE="PA",AO128-($CC128/12*(mois+1)),IF(EXCERCICE="LB1",AO128-($CF128/12*(mois+1)),AO128-($CK128/12*(mois+1))))))</f>
        <v>#REF!</v>
      </c>
      <c r="AS128" s="199"/>
      <c r="AT128" s="212" t="e">
        <f>IF(mois+1&gt;12,0,IF(ISERROR(IF(EXCERCICE="PA",AO128/$CC128,IF(EXCERCICE="LB1",AO128/$CF128,AO128/$CK128))),0,IF(EXCERCICE="PA",AO128/$CC128,IF(EXCERCICE="LB1",AO128/$CF128,AO128/$CK128))))</f>
        <v>#REF!</v>
      </c>
      <c r="AU128" s="221"/>
      <c r="AV128" s="11"/>
      <c r="AW128" s="11"/>
      <c r="AX128" s="243"/>
      <c r="AY128" s="95"/>
      <c r="AZ128" s="292"/>
      <c r="BA128" s="17" t="e">
        <f>IF(mois+2&gt;12,0,IF(mois=12,IF(EXCERCICE="PA",AY128-($CC128/12),IF(EXCERCICE="LB1",AY128-($CF128/12),AY128-($CK128/12))),IF(EXCERCICE="PA",AY128-($CC128/12*(mois+2)),IF(EXCERCICE="LB1",AY128-($CF128/12*(mois+2)),AY128-($CK128/12*(mois+2))))))</f>
        <v>#REF!</v>
      </c>
      <c r="BB128" s="179"/>
      <c r="BC128" s="212" t="e">
        <f>IF(mois+2&gt;12,0,IF(ISERROR(IF(EXCERCICE="PA",AY128/$CC128,IF(EXCERCICE="LB1",AY128/$CF128,AY128/$CK128))),0,IF(EXCERCICE="PA",AY128/$CC128,IF(EXCERCICE="LB1",AY128/$CF128,AY128/$CK128))))</f>
        <v>#REF!</v>
      </c>
      <c r="BD128" s="221"/>
      <c r="BE128" s="58"/>
      <c r="BF128" s="11"/>
      <c r="BG128" s="243"/>
      <c r="BH128" s="95" t="e">
        <f>IF(mois+3=13,BG128,IF(mois+3&gt;15,BG128,+$AY128+BG128))</f>
        <v>#REF!</v>
      </c>
      <c r="BI128" s="17" t="e">
        <f>IF(mois+3&gt;12,0,IF(mois=12,IF(EXCERCICE="PA",BH128-($CC128/12),IF(EXCERCICE="LB1",BH128-($CF128/12),BH128-($CK128/12))),IF(EXCERCICE="PA",BH128-($CC128/12*(mois+3)),IF(EXCERCICE="LB1",BH128-($CF128/12*(mois+3)),BH128-($CK128/12*(mois+3))))))</f>
        <v>#REF!</v>
      </c>
      <c r="BJ128" s="17"/>
      <c r="BK128" s="212" t="e">
        <f>IF(mois+3&gt;12,0,IF(ISERROR(IF(EXCERCICE="PA",BH128/$CC128,IF(EXCERCICE="LB1",BH128/$CF128,BH128/$CK128))),0,IF(EXCERCICE="PA",BH128/$CC128,IF(EXCERCICE="LB1",BH128/$CF128,BH128/$CK128))))</f>
        <v>#REF!</v>
      </c>
      <c r="BL128" s="221"/>
      <c r="BM128" s="2"/>
      <c r="BN128" s="123" t="e">
        <f>IF(mois&gt;=12,IF(EXCERCICE="PA",CC128-AE128,IF(EXCERCICE="LB1",CF128-AE128,IF(EXCERCICE="LB2",$CK128-AE128))),
IF(mois+1&lt;=13,IF(EXCERCICE="PA",CC128-AO128,IF(EXCERCICE="LB1",CF128-AO128,IF(EXCERCICE="LB2",$CK128-AO128))),
IF(mois+2&lt;=14,IF(EXCERCICE="PA",CC128-AY128,IF(EXCERCICE="LB1",CF128-AY128,IF(EXCERCICE="LB2",$CK128-AY128))),
IF(mois+3&lt;=15,IF(EXCERCICE="PA",CC128-BH128,IF(EXCERCICE="LB1",CF128-BH128,IF(EXCERCICE="LB2",$CK128-BH128))),0))))</f>
        <v>#REF!</v>
      </c>
      <c r="BO128" s="123" t="e">
        <f>IF(BN128&lt;0,0,BN128/(12-mois))</f>
        <v>#REF!</v>
      </c>
      <c r="BQ128" s="173"/>
      <c r="BR128" s="173"/>
      <c r="BS128" s="173"/>
      <c r="BT128" s="173"/>
      <c r="BU128" s="173"/>
      <c r="BV128" s="173"/>
      <c r="BW128" s="173"/>
      <c r="BX128" s="173"/>
      <c r="BY128" s="173"/>
      <c r="BZ128" s="173"/>
      <c r="CA128" s="173"/>
      <c r="CB128" s="173"/>
      <c r="CC128" s="123"/>
      <c r="CD128" s="203"/>
      <c r="CE128" s="11"/>
      <c r="CF128" s="95"/>
      <c r="CG128" s="125"/>
      <c r="CH128" s="17"/>
      <c r="CI128" s="58"/>
      <c r="CJ128" s="11"/>
      <c r="CK128" s="95"/>
      <c r="CL128" s="125"/>
      <c r="CM128" s="17"/>
    </row>
    <row r="129" spans="2:91" x14ac:dyDescent="0.2">
      <c r="B129" s="60"/>
      <c r="C129" s="143" t="s">
        <v>62</v>
      </c>
      <c r="D129" s="2"/>
      <c r="E129" s="61" t="str">
        <f>IF(E127=0,"-",E128/E127)</f>
        <v>-</v>
      </c>
      <c r="F129" s="7" t="str">
        <f t="shared" ref="F129" si="472">IF(F127=0,"-",F128/F127)</f>
        <v>-</v>
      </c>
      <c r="G129" s="7" t="str">
        <f t="shared" ref="G129" si="473">IF(G127=0,"-",G128/G127)</f>
        <v>-</v>
      </c>
      <c r="H129" s="7" t="str">
        <f t="shared" ref="H129" si="474">IF(H127=0,"-",H128/H127)</f>
        <v>-</v>
      </c>
      <c r="I129" s="7" t="str">
        <f t="shared" ref="I129" si="475">IF(I127=0,"-",I128/I127)</f>
        <v>-</v>
      </c>
      <c r="J129" s="7" t="str">
        <f t="shared" ref="J129" si="476">IF(J127=0,"-",J128/J127)</f>
        <v>-</v>
      </c>
      <c r="K129" s="7" t="str">
        <f t="shared" ref="K129" si="477">IF(K127=0,"-",K128/K127)</f>
        <v>-</v>
      </c>
      <c r="L129" s="7" t="str">
        <f t="shared" ref="L129" si="478">IF(L127=0,"-",L128/L127)</f>
        <v>-</v>
      </c>
      <c r="M129" s="7" t="str">
        <f t="shared" ref="M129" si="479">IF(M127=0,"-",M128/M127)</f>
        <v>-</v>
      </c>
      <c r="N129" s="7" t="str">
        <f t="shared" ref="N129" si="480">IF(N127=0,"-",N128/N127)</f>
        <v>-</v>
      </c>
      <c r="O129" s="7" t="str">
        <f t="shared" ref="O129" si="481">IF(O127=0,"-",O128/O127)</f>
        <v>-</v>
      </c>
      <c r="P129" s="7" t="str">
        <f t="shared" ref="P129" si="482">IF(P127=0,"-",P128/P127)</f>
        <v>-</v>
      </c>
      <c r="Q129" s="186" t="str">
        <f t="shared" ref="Q129" si="483">IF(Q127=0,"-",Q128/Q127)</f>
        <v>-</v>
      </c>
      <c r="R129" s="2"/>
      <c r="S129" s="61" t="str">
        <f t="shared" ref="S129" si="484">IF(S127=0,"-",S128/S127)</f>
        <v>-</v>
      </c>
      <c r="T129" s="7" t="str">
        <f t="shared" ref="T129" si="485">IF(T127=0,"-",T128/T127)</f>
        <v>-</v>
      </c>
      <c r="U129" s="7" t="str">
        <f t="shared" ref="U129" si="486">IF(U127=0,"-",U128/U127)</f>
        <v>-</v>
      </c>
      <c r="V129" s="7" t="str">
        <f t="shared" ref="V129" si="487">IF(V127=0,"-",V128/V127)</f>
        <v>-</v>
      </c>
      <c r="W129" s="7" t="str">
        <f t="shared" ref="W129" si="488">IF(W127=0,"-",W128/W127)</f>
        <v>-</v>
      </c>
      <c r="X129" s="7" t="str">
        <f t="shared" ref="X129" si="489">IF(X127=0,"-",X128/X127)</f>
        <v>-</v>
      </c>
      <c r="Y129" s="7" t="str">
        <f t="shared" ref="Y129" si="490">IF(Y127=0,"-",Y128/Y127)</f>
        <v>-</v>
      </c>
      <c r="Z129" s="7" t="str">
        <f t="shared" ref="Z129" si="491">IF(Z127=0,"-",Z128/Z127)</f>
        <v>-</v>
      </c>
      <c r="AA129" s="7" t="str">
        <f t="shared" ref="AA129" si="492">IF(AA127=0,"-",AA128/AA127)</f>
        <v>-</v>
      </c>
      <c r="AB129" s="7" t="str">
        <f t="shared" ref="AB129" si="493">IF(AB127=0,"-",AB128/AB127)</f>
        <v>-</v>
      </c>
      <c r="AC129" s="7" t="str">
        <f t="shared" ref="AC129" si="494">IF(AC127=0,"-",AC128/AC127)</f>
        <v>-</v>
      </c>
      <c r="AD129" s="7" t="str">
        <f t="shared" ref="AD129" si="495">IF(AD127=0,"-",AD128/AD127)</f>
        <v>-</v>
      </c>
      <c r="AE129" s="61" t="str">
        <f>IF(AE127=0,"-",AE128/AE127)</f>
        <v>-</v>
      </c>
      <c r="AF129" s="293"/>
      <c r="AG129" s="103" t="str">
        <f t="shared" ref="AG129" si="496">IF(AG127=0,"-",AG128/AG127)</f>
        <v>-</v>
      </c>
      <c r="AH129" s="103" t="e">
        <f>IF(AH127=0,"-",AH128/AH127)</f>
        <v>#REF!</v>
      </c>
      <c r="AI129" s="103"/>
      <c r="AJ129" s="197"/>
      <c r="AK129" s="197"/>
      <c r="AL129" s="58"/>
      <c r="AM129" s="11"/>
      <c r="AN129" s="249"/>
      <c r="AO129" s="61" t="e">
        <f t="shared" ref="AO129" si="497">IF(AO127=0,"-",AO128/AO127)</f>
        <v>#REF!</v>
      </c>
      <c r="AP129" s="293"/>
      <c r="AQ129" s="103" t="e">
        <f>IF(AQ127=0,"-",AQ128/AQ127)</f>
        <v>#REF!</v>
      </c>
      <c r="AR129" s="7" t="e">
        <f>IF(AR127=0,"-",AR128/AR127)</f>
        <v>#REF!</v>
      </c>
      <c r="AS129" s="197"/>
      <c r="AT129" s="197"/>
      <c r="AU129" s="222"/>
      <c r="AV129" s="11"/>
      <c r="AW129" s="11"/>
      <c r="AX129" s="249"/>
      <c r="AY129" s="61"/>
      <c r="AZ129" s="293"/>
      <c r="BA129" s="7" t="e">
        <f>IF(BA127=0,"-",BA128/BA127)</f>
        <v>#REF!</v>
      </c>
      <c r="BB129" s="103"/>
      <c r="BC129" s="197"/>
      <c r="BD129" s="222"/>
      <c r="BE129" s="58"/>
      <c r="BF129" s="11"/>
      <c r="BG129" s="249"/>
      <c r="BH129" s="61" t="e">
        <f t="shared" ref="BH129:BI129" si="498">IF(BH127=0,"-",BH128/BH127)</f>
        <v>#REF!</v>
      </c>
      <c r="BI129" s="7" t="e">
        <f t="shared" si="498"/>
        <v>#REF!</v>
      </c>
      <c r="BJ129" s="7"/>
      <c r="BK129" s="197"/>
      <c r="BL129" s="222"/>
      <c r="BM129" s="2"/>
      <c r="BN129" s="63"/>
      <c r="BO129" s="63"/>
      <c r="BQ129" s="173"/>
      <c r="BR129" s="173"/>
      <c r="BS129" s="173"/>
      <c r="BT129" s="173"/>
      <c r="BU129" s="173"/>
      <c r="BV129" s="173"/>
      <c r="BW129" s="173"/>
      <c r="BX129" s="173"/>
      <c r="BY129" s="173"/>
      <c r="BZ129" s="173"/>
      <c r="CA129" s="173"/>
      <c r="CB129" s="173"/>
      <c r="CC129" s="63"/>
      <c r="CD129" s="204"/>
      <c r="CE129" s="11"/>
      <c r="CF129" s="61"/>
      <c r="CG129" s="134"/>
      <c r="CH129" s="8"/>
      <c r="CI129" s="58"/>
      <c r="CJ129" s="11"/>
      <c r="CK129" s="61"/>
      <c r="CL129" s="134"/>
      <c r="CM129" s="8"/>
    </row>
    <row r="130" spans="2:91" x14ac:dyDescent="0.2">
      <c r="B130" s="64"/>
      <c r="C130" s="6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194"/>
      <c r="AG130" s="100"/>
      <c r="AH130" s="100"/>
      <c r="AI130" s="100"/>
      <c r="AJ130" s="214"/>
      <c r="AK130" s="214"/>
      <c r="AL130" s="11"/>
      <c r="AM130" s="2"/>
      <c r="AN130" s="71"/>
      <c r="AO130" s="11"/>
      <c r="AP130" s="194"/>
      <c r="AQ130" s="100"/>
      <c r="AR130" s="65"/>
      <c r="AS130" s="2"/>
      <c r="AT130" s="214"/>
      <c r="AU130" s="214"/>
      <c r="AV130" s="11"/>
      <c r="AW130" s="2"/>
      <c r="AX130" s="71"/>
      <c r="AY130" s="11"/>
      <c r="AZ130" s="194"/>
      <c r="BA130" s="65"/>
      <c r="BB130" s="2"/>
      <c r="BC130" s="214"/>
      <c r="BD130" s="214"/>
      <c r="BE130" s="11"/>
      <c r="BF130" s="2"/>
      <c r="BG130" s="71"/>
      <c r="BH130" s="11"/>
      <c r="BI130" s="11"/>
      <c r="BJ130" s="11"/>
      <c r="BK130" s="214"/>
      <c r="BL130" s="214"/>
      <c r="BM130" s="2"/>
      <c r="BN130" s="11"/>
      <c r="BO130" s="11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65"/>
      <c r="CD130" s="205"/>
      <c r="CE130" s="11"/>
      <c r="CF130" s="71"/>
      <c r="CG130" s="137"/>
      <c r="CH130" s="65"/>
      <c r="CI130" s="11"/>
      <c r="CJ130" s="2"/>
      <c r="CK130" s="71"/>
      <c r="CL130" s="137"/>
      <c r="CM130" s="65"/>
    </row>
    <row r="131" spans="2:91" x14ac:dyDescent="0.2">
      <c r="B131" s="66"/>
      <c r="C131" s="67" t="s">
        <v>58</v>
      </c>
      <c r="D131" s="51"/>
      <c r="E131" s="96">
        <f t="shared" ref="E131:P131" si="499">IF(ISERROR(VLOOKUP(CONCATENATE($B125,E$5),TBCHISTORIQUE,9,FALSE)/1000),0,VLOOKUP(CONCATENATE($B125,E$5),TBCHISTORIQUE,9,FALSE)/1000)</f>
        <v>0</v>
      </c>
      <c r="F131" s="169">
        <f t="shared" si="499"/>
        <v>0</v>
      </c>
      <c r="G131" s="169">
        <f t="shared" si="499"/>
        <v>0</v>
      </c>
      <c r="H131" s="169">
        <f t="shared" si="499"/>
        <v>0</v>
      </c>
      <c r="I131" s="169">
        <f t="shared" si="499"/>
        <v>0</v>
      </c>
      <c r="J131" s="169">
        <f t="shared" si="499"/>
        <v>0</v>
      </c>
      <c r="K131" s="169">
        <f t="shared" si="499"/>
        <v>0</v>
      </c>
      <c r="L131" s="169">
        <f t="shared" si="499"/>
        <v>0</v>
      </c>
      <c r="M131" s="169">
        <f t="shared" si="499"/>
        <v>0</v>
      </c>
      <c r="N131" s="169">
        <f t="shared" si="499"/>
        <v>0</v>
      </c>
      <c r="O131" s="169">
        <f t="shared" si="499"/>
        <v>0</v>
      </c>
      <c r="P131" s="170">
        <f t="shared" si="499"/>
        <v>0</v>
      </c>
      <c r="Q131" s="187">
        <f>SUMIF($E$5:$P$5,"&lt;="&amp;mois,E131:P131)</f>
        <v>0</v>
      </c>
      <c r="R131" s="51"/>
      <c r="S131" s="96">
        <f t="shared" ref="S131:AD131" si="500">IF(ISERROR(VLOOKUP(CONCATENATE($B125,S$5),TBCA,9,FALSE)/1000),0,VLOOKUP(CONCATENATE($B125,S$5),TBCA,9,FALSE)/1000)</f>
        <v>0</v>
      </c>
      <c r="T131" s="169">
        <f t="shared" si="500"/>
        <v>0</v>
      </c>
      <c r="U131" s="169">
        <f t="shared" si="500"/>
        <v>0</v>
      </c>
      <c r="V131" s="169">
        <f t="shared" si="500"/>
        <v>0</v>
      </c>
      <c r="W131" s="169">
        <f t="shared" si="500"/>
        <v>0</v>
      </c>
      <c r="X131" s="169">
        <f t="shared" si="500"/>
        <v>0</v>
      </c>
      <c r="Y131" s="169">
        <f t="shared" si="500"/>
        <v>0</v>
      </c>
      <c r="Z131" s="169">
        <f t="shared" si="500"/>
        <v>0</v>
      </c>
      <c r="AA131" s="169">
        <f t="shared" si="500"/>
        <v>0</v>
      </c>
      <c r="AB131" s="169">
        <f t="shared" si="500"/>
        <v>0</v>
      </c>
      <c r="AC131" s="169">
        <f t="shared" si="500"/>
        <v>0</v>
      </c>
      <c r="AD131" s="170">
        <f t="shared" si="500"/>
        <v>0</v>
      </c>
      <c r="AE131" s="324">
        <f>SUMIF($S$5:$AD$5,"&lt;="&amp;mois,S131:AD131)</f>
        <v>0</v>
      </c>
      <c r="AF131" s="294"/>
      <c r="AG131" s="104">
        <f>AE131-AF131</f>
        <v>0</v>
      </c>
      <c r="AH131" s="104" t="e">
        <f>IF(EXCERCICE="PA",AE131-($CC131/12*(mois)),IF(EXCERCICE="LB1",AE131-($CF131/12*(mois)),AE131-($CK131/12*(mois))))</f>
        <v>#REF!</v>
      </c>
      <c r="AI131" s="175">
        <f>IF(ISERROR(AE131/Q131),0,AE131/Q131)</f>
        <v>0</v>
      </c>
      <c r="AJ131" s="175">
        <f>IF(ISERROR(IF(EXCERCICE="PA",AE131/$CC131,IF(EXCERCICE="LB1",AE131/$CF131,AE131/$CK131))),0,IF(EXCERCICE="PA",AE131/$CC131,IF(EXCERCICE="LB1",AE131/$CF131,AE131/$CK131)))</f>
        <v>0</v>
      </c>
      <c r="AK131" s="223" t="str">
        <f>IF(ISERROR(AE131/HLOOKUP(mois,$BQ$5:$CB$39,7,FALSE)),"",AE131/HLOOKUP(mois,$BQ$5:$CB$39,7,FALSE))</f>
        <v/>
      </c>
      <c r="AL131" s="54"/>
      <c r="AM131" s="54"/>
      <c r="AN131" s="250"/>
      <c r="AO131" s="96" t="e">
        <f>IF(mois+1&gt;12,AN131,+$AE131+AN131)</f>
        <v>#REF!</v>
      </c>
      <c r="AP131" s="294"/>
      <c r="AQ131" s="104" t="e">
        <f>AO131-AP131</f>
        <v>#REF!</v>
      </c>
      <c r="AR131" s="68" t="e">
        <f>IF(mois+1&gt;12,0,IF(mois=12,IF(EXCERCICE="PA",AO131-($CC131/12),IF(EXCERCICE="LB1",AO131-($CF131/12),AO131-($CK131/12))),IF(EXCERCICE="PA",AO131-($CC131/12*(mois+1)),IF(EXCERCICE="LB1",AO131-($CF131/12*(mois+1)),AO131-($CK131/12*(mois+1))))))</f>
        <v>#REF!</v>
      </c>
      <c r="AS131" s="200" t="e">
        <f>IF(AO131=0,0,IF(mois+1&gt;12,AO131/SUMPRODUCT((($S$6:$U$6)&lt;=mois+1)*$S131:$U131),AO131/SUMPRODUCT((($E$5:$P$5)&lt;=mois+1)*$E131:$P131)))</f>
        <v>#REF!</v>
      </c>
      <c r="AT131" s="175" t="e">
        <f>IF(mois+1&gt;12,0,IF(ISERROR(IF(EXCERCICE="PA",AO131/$CC131,IF(EXCERCICE="LB1",AO131/$CF131,AO131/$CK131))),0,IF(EXCERCICE="PA",AO131/$CC131,IF(EXCERCICE="LB1",AO131/$CF131,AO131/$CK131))))</f>
        <v>#REF!</v>
      </c>
      <c r="AU131" s="223" t="str">
        <f>IF(ISERROR(AO131/HLOOKUP(mois+1,$BQ$5:$CB$39,7,FALSE)),"",AO131/HLOOKUP(mois+1,$BQ$5:$CB$39,7,FALSE))</f>
        <v/>
      </c>
      <c r="AV131" s="11"/>
      <c r="AW131" s="54"/>
      <c r="AX131" s="250"/>
      <c r="AY131" s="96"/>
      <c r="AZ131" s="294"/>
      <c r="BA131" s="68" t="e">
        <f>IF(mois+2&gt;12,0,IF(mois=12,IF(EXCERCICE="PA",AY131-($CC131/12),IF(EXCERCICE="LB1",AY131-($CF131/12),AY131-($CK131/12))),IF(EXCERCICE="PA",AY131-($CC131/12*(mois+2)),IF(EXCERCICE="LB1",AY131-($CF131/12*(mois+2)),AY131-($CK131/12*(mois+2))))))</f>
        <v>#REF!</v>
      </c>
      <c r="BB131" s="200">
        <f>IF(AY131=0,0,IF(mois+1&gt;12,AY131/SUMPRODUCT((($S$6:$U$6)&lt;=mois+2)*$S131:$U131),AY131/SUMPRODUCT((($E$5:$P$5)&lt;=mois+2)*$E131:$P131)))</f>
        <v>0</v>
      </c>
      <c r="BC131" s="175" t="e">
        <f>IF(mois+2&gt;12,0,IF(ISERROR(IF(EXCERCICE="PA",AY131/$CC131,IF(EXCERCICE="LB1",AY131/$CF131,AY131/$CK131))),0,IF(EXCERCICE="PA",AY131/$CC131,IF(EXCERCICE="LB1",AY131/$CF131,AY131/$CK131))))</f>
        <v>#REF!</v>
      </c>
      <c r="BD131" s="223" t="str">
        <f>IF(ISERROR(AY131/HLOOKUP(mois+2,$BQ$5:$CB$39,7,FALSE)),"",AY131/HLOOKUP(mois+2,$BQ$5:$CB$39,7,FALSE))</f>
        <v/>
      </c>
      <c r="BE131" s="52"/>
      <c r="BF131" s="54"/>
      <c r="BG131" s="250"/>
      <c r="BH131" s="96" t="e">
        <f>IF(mois+3=13,BG131,IF(mois+3&gt;15,BG131,+$AY131+BG131))</f>
        <v>#REF!</v>
      </c>
      <c r="BI131" s="68" t="e">
        <f>IF(mois+3&gt;12,0,IF(mois=12,IF(EXCERCICE="PA",BH131-($CC131/12),IF(EXCERCICE="LB1",BH131-($CF131/12),BH131-($CK131/12))),IF(EXCERCICE="PA",BH131-($CC131/12*(mois+3)),IF(EXCERCICE="LB1",BH131-($CF131/12*(mois+3)),BH131-($CK131/12*(mois+3))))))</f>
        <v>#REF!</v>
      </c>
      <c r="BJ131" s="200" t="e">
        <f>IF(BH131=0,0,IF(mois+1&gt;12,BH131/SUMPRODUCT((($S$6:$U$6)&lt;=mois+3)*$S131:$U131),BH131/SUMPRODUCT((($E$5:$P$5)&lt;=mois+3)*$E131:$P131)))</f>
        <v>#REF!</v>
      </c>
      <c r="BK131" s="175" t="e">
        <f>IF(mois+3&gt;12,0,IF(ISERROR(IF(EXCERCICE="PA",BH131/$CC131,IF(EXCERCICE="LB1",BH131/$CF131,BH131/$CK131))),0,IF(EXCERCICE="PA",BH131/$CC131,IF(EXCERCICE="LB1",BH131/$CF131,BH131/$CK131))))</f>
        <v>#REF!</v>
      </c>
      <c r="BL131" s="223" t="str">
        <f>IF(ISERROR(BH131/HLOOKUP(mois+3,$BQ$5:$CB$39,7,FALSE)),"",BH131/HLOOKUP(mois+3,$BQ$5:$CB$39,7,FALSE))</f>
        <v/>
      </c>
      <c r="BM131" s="2"/>
      <c r="BN131" s="131" t="e">
        <f>IF(mois&gt;=12,IF(EXCERCICE="PA",CC131-AE131,IF(EXCERCICE="LB1",CF131-AE131,IF(EXCERCICE="LB2",$CK131-AE131))),
IF(mois+1&lt;=13,IF(EXCERCICE="PA",CC131-AO131,IF(EXCERCICE="LB1",CF131-AO131,IF(EXCERCICE="LB2",$CK131-AO131))),
IF(mois+2&lt;=14,IF(EXCERCICE="PA",CC131-AY131,IF(EXCERCICE="LB1",CF131-AY131,IF(EXCERCICE="LB2",$CK131-AY131))),
IF(mois+3&lt;=15,IF(EXCERCICE="PA",CC131-BH131,IF(EXCERCICE="LB1",CF131-BH131,IF(EXCERCICE="LB2",$CK131-BH131))),0))))</f>
        <v>#REF!</v>
      </c>
      <c r="BO131" s="131" t="e">
        <f>IF(BN131&lt;0,0,BN131/(12-mois))</f>
        <v>#REF!</v>
      </c>
      <c r="BQ131" s="196"/>
      <c r="BR131" s="196"/>
      <c r="BS131" s="196"/>
      <c r="BT131" s="196"/>
      <c r="BU131" s="196"/>
      <c r="BV131" s="196"/>
      <c r="BW131" s="196"/>
      <c r="BX131" s="196"/>
      <c r="BY131" s="196"/>
      <c r="BZ131" s="196"/>
      <c r="CA131" s="196"/>
      <c r="CB131" s="196"/>
      <c r="CC131" s="131"/>
      <c r="CD131" s="206"/>
      <c r="CE131" s="54"/>
      <c r="CF131" s="96"/>
      <c r="CG131" s="138"/>
      <c r="CH131" s="68"/>
      <c r="CI131" s="52"/>
      <c r="CJ131" s="54"/>
      <c r="CK131" s="96"/>
      <c r="CL131" s="138"/>
      <c r="CM131" s="68"/>
    </row>
    <row r="132" spans="2:91" x14ac:dyDescent="0.2">
      <c r="B132" s="64"/>
      <c r="C132" s="6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194"/>
      <c r="AG132" s="100"/>
      <c r="AH132" s="100"/>
      <c r="AI132" s="100"/>
      <c r="AJ132" s="214"/>
      <c r="AK132" s="214"/>
      <c r="AL132" s="11"/>
      <c r="AM132" s="2"/>
      <c r="AN132" s="71"/>
      <c r="AO132" s="11"/>
      <c r="AP132" s="194"/>
      <c r="AQ132" s="100"/>
      <c r="AR132" s="65"/>
      <c r="AS132" s="2"/>
      <c r="AT132" s="214"/>
      <c r="AU132" s="214"/>
      <c r="AV132" s="11"/>
      <c r="AW132" s="2"/>
      <c r="AX132" s="71"/>
      <c r="AY132" s="11"/>
      <c r="AZ132" s="194"/>
      <c r="BA132" s="65"/>
      <c r="BB132" s="2"/>
      <c r="BC132" s="214"/>
      <c r="BD132" s="214"/>
      <c r="BE132" s="11"/>
      <c r="BF132" s="2"/>
      <c r="BG132" s="71"/>
      <c r="BH132" s="11"/>
      <c r="BI132" s="11"/>
      <c r="BJ132" s="11"/>
      <c r="BK132" s="214"/>
      <c r="BL132" s="214"/>
      <c r="BM132" s="2"/>
      <c r="BN132" s="11"/>
      <c r="BO132" s="11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65"/>
      <c r="CD132" s="205"/>
      <c r="CE132" s="11"/>
      <c r="CF132" s="71"/>
      <c r="CG132" s="137"/>
      <c r="CH132" s="65"/>
      <c r="CI132" s="11"/>
      <c r="CJ132" s="2"/>
      <c r="CK132" s="71"/>
      <c r="CL132" s="137"/>
      <c r="CM132" s="65"/>
    </row>
    <row r="133" spans="2:91" x14ac:dyDescent="0.2">
      <c r="B133" s="49"/>
      <c r="C133" s="50" t="s">
        <v>59</v>
      </c>
      <c r="D133" s="51"/>
      <c r="E133" s="92">
        <f t="shared" ref="E133:P133" si="501">IF(ISERROR(VLOOKUP(CONCATENATE($B125,E$5),TBCHISTORIQUE,10,FALSE)/1000),0,VLOOKUP(CONCATENATE($B125,E$5),TBCHISTORIQUE,10,FALSE)/1000)</f>
        <v>0</v>
      </c>
      <c r="F133" s="93">
        <f t="shared" si="501"/>
        <v>0</v>
      </c>
      <c r="G133" s="93">
        <f t="shared" si="501"/>
        <v>0</v>
      </c>
      <c r="H133" s="93">
        <f t="shared" si="501"/>
        <v>0</v>
      </c>
      <c r="I133" s="93">
        <f t="shared" si="501"/>
        <v>0</v>
      </c>
      <c r="J133" s="93">
        <f t="shared" si="501"/>
        <v>0</v>
      </c>
      <c r="K133" s="93">
        <f t="shared" si="501"/>
        <v>0</v>
      </c>
      <c r="L133" s="93">
        <f t="shared" si="501"/>
        <v>0</v>
      </c>
      <c r="M133" s="93">
        <f t="shared" si="501"/>
        <v>0</v>
      </c>
      <c r="N133" s="93">
        <f t="shared" si="501"/>
        <v>0</v>
      </c>
      <c r="O133" s="93">
        <f t="shared" si="501"/>
        <v>0</v>
      </c>
      <c r="P133" s="94">
        <f t="shared" si="501"/>
        <v>0</v>
      </c>
      <c r="Q133" s="184">
        <f>SUMIF($E$5:$P$5,"&lt;="&amp;mois,E133:P133)</f>
        <v>0</v>
      </c>
      <c r="R133" s="51"/>
      <c r="S133" s="92">
        <f t="shared" ref="S133:AD133" si="502">IF(ISERROR(VLOOKUP(CONCATENATE($B125,S$5),TBCA,10,FALSE)/1000),0,VLOOKUP(CONCATENATE($B125,S$5),TBCA,10,FALSE)/1000)</f>
        <v>0</v>
      </c>
      <c r="T133" s="93">
        <f t="shared" si="502"/>
        <v>0</v>
      </c>
      <c r="U133" s="93">
        <f t="shared" si="502"/>
        <v>0</v>
      </c>
      <c r="V133" s="93">
        <f t="shared" si="502"/>
        <v>0</v>
      </c>
      <c r="W133" s="93">
        <f t="shared" si="502"/>
        <v>0</v>
      </c>
      <c r="X133" s="93">
        <f t="shared" si="502"/>
        <v>0</v>
      </c>
      <c r="Y133" s="93">
        <f t="shared" si="502"/>
        <v>0</v>
      </c>
      <c r="Z133" s="93">
        <f t="shared" si="502"/>
        <v>0</v>
      </c>
      <c r="AA133" s="93">
        <f t="shared" si="502"/>
        <v>0</v>
      </c>
      <c r="AB133" s="93">
        <f t="shared" si="502"/>
        <v>0</v>
      </c>
      <c r="AC133" s="93">
        <f t="shared" si="502"/>
        <v>0</v>
      </c>
      <c r="AD133" s="94">
        <f t="shared" si="502"/>
        <v>0</v>
      </c>
      <c r="AE133" s="92">
        <f>SUMIF($S$5:$AD$5,"&lt;="&amp;mois,S133:AD133)</f>
        <v>0</v>
      </c>
      <c r="AF133" s="291"/>
      <c r="AG133" s="101">
        <f t="shared" ref="AG133:AG134" si="503">AE133-AF133</f>
        <v>0</v>
      </c>
      <c r="AH133" s="101" t="e">
        <f>IF(EXCERCICE="PA",AE133-($CC133/12*(mois)),IF(EXCERCICE="LB1",AE133-($CF133/12*(mois)),AE133-($CK133/12*(mois))))</f>
        <v>#REF!</v>
      </c>
      <c r="AI133" s="176">
        <f>IF(ISERROR(AE133/Q133),0,AE133/Q133)</f>
        <v>0</v>
      </c>
      <c r="AJ133" s="176">
        <f>IF(ISERROR(IF(EXCERCICE="PA",AE133/$CC133,IF(EXCERCICE="LB1",AE133/$CF133,AE133/$CK133))),0,IF(EXCERCICE="PA",AE133/$CC133,IF(EXCERCICE="LB1",AE133/$CF133,AE133/$CK133)))</f>
        <v>0</v>
      </c>
      <c r="AK133" s="176" t="str">
        <f>IF(ISERROR(AE133/HLOOKUP(mois,$BQ$5:$CB$39,9,FALSE)),"",AE133/HLOOKUP(mois,$BQ$5:$CB$39,9,FALSE))</f>
        <v/>
      </c>
      <c r="AL133" s="52"/>
      <c r="AM133" s="54"/>
      <c r="AN133" s="242"/>
      <c r="AO133" s="92" t="e">
        <f>IF(mois+1&gt;12,AN133,+$AE133+AN133)</f>
        <v>#REF!</v>
      </c>
      <c r="AP133" s="291"/>
      <c r="AQ133" s="101" t="e">
        <f>AO133-AP133</f>
        <v>#REF!</v>
      </c>
      <c r="AR133" s="55" t="e">
        <f>IF(mois+1&gt;12,0,IF(mois=12,IF(EXCERCICE="PA",AO133-($CC133/12),IF(EXCERCICE="LB1",AO133-($CF133/12),AO133-($CK133/12))),IF(EXCERCICE="PA",AO133-($CC133/12*(mois+1)),IF(EXCERCICE="LB1",AO133-($CF133/12*(mois+1)),AO133-($CK133/12*(mois+1))))))</f>
        <v>#REF!</v>
      </c>
      <c r="AS133" s="176" t="e">
        <f>IF(AO133=0,0,IF(mois+1&gt;12,AO133/SUMPRODUCT((($S$6:$U$6)&lt;=mois+1)*$S133:$U133),AO133/SUMPRODUCT((($E$5:$P$5)&lt;=mois+1)*$E133:$P133)))</f>
        <v>#REF!</v>
      </c>
      <c r="AT133" s="176" t="e">
        <f>IF(mois+1&gt;12,0,IF(ISERROR(IF(EXCERCICE="PA",AO133/$CC133,IF(EXCERCICE="LB1",AO133/$CF133,AO133/$CK133))),0,IF(EXCERCICE="PA",AO133/$CC133,IF(EXCERCICE="LB1",AO133/$CF133,AO133/$CK133))))</f>
        <v>#REF!</v>
      </c>
      <c r="AU133" s="224" t="str">
        <f>IF(ISERROR(AO133/HLOOKUP(mois+1,$BQ$5:$CB$39,9,FALSE)),"",AO133/HLOOKUP(mois+1,$BQ$5:$CB$39,9,FALSE))</f>
        <v/>
      </c>
      <c r="AV133" s="11"/>
      <c r="AW133" s="54"/>
      <c r="AX133" s="242"/>
      <c r="AY133" s="92"/>
      <c r="AZ133" s="291"/>
      <c r="BA133" s="55" t="e">
        <f>IF(mois+2&gt;12,0,IF(mois=12,IF(EXCERCICE="PA",AY133-($CC133/12),IF(EXCERCICE="LB1",AY133-($CF133/12),AY133-($CK133/12))),IF(EXCERCICE="PA",AY133-($CC133/12*(mois+2)),IF(EXCERCICE="LB1",AY133-($CF133/12*(mois+2)),AY133-($CK133/12*(mois+2))))))</f>
        <v>#REF!</v>
      </c>
      <c r="BB133" s="176">
        <f>IF(AY133=0,0,IF(mois+1&gt;12,AY133/SUMPRODUCT((($S$6:$U$6)&lt;=mois+2)*$S133:$U133),AY133/SUMPRODUCT((($E$5:$P$5)&lt;=mois+2)*$E133:$P133)))</f>
        <v>0</v>
      </c>
      <c r="BC133" s="176" t="e">
        <f>IF(mois+2&gt;12,0,IF(ISERROR(IF(EXCERCICE="PA",AY133/$CC133,IF(EXCERCICE="LB1",AY133/$CF133,AY133/$CK133))),0,IF(EXCERCICE="PA",AY133/$CC133,IF(EXCERCICE="LB1",AY133/$CF133,AY133/$CK133))))</f>
        <v>#REF!</v>
      </c>
      <c r="BD133" s="224" t="str">
        <f>IF(ISERROR(AY133/HLOOKUP(mois+2,$BQ$5:$CB$39,9,FALSE)),"",AY133/HLOOKUP(mois+2,$BQ$5:$CB$39,9,FALSE))</f>
        <v/>
      </c>
      <c r="BE133" s="52"/>
      <c r="BF133" s="54"/>
      <c r="BG133" s="242"/>
      <c r="BH133" s="92" t="e">
        <f>IF(mois+3=13,BG133,IF(mois+3&gt;15,BG133,+$AY133+BG133))</f>
        <v>#REF!</v>
      </c>
      <c r="BI133" s="55" t="e">
        <f>IF(mois+3&gt;12,0,IF(mois=12,IF(EXCERCICE="PA",BH133-($CC133/12),IF(EXCERCICE="LB1",BH133-($CF133/12),BH133-($CK133/12))),IF(EXCERCICE="PA",BH133-($CC133/12*(mois+3)),IF(EXCERCICE="LB1",BH133-($CF133/12*(mois+3)),BH133-($CK133/12*(mois+3))))))</f>
        <v>#REF!</v>
      </c>
      <c r="BJ133" s="176" t="e">
        <f>IF(BH133=0,0,IF(mois+1&gt;12,BH133/SUMPRODUCT((($S$6:$U$6)&lt;=mois+3)*$S133:$U133),BH133/SUMPRODUCT((($E$5:$P$5)&lt;=mois+3)*$E133:$P133)))</f>
        <v>#REF!</v>
      </c>
      <c r="BK133" s="176" t="e">
        <f>IF(mois+3&gt;12,0,IF(ISERROR(IF(EXCERCICE="PA",BH133/$CC133,IF(EXCERCICE="LB1",BH133/$CF133,BH133/$CK133))),0,IF(EXCERCICE="PA",BH133/$CC133,IF(EXCERCICE="LB1",BH133/$CF133,BH133/$CK133))))</f>
        <v>#REF!</v>
      </c>
      <c r="BL133" s="224" t="str">
        <f>IF(ISERROR(BH133/HLOOKUP(mois+3,$BQ$5:$CB$39,9,FALSE)),"",BH133/HLOOKUP(mois+3,$BQ$5:$CB$39,9,FALSE))</f>
        <v/>
      </c>
      <c r="BM133" s="2"/>
      <c r="BN133" s="231" t="e">
        <f>IF(mois&gt;=12,IF(EXCERCICE="PA",CC133-AE133,IF(EXCERCICE="LB1",CF133-AE133,IF(EXCERCICE="LB2",$CK133-AE133))),
IF(mois+1&lt;=13,IF(EXCERCICE="PA",CC133-AO133,IF(EXCERCICE="LB1",CF133-AO133,IF(EXCERCICE="LB2",$CK133-AO133))),
IF(mois+2&lt;=14,IF(EXCERCICE="PA",CC133-AY133,IF(EXCERCICE="LB1",CF133-AY133,IF(EXCERCICE="LB2",$CK133-AY133))),
IF(mois+3&lt;=15,IF(EXCERCICE="PA",CC133-BH133,IF(EXCERCICE="LB1",CF133-BH133,IF(EXCERCICE="LB2",$CK133-BH133))),0))))</f>
        <v>#REF!</v>
      </c>
      <c r="BO133" s="231" t="e">
        <f>IF(BN133&lt;0,0,BN133/(12-mois))</f>
        <v>#REF!</v>
      </c>
      <c r="BP133" s="2"/>
      <c r="BQ133" s="196"/>
      <c r="BR133" s="196"/>
      <c r="BS133" s="196"/>
      <c r="BT133" s="196"/>
      <c r="BU133" s="196"/>
      <c r="BV133" s="196"/>
      <c r="BW133" s="196"/>
      <c r="BX133" s="196"/>
      <c r="BY133" s="196"/>
      <c r="BZ133" s="196"/>
      <c r="CA133" s="196"/>
      <c r="CB133" s="196"/>
      <c r="CC133" s="92"/>
      <c r="CD133" s="207"/>
      <c r="CE133" s="54"/>
      <c r="CF133" s="92"/>
      <c r="CG133" s="128"/>
      <c r="CH133" s="53"/>
      <c r="CI133" s="52"/>
      <c r="CJ133" s="54"/>
      <c r="CK133" s="92"/>
      <c r="CL133" s="128"/>
      <c r="CM133" s="55"/>
    </row>
    <row r="134" spans="2:91" x14ac:dyDescent="0.2">
      <c r="B134" s="56"/>
      <c r="C134" s="57" t="s">
        <v>60</v>
      </c>
      <c r="D134" s="2"/>
      <c r="E134" s="95">
        <f t="shared" ref="E134:P134" si="504">IF(ISERROR(VLOOKUP(CONCATENATE($B125,E$5),TBCHISTORIQUE,11,FALSE)/1000),0,VLOOKUP(CONCATENATE($B125,E$5),TBCHISTORIQUE,11,FALSE)/1000)</f>
        <v>0</v>
      </c>
      <c r="F134" s="167">
        <f t="shared" si="504"/>
        <v>0</v>
      </c>
      <c r="G134" s="167">
        <f t="shared" si="504"/>
        <v>0</v>
      </c>
      <c r="H134" s="167">
        <f t="shared" si="504"/>
        <v>0</v>
      </c>
      <c r="I134" s="167">
        <f t="shared" si="504"/>
        <v>0</v>
      </c>
      <c r="J134" s="167">
        <f t="shared" si="504"/>
        <v>0</v>
      </c>
      <c r="K134" s="167">
        <f t="shared" si="504"/>
        <v>0</v>
      </c>
      <c r="L134" s="167">
        <f t="shared" si="504"/>
        <v>0</v>
      </c>
      <c r="M134" s="167">
        <f t="shared" si="504"/>
        <v>0</v>
      </c>
      <c r="N134" s="167">
        <f t="shared" si="504"/>
        <v>0</v>
      </c>
      <c r="O134" s="167">
        <f t="shared" si="504"/>
        <v>0</v>
      </c>
      <c r="P134" s="168">
        <f t="shared" si="504"/>
        <v>0</v>
      </c>
      <c r="Q134" s="185">
        <f>SUMIF($E$5:$P$5,"&lt;="&amp;mois,E134:P134)</f>
        <v>0</v>
      </c>
      <c r="R134" s="2"/>
      <c r="S134" s="95">
        <f t="shared" ref="S134:AD134" si="505">IF(ISERROR(VLOOKUP(CONCATENATE($B125,S$5),TBCA,11,FALSE)/1000),0,VLOOKUP(CONCATENATE($B125,S$5),TBCA,11,FALSE)/1000)</f>
        <v>0</v>
      </c>
      <c r="T134" s="167">
        <f t="shared" si="505"/>
        <v>0</v>
      </c>
      <c r="U134" s="167">
        <f t="shared" si="505"/>
        <v>0</v>
      </c>
      <c r="V134" s="167">
        <f t="shared" si="505"/>
        <v>0</v>
      </c>
      <c r="W134" s="167">
        <f t="shared" si="505"/>
        <v>0</v>
      </c>
      <c r="X134" s="167">
        <f t="shared" si="505"/>
        <v>0</v>
      </c>
      <c r="Y134" s="167">
        <f t="shared" si="505"/>
        <v>0</v>
      </c>
      <c r="Z134" s="167">
        <f t="shared" si="505"/>
        <v>0</v>
      </c>
      <c r="AA134" s="167">
        <f t="shared" si="505"/>
        <v>0</v>
      </c>
      <c r="AB134" s="167">
        <f t="shared" si="505"/>
        <v>0</v>
      </c>
      <c r="AC134" s="167">
        <f t="shared" si="505"/>
        <v>0</v>
      </c>
      <c r="AD134" s="168">
        <f t="shared" si="505"/>
        <v>0</v>
      </c>
      <c r="AE134" s="95">
        <f>SUMIF($S$5:$AD$5,"&lt;="&amp;mois,S134:AD134)</f>
        <v>0</v>
      </c>
      <c r="AF134" s="292"/>
      <c r="AG134" s="102">
        <f t="shared" si="503"/>
        <v>0</v>
      </c>
      <c r="AH134" s="102" t="e">
        <f>IF(EXCERCICE="PA",AE134-($CC134/12*(mois)),IF(EXCERCICE="LB1",AE134-($CF134/12*(mois)),AE134-($CK134/12*(mois))))</f>
        <v>#REF!</v>
      </c>
      <c r="AI134" s="102"/>
      <c r="AJ134" s="212">
        <f>IF(ISERROR(IF(EXCERCICE="PA",AE134/$CC134,IF(EXCERCICE="LB1",AE134/$CF134,AE134/$CK134))),0,IF(EXCERCICE="PA",AE134/$CC134,IF(EXCERCICE="LB1",AE134/$CF134,AE134/$CK134)))</f>
        <v>0</v>
      </c>
      <c r="AK134" s="212"/>
      <c r="AL134" s="58"/>
      <c r="AM134" s="11"/>
      <c r="AN134" s="243"/>
      <c r="AO134" s="95" t="e">
        <f>IF(mois+1&gt;12,AN134,+$AE134+AN134)</f>
        <v>#REF!</v>
      </c>
      <c r="AP134" s="292"/>
      <c r="AQ134" s="102" t="e">
        <f>AO134-AP134</f>
        <v>#REF!</v>
      </c>
      <c r="AR134" s="17" t="e">
        <f>IF(mois+1&gt;12,0,IF(mois=12,IF(EXCERCICE="PA",AO134-($CC134/12),IF(EXCERCICE="LB1",AO134-($CF134/12),AO134-($CK134/12))),IF(EXCERCICE="PA",AO134-($CC134/12*(mois+1)),IF(EXCERCICE="LB1",AO134-($CF134/12*(mois+1)),AO134-($CK134/12*(mois+1))))))</f>
        <v>#REF!</v>
      </c>
      <c r="AS134" s="179"/>
      <c r="AT134" s="212" t="e">
        <f>IF(mois+1&gt;12,0,IF(ISERROR(IF(EXCERCICE="PA",AO134/$CC134,IF(EXCERCICE="LB1",AO134/$CF134,AO134/$CK134))),0,IF(EXCERCICE="PA",AO134/$CC134,IF(EXCERCICE="LB1",AO134/$CF134,AO134/$CK134))))</f>
        <v>#REF!</v>
      </c>
      <c r="AU134" s="221"/>
      <c r="AV134" s="11"/>
      <c r="AW134" s="11"/>
      <c r="AX134" s="243"/>
      <c r="AY134" s="95"/>
      <c r="AZ134" s="292"/>
      <c r="BA134" s="17" t="e">
        <f>IF(mois+2&gt;12,0,IF(mois=12,IF(EXCERCICE="PA",AY134-($CC134/12),IF(EXCERCICE="LB1",AY134-($CF134/12),AY134-($CK134/12))),IF(EXCERCICE="PA",AY134-($CC134/12*(mois+2)),IF(EXCERCICE="LB1",AY134-($CF134/12*(mois+2)),AY134-($CK134/12*(mois+2))))))</f>
        <v>#REF!</v>
      </c>
      <c r="BB134" s="179"/>
      <c r="BC134" s="212" t="e">
        <f>IF(mois+2&gt;12,0,IF(ISERROR(IF(EXCERCICE="PA",AY134/$CC134,IF(EXCERCICE="LB1",AY134/$CF134,AY134/$CK134))),0,IF(EXCERCICE="PA",AY134/$CC134,IF(EXCERCICE="LB1",AY134/$CF134,AY134/$CK134))))</f>
        <v>#REF!</v>
      </c>
      <c r="BD134" s="221"/>
      <c r="BE134" s="58"/>
      <c r="BF134" s="11"/>
      <c r="BG134" s="243"/>
      <c r="BH134" s="95" t="e">
        <f>IF(mois+3=13,BG134,IF(mois+3&gt;15,BG134,+$AY134+BG134))</f>
        <v>#REF!</v>
      </c>
      <c r="BI134" s="17" t="e">
        <f>IF(mois+3&gt;12,0,IF(mois=12,IF(EXCERCICE="PA",BH134-($CC134/12),IF(EXCERCICE="LB1",BH134-($CF134/12),BH134-($CK134/12))),IF(EXCERCICE="PA",BH134-($CC134/12*(mois+3)),IF(EXCERCICE="LB1",BH134-($CF134/12*(mois+3)),BH134-($CK134/12*(mois+3))))))</f>
        <v>#REF!</v>
      </c>
      <c r="BJ134" s="17"/>
      <c r="BK134" s="212" t="e">
        <f>IF(mois+3&gt;12,0,IF(ISERROR(IF(EXCERCICE="PA",BH134/$CC134,IF(EXCERCICE="LB1",BH134/$CF134,BH134/$CK134))),0,IF(EXCERCICE="PA",BH134/$CC134,IF(EXCERCICE="LB1",BH134/$CF134,BH134/$CK134))))</f>
        <v>#REF!</v>
      </c>
      <c r="BL134" s="221"/>
      <c r="BM134" s="2"/>
      <c r="BN134" s="123" t="e">
        <f>IF(mois&gt;=12,IF(EXCERCICE="PA",CC134-AE134,IF(EXCERCICE="LB1",CF134-AE134,IF(EXCERCICE="LB2",$CK134-AE134))),
IF(mois+1&lt;=13,IF(EXCERCICE="PA",CC134-AO134,IF(EXCERCICE="LB1",CF134-AO134,IF(EXCERCICE="LB2",$CK134-AO134))),
IF(mois+2&lt;=14,IF(EXCERCICE="PA",CC134-AY134,IF(EXCERCICE="LB1",CF134-AY134,IF(EXCERCICE="LB2",$CK134-AY134))),
IF(mois+3&lt;=15,IF(EXCERCICE="PA",CC134-BH134,IF(EXCERCICE="LB1",CF134-BH134,IF(EXCERCICE="LB2",$CK134-BH134))),0))))</f>
        <v>#REF!</v>
      </c>
      <c r="BO134" s="123" t="e">
        <f>IF(BN134&lt;0,0,BN134/(12-mois))</f>
        <v>#REF!</v>
      </c>
      <c r="BP134" s="2"/>
      <c r="BQ134" s="173"/>
      <c r="BR134" s="173"/>
      <c r="BS134" s="173"/>
      <c r="BT134" s="173"/>
      <c r="BU134" s="173"/>
      <c r="BV134" s="173"/>
      <c r="BW134" s="173"/>
      <c r="BX134" s="173"/>
      <c r="BY134" s="173"/>
      <c r="BZ134" s="173"/>
      <c r="CA134" s="173"/>
      <c r="CB134" s="173"/>
      <c r="CC134" s="95"/>
      <c r="CD134" s="203"/>
      <c r="CE134" s="11"/>
      <c r="CF134" s="95"/>
      <c r="CG134" s="125"/>
      <c r="CH134" s="59"/>
      <c r="CI134" s="58"/>
      <c r="CJ134" s="11"/>
      <c r="CK134" s="95"/>
      <c r="CL134" s="125"/>
      <c r="CM134" s="17"/>
    </row>
    <row r="135" spans="2:91" x14ac:dyDescent="0.2">
      <c r="B135" s="56"/>
      <c r="C135" s="142" t="s">
        <v>63</v>
      </c>
      <c r="D135" s="2"/>
      <c r="E135" s="69" t="str">
        <f>IF(E133=0,"-",E134/E133)</f>
        <v>-</v>
      </c>
      <c r="F135" s="9" t="str">
        <f t="shared" ref="F135" si="506">IF(F133=0,"-",F134/F133)</f>
        <v>-</v>
      </c>
      <c r="G135" s="9" t="str">
        <f t="shared" ref="G135" si="507">IF(G133=0,"-",G134/G133)</f>
        <v>-</v>
      </c>
      <c r="H135" s="9" t="str">
        <f t="shared" ref="H135" si="508">IF(H133=0,"-",H134/H133)</f>
        <v>-</v>
      </c>
      <c r="I135" s="9" t="str">
        <f t="shared" ref="I135" si="509">IF(I133=0,"-",I134/I133)</f>
        <v>-</v>
      </c>
      <c r="J135" s="9" t="str">
        <f t="shared" ref="J135" si="510">IF(J133=0,"-",J134/J133)</f>
        <v>-</v>
      </c>
      <c r="K135" s="9" t="str">
        <f t="shared" ref="K135" si="511">IF(K133=0,"-",K134/K133)</f>
        <v>-</v>
      </c>
      <c r="L135" s="9" t="str">
        <f t="shared" ref="L135" si="512">IF(L133=0,"-",L134/L133)</f>
        <v>-</v>
      </c>
      <c r="M135" s="9" t="str">
        <f t="shared" ref="M135" si="513">IF(M133=0,"-",M134/M133)</f>
        <v>-</v>
      </c>
      <c r="N135" s="9" t="str">
        <f t="shared" ref="N135" si="514">IF(N133=0,"-",N134/N133)</f>
        <v>-</v>
      </c>
      <c r="O135" s="9" t="str">
        <f t="shared" ref="O135" si="515">IF(O133=0,"-",O134/O133)</f>
        <v>-</v>
      </c>
      <c r="P135" s="9" t="str">
        <f t="shared" ref="P135" si="516">IF(P133=0,"-",P134/P133)</f>
        <v>-</v>
      </c>
      <c r="Q135" s="188" t="str">
        <f t="shared" ref="Q135" si="517">IF(Q133=0,"-",Q134/Q133)</f>
        <v>-</v>
      </c>
      <c r="R135" s="2"/>
      <c r="S135" s="69" t="str">
        <f>IF(S133=0,"-",S134/S133)</f>
        <v>-</v>
      </c>
      <c r="T135" s="9" t="str">
        <f t="shared" ref="T135" si="518">IF(T133=0,"-",T134/T133)</f>
        <v>-</v>
      </c>
      <c r="U135" s="9" t="str">
        <f t="shared" ref="U135" si="519">IF(U133=0,"-",U134/U133)</f>
        <v>-</v>
      </c>
      <c r="V135" s="9" t="str">
        <f t="shared" ref="V135" si="520">IF(V133=0,"-",V134/V133)</f>
        <v>-</v>
      </c>
      <c r="W135" s="9" t="str">
        <f t="shared" ref="W135" si="521">IF(W133=0,"-",W134/W133)</f>
        <v>-</v>
      </c>
      <c r="X135" s="9" t="str">
        <f t="shared" ref="X135" si="522">IF(X133=0,"-",X134/X133)</f>
        <v>-</v>
      </c>
      <c r="Y135" s="9" t="str">
        <f t="shared" ref="Y135" si="523">IF(Y133=0,"-",Y134/Y133)</f>
        <v>-</v>
      </c>
      <c r="Z135" s="9" t="str">
        <f t="shared" ref="Z135" si="524">IF(Z133=0,"-",Z134/Z133)</f>
        <v>-</v>
      </c>
      <c r="AA135" s="9" t="str">
        <f t="shared" ref="AA135" si="525">IF(AA133=0,"-",AA134/AA133)</f>
        <v>-</v>
      </c>
      <c r="AB135" s="9" t="str">
        <f t="shared" ref="AB135" si="526">IF(AB133=0,"-",AB134/AB133)</f>
        <v>-</v>
      </c>
      <c r="AC135" s="9" t="str">
        <f t="shared" ref="AC135" si="527">IF(AC133=0,"-",AC134/AC133)</f>
        <v>-</v>
      </c>
      <c r="AD135" s="9" t="str">
        <f t="shared" ref="AD135" si="528">IF(AD133=0,"-",AD134/AD133)</f>
        <v>-</v>
      </c>
      <c r="AE135" s="69" t="str">
        <f>IF(AE133=0,"-",AE134/AE133)</f>
        <v>-</v>
      </c>
      <c r="AF135" s="295"/>
      <c r="AG135" s="105" t="str">
        <f t="shared" ref="AG135:AH135" si="529">IF(AG133=0,"-",AG134/AG133)</f>
        <v>-</v>
      </c>
      <c r="AH135" s="105" t="e">
        <f t="shared" si="529"/>
        <v>#REF!</v>
      </c>
      <c r="AI135" s="105"/>
      <c r="AJ135" s="212"/>
      <c r="AK135" s="212"/>
      <c r="AL135" s="58"/>
      <c r="AM135" s="11"/>
      <c r="AN135" s="244"/>
      <c r="AO135" s="69" t="e">
        <f t="shared" ref="AO135" si="530">IF(AO133=0,"-",AO134/AO133)</f>
        <v>#REF!</v>
      </c>
      <c r="AP135" s="295"/>
      <c r="AQ135" s="105" t="e">
        <f t="shared" ref="AQ135:AR135" si="531">IF(AQ133=0,"-",AQ134/AQ133)</f>
        <v>#REF!</v>
      </c>
      <c r="AR135" s="9" t="e">
        <f t="shared" si="531"/>
        <v>#REF!</v>
      </c>
      <c r="AS135" s="105"/>
      <c r="AT135" s="212"/>
      <c r="AU135" s="221"/>
      <c r="AV135" s="11"/>
      <c r="AW135" s="11"/>
      <c r="AX135" s="244"/>
      <c r="AY135" s="69"/>
      <c r="AZ135" s="295"/>
      <c r="BA135" s="9" t="e">
        <f t="shared" ref="BA135" si="532">IF(BA133=0,"-",BA134/BA133)</f>
        <v>#REF!</v>
      </c>
      <c r="BB135" s="105"/>
      <c r="BC135" s="212"/>
      <c r="BD135" s="221"/>
      <c r="BE135" s="58"/>
      <c r="BF135" s="11"/>
      <c r="BG135" s="244"/>
      <c r="BH135" s="69" t="e">
        <f t="shared" ref="BH135:BI135" si="533">IF(BH133=0,"-",BH134/BH133)</f>
        <v>#REF!</v>
      </c>
      <c r="BI135" s="9" t="e">
        <f t="shared" si="533"/>
        <v>#REF!</v>
      </c>
      <c r="BJ135" s="9"/>
      <c r="BK135" s="212"/>
      <c r="BL135" s="221"/>
      <c r="BM135" s="2"/>
      <c r="BN135" s="232"/>
      <c r="BO135" s="232"/>
      <c r="BP135" s="2"/>
      <c r="BQ135" s="173"/>
      <c r="BR135" s="173"/>
      <c r="BS135" s="173"/>
      <c r="BT135" s="173"/>
      <c r="BU135" s="173"/>
      <c r="BV135" s="173"/>
      <c r="BW135" s="173"/>
      <c r="BX135" s="173"/>
      <c r="BY135" s="173"/>
      <c r="BZ135" s="173"/>
      <c r="CA135" s="173"/>
      <c r="CB135" s="173"/>
      <c r="CC135" s="69"/>
      <c r="CD135" s="203"/>
      <c r="CE135" s="11"/>
      <c r="CF135" s="69"/>
      <c r="CG135" s="135"/>
      <c r="CH135" s="149"/>
      <c r="CI135" s="58"/>
      <c r="CJ135" s="11"/>
      <c r="CK135" s="69"/>
      <c r="CL135" s="135"/>
      <c r="CM135" s="10"/>
    </row>
    <row r="136" spans="2:91" x14ac:dyDescent="0.2">
      <c r="B136" s="56"/>
      <c r="C136" s="70"/>
      <c r="D136" s="2"/>
      <c r="E136" s="58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89"/>
      <c r="R136" s="2"/>
      <c r="S136" s="58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58"/>
      <c r="AF136" s="296"/>
      <c r="AG136" s="106"/>
      <c r="AH136" s="106"/>
      <c r="AI136" s="106"/>
      <c r="AJ136" s="198"/>
      <c r="AK136" s="198"/>
      <c r="AL136" s="58"/>
      <c r="AM136" s="11"/>
      <c r="AN136" s="245"/>
      <c r="AO136" s="58"/>
      <c r="AP136" s="296"/>
      <c r="AQ136" s="106"/>
      <c r="AR136" s="71"/>
      <c r="AS136" s="106"/>
      <c r="AT136" s="198"/>
      <c r="AU136" s="225"/>
      <c r="AV136" s="11"/>
      <c r="AW136" s="11"/>
      <c r="AX136" s="245"/>
      <c r="AY136" s="58"/>
      <c r="AZ136" s="296"/>
      <c r="BA136" s="71"/>
      <c r="BB136" s="106"/>
      <c r="BC136" s="198"/>
      <c r="BD136" s="225"/>
      <c r="BE136" s="58"/>
      <c r="BF136" s="11"/>
      <c r="BG136" s="245"/>
      <c r="BH136" s="58"/>
      <c r="BI136" s="11"/>
      <c r="BJ136" s="11"/>
      <c r="BK136" s="198"/>
      <c r="BL136" s="225"/>
      <c r="BM136" s="2"/>
      <c r="BN136" s="233"/>
      <c r="BO136" s="233"/>
      <c r="BP136" s="2"/>
      <c r="BQ136" s="173"/>
      <c r="BR136" s="173"/>
      <c r="BS136" s="173"/>
      <c r="BT136" s="173"/>
      <c r="BU136" s="173"/>
      <c r="BV136" s="173"/>
      <c r="BW136" s="173"/>
      <c r="BX136" s="173"/>
      <c r="BY136" s="173"/>
      <c r="BZ136" s="173"/>
      <c r="CA136" s="173"/>
      <c r="CB136" s="173"/>
      <c r="CC136" s="133"/>
      <c r="CD136" s="208"/>
      <c r="CE136" s="11"/>
      <c r="CF136" s="133"/>
      <c r="CG136" s="125"/>
      <c r="CH136" s="70"/>
      <c r="CI136" s="58"/>
      <c r="CJ136" s="11"/>
      <c r="CK136" s="133"/>
      <c r="CL136" s="125"/>
      <c r="CM136" s="71"/>
    </row>
    <row r="137" spans="2:91" x14ac:dyDescent="0.2">
      <c r="B137" s="72"/>
      <c r="C137" s="73" t="s">
        <v>9</v>
      </c>
      <c r="D137" s="74"/>
      <c r="E137" s="97">
        <f>IF(ISERROR(VLOOKUP(CONCATENATE($B125,E$5),TBCHISTORIQUE,12,FALSE)/1000),0,VLOOKUP(CONCATENATE($B125,E$5),TBCHISTORIQUE,12,FALSE)/1000)</f>
        <v>0</v>
      </c>
      <c r="F137" s="171">
        <f t="shared" ref="F137:P137" si="534">IF(ISERROR(VLOOKUP(CONCATENATE($B$50,F$5),TBCHISTORIQUE,12,FALSE)/1000),0,VLOOKUP(CONCATENATE($B$50,F$5),TBCHISTORIQUE,12,FALSE)/1000)</f>
        <v>0</v>
      </c>
      <c r="G137" s="171">
        <f t="shared" si="534"/>
        <v>0</v>
      </c>
      <c r="H137" s="171">
        <f t="shared" si="534"/>
        <v>0</v>
      </c>
      <c r="I137" s="171">
        <f t="shared" si="534"/>
        <v>0</v>
      </c>
      <c r="J137" s="171">
        <f t="shared" si="534"/>
        <v>0</v>
      </c>
      <c r="K137" s="171">
        <f t="shared" si="534"/>
        <v>0</v>
      </c>
      <c r="L137" s="171">
        <f t="shared" si="534"/>
        <v>0</v>
      </c>
      <c r="M137" s="171">
        <f t="shared" si="534"/>
        <v>0</v>
      </c>
      <c r="N137" s="171">
        <f t="shared" si="534"/>
        <v>0</v>
      </c>
      <c r="O137" s="171">
        <f t="shared" si="534"/>
        <v>0</v>
      </c>
      <c r="P137" s="172">
        <f t="shared" si="534"/>
        <v>0</v>
      </c>
      <c r="Q137" s="190">
        <f>SUMIF($E$5:$P$5,"&lt;="&amp;mois,E137:P137)</f>
        <v>0</v>
      </c>
      <c r="R137" s="74"/>
      <c r="S137" s="97">
        <f t="shared" ref="S137:AD137" si="535">IF(ISERROR(VLOOKUP(CONCATENATE($B125,S$5),TBCA,12,FALSE)/1000),0,VLOOKUP(CONCATENATE($B125,S$5),TBCA,12,FALSE)/1000)</f>
        <v>0</v>
      </c>
      <c r="T137" s="171">
        <f t="shared" si="535"/>
        <v>0</v>
      </c>
      <c r="U137" s="171">
        <f t="shared" si="535"/>
        <v>0</v>
      </c>
      <c r="V137" s="171">
        <f t="shared" si="535"/>
        <v>0</v>
      </c>
      <c r="W137" s="171">
        <f t="shared" si="535"/>
        <v>0</v>
      </c>
      <c r="X137" s="171">
        <f t="shared" si="535"/>
        <v>0</v>
      </c>
      <c r="Y137" s="171">
        <f t="shared" si="535"/>
        <v>0</v>
      </c>
      <c r="Z137" s="171">
        <f t="shared" si="535"/>
        <v>0</v>
      </c>
      <c r="AA137" s="171">
        <f t="shared" si="535"/>
        <v>0</v>
      </c>
      <c r="AB137" s="171">
        <f t="shared" si="535"/>
        <v>0</v>
      </c>
      <c r="AC137" s="171">
        <f t="shared" si="535"/>
        <v>0</v>
      </c>
      <c r="AD137" s="172">
        <f t="shared" si="535"/>
        <v>0</v>
      </c>
      <c r="AE137" s="97">
        <f>SUMIF($S$5:$AD$5,"&lt;="&amp;mois,S137:AD137)</f>
        <v>0</v>
      </c>
      <c r="AF137" s="292"/>
      <c r="AG137" s="107">
        <f>AE137-AF137</f>
        <v>0</v>
      </c>
      <c r="AH137" s="107" t="e">
        <f>IF(EXCERCICE="PA",AE137-($CC137/12*(mois)),IF(EXCERCICE="LB1",AE137-($CF137/12*(mois)),AE137-($CK137/12*(mois))))</f>
        <v>#REF!</v>
      </c>
      <c r="AI137" s="107"/>
      <c r="AJ137" s="215">
        <f>IF(ISERROR(IF(EXCERCICE="PA",AE137/$CC137,IF(EXCERCICE="LB1",AE137/$CF137,AE137/$CK137))),0,IF(EXCERCICE="PA",AE137/$CC137,IF(EXCERCICE="LB1",AE137/$CF137,AE137/$CK137)))</f>
        <v>0</v>
      </c>
      <c r="AK137" s="215"/>
      <c r="AL137" s="75"/>
      <c r="AM137" s="77"/>
      <c r="AN137" s="246"/>
      <c r="AO137" s="97" t="e">
        <f>IF(mois+1&gt;12,AN137,+$AE137+AN137)</f>
        <v>#REF!</v>
      </c>
      <c r="AP137" s="292"/>
      <c r="AQ137" s="107" t="e">
        <f>AO137-AP137</f>
        <v>#REF!</v>
      </c>
      <c r="AR137" s="78" t="e">
        <f>IF(mois+1&gt;12,0,IF(mois=12,IF(EXCERCICE="PA",AO137-($CC137/12),IF(EXCERCICE="LB1",AO137-($CF137/12),AO137-($CK137/12))),IF(EXCERCICE="PA",AO137-($CC137/12*(mois+1)),IF(EXCERCICE="LB1",AO137-($CF137/12*(mois+1)),AO137-($CK137/12*(mois+1))))))</f>
        <v>#REF!</v>
      </c>
      <c r="AS137" s="180"/>
      <c r="AT137" s="215" t="e">
        <f>IF(mois+1&gt;12,0,IF(ISERROR(IF(EXCERCICE="PA",AO137/$CC137,IF(EXCERCICE="LB1",AO137/$CF137,AO137/$CK137))),0,IF(EXCERCICE="PA",AO137/$CC137,IF(EXCERCICE="LB1",AO137/$CF137,AO137/$CK137))))</f>
        <v>#REF!</v>
      </c>
      <c r="AU137" s="226"/>
      <c r="AV137" s="11"/>
      <c r="AW137" s="77"/>
      <c r="AX137" s="246"/>
      <c r="AY137" s="97"/>
      <c r="AZ137" s="292"/>
      <c r="BA137" s="78" t="e">
        <f>IF(mois+2&gt;12,0,IF(mois=12,IF(EXCERCICE="PA",AY137-($CC137/12),IF(EXCERCICE="LB1",AY137-($CF137/12),AY137-($CK137/12))),IF(EXCERCICE="PA",AY137-($CC137/12*(mois+2)),IF(EXCERCICE="LB1",AY137-($CF137/12*(mois+2)),AY137-($CK137/12*(mois+2))))))</f>
        <v>#REF!</v>
      </c>
      <c r="BB137" s="180"/>
      <c r="BC137" s="215" t="e">
        <f>IF(mois+2&gt;12,0,IF(ISERROR(IF(EXCERCICE="PA",AY137/$CC137,IF(EXCERCICE="LB1",AY137/$CF137,AY137/$CK137))),0,IF(EXCERCICE="PA",AY137/$CC137,IF(EXCERCICE="LB1",AY137/$CF137,AY137/$CK137))))</f>
        <v>#REF!</v>
      </c>
      <c r="BD137" s="226"/>
      <c r="BE137" s="75"/>
      <c r="BF137" s="77"/>
      <c r="BG137" s="246"/>
      <c r="BH137" s="97" t="e">
        <f>IF(mois+3=13,BG137,IF(mois+3&gt;15,BG137,+$AY137+BG137))</f>
        <v>#REF!</v>
      </c>
      <c r="BI137" s="78" t="e">
        <f>IF(mois+3&gt;12,0,IF(mois=12,IF(EXCERCICE="PA",BH137-($CC137/12),IF(EXCERCICE="LB1",BH137-($CF137/12),BH137-($CK137/12))),IF(EXCERCICE="PA",BH137-($CC137/12*(mois+3)),IF(EXCERCICE="LB1",BH137-($CF137/12*(mois+3)),BH137-($CK137/12*(mois+3))))))</f>
        <v>#REF!</v>
      </c>
      <c r="BJ137" s="78"/>
      <c r="BK137" s="215" t="e">
        <f>IF(mois+3&gt;12,0,IF(ISERROR(IF(EXCERCICE="PA",BH137/$CC137,IF(EXCERCICE="LB1",BH137/$CF137,BH137/$CK137))),0,IF(EXCERCICE="PA",BH137/$CC137,IF(EXCERCICE="LB1",BH137/$CF137,BH137/$CK137))))</f>
        <v>#REF!</v>
      </c>
      <c r="BL137" s="226"/>
      <c r="BM137" s="2"/>
      <c r="BN137" s="123" t="e">
        <f>IF(mois&gt;=12,IF(EXCERCICE="PA",CC137-AE137,IF(EXCERCICE="LB1",CF137-AE137,IF(EXCERCICE="LB2",$CK137-AE137))),
IF(mois+1&lt;=13,IF(EXCERCICE="PA",CC137-AO137,IF(EXCERCICE="LB1",CF137-AO137,IF(EXCERCICE="LB2",$CK137-AO137))),
IF(mois+2&lt;=14,IF(EXCERCICE="PA",CC137-AY137,IF(EXCERCICE="LB1",CF137-AY137,IF(EXCERCICE="LB2",$CK137-AY137))),
IF(mois+3&lt;=15,IF(EXCERCICE="PA",CC137-BH137,IF(EXCERCICE="LB1",CF137-BH137,IF(EXCERCICE="LB2",$CK137-BH137))),0))))</f>
        <v>#REF!</v>
      </c>
      <c r="BO137" s="123" t="e">
        <f>IF(BN137&lt;0,0,BN137/(12-mois))</f>
        <v>#REF!</v>
      </c>
      <c r="BP137" s="2"/>
      <c r="BQ137" s="173"/>
      <c r="BR137" s="173"/>
      <c r="BS137" s="173"/>
      <c r="BT137" s="173"/>
      <c r="BU137" s="173"/>
      <c r="BV137" s="173"/>
      <c r="BW137" s="173"/>
      <c r="BX137" s="173"/>
      <c r="BY137" s="173"/>
      <c r="BZ137" s="173"/>
      <c r="CA137" s="173"/>
      <c r="CB137" s="173"/>
      <c r="CC137" s="97"/>
      <c r="CD137" s="209"/>
      <c r="CE137" s="77"/>
      <c r="CF137" s="97"/>
      <c r="CG137" s="136"/>
      <c r="CH137" s="76"/>
      <c r="CI137" s="75"/>
      <c r="CJ137" s="77"/>
      <c r="CK137" s="97"/>
      <c r="CL137" s="136"/>
      <c r="CM137" s="78"/>
    </row>
    <row r="138" spans="2:91" x14ac:dyDescent="0.2">
      <c r="B138" s="72"/>
      <c r="C138" s="73" t="s">
        <v>10</v>
      </c>
      <c r="D138" s="74"/>
      <c r="E138" s="97">
        <f>IF(ISERROR(VLOOKUP(CONCATENATE($B125,E$5),TBCHISTORIQUE,13,FALSE)/1000),0,VLOOKUP(CONCATENATE($B125,E$5),TBCHISTORIQUE,13,FALSE)/1000)</f>
        <v>0</v>
      </c>
      <c r="F138" s="171">
        <f t="shared" ref="F138:P138" si="536">IF(ISERROR(VLOOKUP(CONCATENATE($B$50,F$5),TBCHISTORIQUE,13,FALSE)/1000),0,VLOOKUP(CONCATENATE($B$50,F$5),TBCHISTORIQUE,13,FALSE)/1000)</f>
        <v>0</v>
      </c>
      <c r="G138" s="171">
        <f t="shared" si="536"/>
        <v>0</v>
      </c>
      <c r="H138" s="171">
        <f t="shared" si="536"/>
        <v>0</v>
      </c>
      <c r="I138" s="171">
        <f t="shared" si="536"/>
        <v>0</v>
      </c>
      <c r="J138" s="171">
        <f t="shared" si="536"/>
        <v>0</v>
      </c>
      <c r="K138" s="171">
        <f t="shared" si="536"/>
        <v>0</v>
      </c>
      <c r="L138" s="171">
        <f t="shared" si="536"/>
        <v>0</v>
      </c>
      <c r="M138" s="171">
        <f t="shared" si="536"/>
        <v>0</v>
      </c>
      <c r="N138" s="171">
        <f t="shared" si="536"/>
        <v>0</v>
      </c>
      <c r="O138" s="171">
        <f t="shared" si="536"/>
        <v>0</v>
      </c>
      <c r="P138" s="172">
        <f t="shared" si="536"/>
        <v>0</v>
      </c>
      <c r="Q138" s="190">
        <f>SUMIF($E$5:$P$5,"&lt;="&amp;mois,E138:P138)</f>
        <v>0</v>
      </c>
      <c r="R138" s="74"/>
      <c r="S138" s="97">
        <f t="shared" ref="S138:AD138" si="537">IF(ISERROR(VLOOKUP(CONCATENATE($B125,S$5),TBCA,13,FALSE)/1000),0,VLOOKUP(CONCATENATE($B125,S$5),TBCA,13,FALSE)/1000)</f>
        <v>0</v>
      </c>
      <c r="T138" s="171">
        <f t="shared" si="537"/>
        <v>0</v>
      </c>
      <c r="U138" s="171">
        <f t="shared" si="537"/>
        <v>0</v>
      </c>
      <c r="V138" s="171">
        <f t="shared" si="537"/>
        <v>0</v>
      </c>
      <c r="W138" s="171">
        <f t="shared" si="537"/>
        <v>0</v>
      </c>
      <c r="X138" s="171">
        <f t="shared" si="537"/>
        <v>0</v>
      </c>
      <c r="Y138" s="171">
        <f t="shared" si="537"/>
        <v>0</v>
      </c>
      <c r="Z138" s="171">
        <f t="shared" si="537"/>
        <v>0</v>
      </c>
      <c r="AA138" s="171">
        <f t="shared" si="537"/>
        <v>0</v>
      </c>
      <c r="AB138" s="171">
        <f t="shared" si="537"/>
        <v>0</v>
      </c>
      <c r="AC138" s="171">
        <f t="shared" si="537"/>
        <v>0</v>
      </c>
      <c r="AD138" s="172">
        <f t="shared" si="537"/>
        <v>0</v>
      </c>
      <c r="AE138" s="97">
        <f>SUMIF($S$5:$AD$5,"&lt;="&amp;mois,S138:AD138)</f>
        <v>0</v>
      </c>
      <c r="AF138" s="292"/>
      <c r="AG138" s="107">
        <f>AE138-AF138</f>
        <v>0</v>
      </c>
      <c r="AH138" s="107" t="e">
        <f>IF(EXCERCICE="PA",AE138-($CC138/12*(mois)),IF(EXCERCICE="LB1",AE138-($CF138/12*(mois)),AE138-($CK138/12*(mois))))</f>
        <v>#REF!</v>
      </c>
      <c r="AI138" s="107"/>
      <c r="AJ138" s="215">
        <f>IF(ISERROR(IF(EXCERCICE="PA",AE138/$CC138,IF(EXCERCICE="LB1",AE138/$CF138,AE138/$CK138))),0,IF(EXCERCICE="PA",AE138/$CC138,IF(EXCERCICE="LB1",AE138/$CF138,AE138/$CK138)))</f>
        <v>0</v>
      </c>
      <c r="AK138" s="215"/>
      <c r="AL138" s="75"/>
      <c r="AM138" s="77"/>
      <c r="AN138" s="246"/>
      <c r="AO138" s="97" t="e">
        <f>IF(mois+1&gt;12,AN138,+$AE138+AN138)</f>
        <v>#REF!</v>
      </c>
      <c r="AP138" s="292"/>
      <c r="AQ138" s="107" t="e">
        <f>AO138-AP138</f>
        <v>#REF!</v>
      </c>
      <c r="AR138" s="78" t="e">
        <f>IF(mois+1&gt;12,0,IF(mois=12,IF(EXCERCICE="PA",AO138-($CC138/12),IF(EXCERCICE="LB1",AO138-($CF138/12),AO138-($CK138/12))),IF(EXCERCICE="PA",AO138-($CC138/12*(mois+1)),IF(EXCERCICE="LB1",AO138-($CF138/12*(mois+1)),AO138-($CK138/12*(mois+1))))))</f>
        <v>#REF!</v>
      </c>
      <c r="AS138" s="180"/>
      <c r="AT138" s="215" t="e">
        <f>IF(mois+1&gt;12,0,IF(ISERROR(IF(EXCERCICE="PA",AO138/$CC138,IF(EXCERCICE="LB1",AO138/$CF138,AO138/$CK138))),0,IF(EXCERCICE="PA",AO138/$CC138,IF(EXCERCICE="LB1",AO138/$CF138,AO138/$CK138))))</f>
        <v>#REF!</v>
      </c>
      <c r="AU138" s="226"/>
      <c r="AV138" s="11"/>
      <c r="AW138" s="77"/>
      <c r="AX138" s="246"/>
      <c r="AY138" s="97"/>
      <c r="AZ138" s="292"/>
      <c r="BA138" s="78" t="e">
        <f>IF(mois+2&gt;12,0,IF(mois=12,IF(EXCERCICE="PA",AY138-($CC138/12),IF(EXCERCICE="LB1",AY138-($CF138/12),AY138-($CK138/12))),IF(EXCERCICE="PA",AY138-($CC138/12*(mois+2)),IF(EXCERCICE="LB1",AY138-($CF138/12*(mois+2)),AY138-($CK138/12*(mois+2))))))</f>
        <v>#REF!</v>
      </c>
      <c r="BB138" s="180"/>
      <c r="BC138" s="215" t="e">
        <f>IF(mois+2&gt;12,0,IF(ISERROR(IF(EXCERCICE="PA",AY138/$CC138,IF(EXCERCICE="LB1",AY138/$CF138,AY138/$CK138))),0,IF(EXCERCICE="PA",AY138/$CC138,IF(EXCERCICE="LB1",AY138/$CF138,AY138/$CK138))))</f>
        <v>#REF!</v>
      </c>
      <c r="BD138" s="226"/>
      <c r="BE138" s="75"/>
      <c r="BF138" s="77"/>
      <c r="BG138" s="246"/>
      <c r="BH138" s="97" t="e">
        <f>IF(mois+3=13,BG138,IF(mois+3&gt;15,BG138,+$AY138+BG138))</f>
        <v>#REF!</v>
      </c>
      <c r="BI138" s="78" t="e">
        <f>IF(mois+3&gt;12,0,IF(mois=12,IF(EXCERCICE="PA",BH138-($CC138/12),IF(EXCERCICE="LB1",BH138-($CF138/12),BH138-($CK138/12))),IF(EXCERCICE="PA",BH138-($CC138/12*(mois+3)),IF(EXCERCICE="LB1",BH138-($CF138/12*(mois+3)),BH138-($CK138/12*(mois+3))))))</f>
        <v>#REF!</v>
      </c>
      <c r="BJ138" s="78"/>
      <c r="BK138" s="215" t="e">
        <f>IF(mois+3&gt;12,0,IF(ISERROR(IF(EXCERCICE="PA",BH138/$CC138,IF(EXCERCICE="LB1",BH138/$CF138,BH138/$CK138))),0,IF(EXCERCICE="PA",BH138/$CC138,IF(EXCERCICE="LB1",BH138/$CF138,BH138/$CK138))))</f>
        <v>#REF!</v>
      </c>
      <c r="BL138" s="226"/>
      <c r="BM138" s="2"/>
      <c r="BN138" s="123" t="e">
        <f>IF(mois&gt;=12,IF(EXCERCICE="PA",CC138-AE138,IF(EXCERCICE="LB1",CF138-AE138,IF(EXCERCICE="LB2",$CK138-AE138))),
IF(mois+1&lt;=13,IF(EXCERCICE="PA",CC138-AO138,IF(EXCERCICE="LB1",CF138-AO138,IF(EXCERCICE="LB2",$CK138-AO138))),
IF(mois+2&lt;=14,IF(EXCERCICE="PA",CC138-AY138,IF(EXCERCICE="LB1",CF138-AY138,IF(EXCERCICE="LB2",$CK138-AY138))),
IF(mois+3&lt;=15,IF(EXCERCICE="PA",CC138-BH138,IF(EXCERCICE="LB1",CF138-BH138,IF(EXCERCICE="LB2",$CK138-BH138))),0))))</f>
        <v>#REF!</v>
      </c>
      <c r="BO138" s="123" t="e">
        <f>IF(BN138&lt;0,0,BN138/(12-mois))</f>
        <v>#REF!</v>
      </c>
      <c r="BP138" s="2"/>
      <c r="BQ138" s="173"/>
      <c r="BR138" s="173"/>
      <c r="BS138" s="173"/>
      <c r="BT138" s="173"/>
      <c r="BU138" s="173"/>
      <c r="BV138" s="173"/>
      <c r="BW138" s="173"/>
      <c r="BX138" s="173"/>
      <c r="BY138" s="173"/>
      <c r="BZ138" s="173"/>
      <c r="CA138" s="173"/>
      <c r="CB138" s="173"/>
      <c r="CC138" s="97"/>
      <c r="CD138" s="209"/>
      <c r="CE138" s="77"/>
      <c r="CF138" s="97"/>
      <c r="CG138" s="136"/>
      <c r="CH138" s="76"/>
      <c r="CI138" s="75"/>
      <c r="CJ138" s="77"/>
      <c r="CK138" s="97"/>
      <c r="CL138" s="136"/>
      <c r="CM138" s="78"/>
    </row>
    <row r="139" spans="2:91" x14ac:dyDescent="0.2">
      <c r="B139" s="56"/>
      <c r="C139" s="79" t="s">
        <v>64</v>
      </c>
      <c r="D139" s="51"/>
      <c r="E139" s="98">
        <f>E134+SUM(E137:E138)</f>
        <v>0</v>
      </c>
      <c r="F139" s="14">
        <f t="shared" ref="F139" si="538">F134+SUM(F137:F138)</f>
        <v>0</v>
      </c>
      <c r="G139" s="14">
        <f t="shared" ref="G139" si="539">G134+SUM(G137:G138)</f>
        <v>0</v>
      </c>
      <c r="H139" s="14">
        <f t="shared" ref="H139" si="540">H134+SUM(H137:H138)</f>
        <v>0</v>
      </c>
      <c r="I139" s="14">
        <f t="shared" ref="I139" si="541">I134+SUM(I137:I138)</f>
        <v>0</v>
      </c>
      <c r="J139" s="14">
        <f t="shared" ref="J139" si="542">J134+SUM(J137:J138)</f>
        <v>0</v>
      </c>
      <c r="K139" s="14">
        <f t="shared" ref="K139" si="543">K134+SUM(K137:K138)</f>
        <v>0</v>
      </c>
      <c r="L139" s="14">
        <f t="shared" ref="L139" si="544">L134+SUM(L137:L138)</f>
        <v>0</v>
      </c>
      <c r="M139" s="14">
        <f t="shared" ref="M139" si="545">M134+SUM(M137:M138)</f>
        <v>0</v>
      </c>
      <c r="N139" s="14">
        <f t="shared" ref="N139" si="546">N134+SUM(N137:N138)</f>
        <v>0</v>
      </c>
      <c r="O139" s="14">
        <f t="shared" ref="O139" si="547">O134+SUM(O137:O138)</f>
        <v>0</v>
      </c>
      <c r="P139" s="14">
        <f t="shared" ref="P139" si="548">P134+SUM(P137:P138)</f>
        <v>0</v>
      </c>
      <c r="Q139" s="191">
        <f>Q134+SUM(Q137:Q138)</f>
        <v>0</v>
      </c>
      <c r="R139" s="51"/>
      <c r="S139" s="98">
        <f>S134+SUM(S137:S138)</f>
        <v>0</v>
      </c>
      <c r="T139" s="14">
        <f t="shared" ref="T139" si="549">T134+SUM(T137:T138)</f>
        <v>0</v>
      </c>
      <c r="U139" s="14">
        <f t="shared" ref="U139" si="550">U134+SUM(U137:U138)</f>
        <v>0</v>
      </c>
      <c r="V139" s="14">
        <f t="shared" ref="V139" si="551">V134+SUM(V137:V138)</f>
        <v>0</v>
      </c>
      <c r="W139" s="14">
        <f t="shared" ref="W139" si="552">W134+SUM(W137:W138)</f>
        <v>0</v>
      </c>
      <c r="X139" s="14">
        <f t="shared" ref="X139" si="553">X134+SUM(X137:X138)</f>
        <v>0</v>
      </c>
      <c r="Y139" s="14">
        <f t="shared" ref="Y139" si="554">Y134+SUM(Y137:Y138)</f>
        <v>0</v>
      </c>
      <c r="Z139" s="14">
        <f t="shared" ref="Z139" si="555">Z134+SUM(Z137:Z138)</f>
        <v>0</v>
      </c>
      <c r="AA139" s="14">
        <f t="shared" ref="AA139" si="556">AA134+SUM(AA137:AA138)</f>
        <v>0</v>
      </c>
      <c r="AB139" s="14">
        <f t="shared" ref="AB139" si="557">AB134+SUM(AB137:AB138)</f>
        <v>0</v>
      </c>
      <c r="AC139" s="14">
        <f t="shared" ref="AC139" si="558">AC134+SUM(AC137:AC138)</f>
        <v>0</v>
      </c>
      <c r="AD139" s="14">
        <f t="shared" ref="AD139" si="559">AD134+SUM(AD137:AD138)</f>
        <v>0</v>
      </c>
      <c r="AE139" s="98">
        <f>AE134+SUM(AE137:AE138)</f>
        <v>0</v>
      </c>
      <c r="AF139" s="297"/>
      <c r="AG139" s="108">
        <f>AE139-AF139</f>
        <v>0</v>
      </c>
      <c r="AH139" s="108" t="e">
        <f>IF(EXCERCICE="PA",AE139-($CC139/12*(mois)),IF(EXCERCICE="LB1",AE139-($CF139/12*(mois)),AE139-($CK139/12*(mois))))</f>
        <v>#REF!</v>
      </c>
      <c r="AI139" s="108"/>
      <c r="AJ139" s="201">
        <f>IF(ISERROR(IF(EXCERCICE="PA",AE139/$CC139,IF(EXCERCICE="LB1",AE139/$CF139,AE139/$CK139))),0,IF(EXCERCICE="PA",AE139/$CC139,IF(EXCERCICE="LB1",AE139/$CF139,AE139/$CK139)))</f>
        <v>0</v>
      </c>
      <c r="AK139" s="201"/>
      <c r="AL139" s="52"/>
      <c r="AM139" s="54"/>
      <c r="AN139" s="247"/>
      <c r="AO139" s="98" t="e">
        <f>AO134+SUM(AO137:AO138)</f>
        <v>#REF!</v>
      </c>
      <c r="AP139" s="297"/>
      <c r="AQ139" s="108" t="e">
        <f>AO139-AP139</f>
        <v>#REF!</v>
      </c>
      <c r="AR139" s="14" t="e">
        <f>AR134+SUM(AR137:AR138)</f>
        <v>#REF!</v>
      </c>
      <c r="AS139" s="108"/>
      <c r="AT139" s="201" t="e">
        <f>IF(mois+1&gt;12,0,IF(ISERROR(IF(EXCERCICE="PA",AO139/$CC139,IF(EXCERCICE="LB1",AO139/$CF139,AO139/$CK139))),0,IF(EXCERCICE="PA",AO139/$CC139,IF(EXCERCICE="LB1",AO139/$CF139,AO139/$CK139))))</f>
        <v>#REF!</v>
      </c>
      <c r="AU139" s="227"/>
      <c r="AV139" s="11"/>
      <c r="AW139" s="54"/>
      <c r="AX139" s="247"/>
      <c r="AY139" s="98"/>
      <c r="AZ139" s="297"/>
      <c r="BA139" s="14" t="e">
        <f>BA134+SUM(BA137:BA138)</f>
        <v>#REF!</v>
      </c>
      <c r="BB139" s="108"/>
      <c r="BC139" s="201" t="e">
        <f>IF(mois+2&gt;12,0,IF(ISERROR(IF(EXCERCICE="PA",AY139/$CC139,IF(EXCERCICE="LB1",AY139/$CF139,AY139/$CK139))),0,IF(EXCERCICE="PA",AY139/$CC139,IF(EXCERCICE="LB1",AY139/$CF139,AY139/$CK139))))</f>
        <v>#REF!</v>
      </c>
      <c r="BD139" s="227"/>
      <c r="BE139" s="52"/>
      <c r="BF139" s="54"/>
      <c r="BG139" s="247"/>
      <c r="BH139" s="98" t="e">
        <f>BH134+SUM(BH137:BH138)</f>
        <v>#REF!</v>
      </c>
      <c r="BI139" s="14" t="e">
        <f>BI134+SUM(BI137:BI138)</f>
        <v>#REF!</v>
      </c>
      <c r="BJ139" s="14"/>
      <c r="BK139" s="201" t="e">
        <f>IF(mois+3&gt;12,0,IF(ISERROR(IF(EXCERCICE="PA",BH139/$CC139,IF(EXCERCICE="LB1",BH139/$CF139,BH139/$CK139))),0,IF(EXCERCICE="PA",BH139/$CC139,IF(EXCERCICE="LB1",BH139/$CF139,BH139/$CK139))))</f>
        <v>#REF!</v>
      </c>
      <c r="BL139" s="227"/>
      <c r="BM139" s="2"/>
      <c r="BN139" s="235" t="e">
        <f>IF(mois&gt;=12,IF(EXCERCICE="PA",CC139-AE139,IF(EXCERCICE="LB1",CF139-AE139,IF(EXCERCICE="LB2",$CK139-AE139))),
IF(mois+1&lt;=13,IF(EXCERCICE="PA",CC139-AO139,IF(EXCERCICE="LB1",CF139-AO139,IF(EXCERCICE="LB2",$CK139-AO139))),
IF(mois+2&lt;=14,IF(EXCERCICE="PA",CC139-AY139,IF(EXCERCICE="LB1",CF139-AY139,IF(EXCERCICE="LB2",$CK139-AY139))),
IF(mois+3&lt;=15,IF(EXCERCICE="PA",CC139-BH139,IF(EXCERCICE="LB1",CF139-BH139,IF(EXCERCICE="LB2",$CK139-BH139))),0))))</f>
        <v>#REF!</v>
      </c>
      <c r="BO139" s="235" t="e">
        <f>IF(BN139&lt;0,0,BN139/(12-mois))</f>
        <v>#REF!</v>
      </c>
      <c r="BP139" s="2"/>
      <c r="BQ139" s="173"/>
      <c r="BR139" s="173"/>
      <c r="BS139" s="173"/>
      <c r="BT139" s="173"/>
      <c r="BU139" s="173"/>
      <c r="BV139" s="173"/>
      <c r="BW139" s="173"/>
      <c r="BX139" s="173"/>
      <c r="BY139" s="173"/>
      <c r="BZ139" s="173"/>
      <c r="CA139" s="173"/>
      <c r="CB139" s="173"/>
      <c r="CC139" s="98"/>
      <c r="CD139" s="210"/>
      <c r="CE139" s="54"/>
      <c r="CF139" s="98"/>
      <c r="CG139" s="127"/>
      <c r="CH139" s="80"/>
      <c r="CI139" s="52"/>
      <c r="CJ139" s="54"/>
      <c r="CK139" s="98"/>
      <c r="CL139" s="127"/>
      <c r="CM139" s="14"/>
    </row>
    <row r="140" spans="2:91" x14ac:dyDescent="0.2">
      <c r="B140" s="60"/>
      <c r="C140" s="257" t="s">
        <v>65</v>
      </c>
      <c r="E140" s="61" t="str">
        <f>IF(E133=0,"-",E139/E133)</f>
        <v>-</v>
      </c>
      <c r="F140" s="7" t="str">
        <f t="shared" ref="F140" si="560">IF(F133=0,"-",F139/F133)</f>
        <v>-</v>
      </c>
      <c r="G140" s="7" t="str">
        <f t="shared" ref="G140" si="561">IF(G133=0,"-",G139/G133)</f>
        <v>-</v>
      </c>
      <c r="H140" s="7" t="str">
        <f t="shared" ref="H140" si="562">IF(H133=0,"-",H139/H133)</f>
        <v>-</v>
      </c>
      <c r="I140" s="7" t="str">
        <f t="shared" ref="I140" si="563">IF(I133=0,"-",I139/I133)</f>
        <v>-</v>
      </c>
      <c r="J140" s="7" t="str">
        <f t="shared" ref="J140" si="564">IF(J133=0,"-",J139/J133)</f>
        <v>-</v>
      </c>
      <c r="K140" s="7" t="str">
        <f t="shared" ref="K140" si="565">IF(K133=0,"-",K139/K133)</f>
        <v>-</v>
      </c>
      <c r="L140" s="7" t="str">
        <f t="shared" ref="L140" si="566">IF(L133=0,"-",L139/L133)</f>
        <v>-</v>
      </c>
      <c r="M140" s="7" t="str">
        <f t="shared" ref="M140" si="567">IF(M133=0,"-",M139/M133)</f>
        <v>-</v>
      </c>
      <c r="N140" s="7" t="str">
        <f t="shared" ref="N140" si="568">IF(N133=0,"-",N139/N133)</f>
        <v>-</v>
      </c>
      <c r="O140" s="7" t="str">
        <f t="shared" ref="O140" si="569">IF(O133=0,"-",O139/O133)</f>
        <v>-</v>
      </c>
      <c r="P140" s="7" t="str">
        <f t="shared" ref="P140" si="570">IF(P133=0,"-",P139/P133)</f>
        <v>-</v>
      </c>
      <c r="Q140" s="186" t="str">
        <f t="shared" ref="Q140" si="571">IF(Q133=0,"-",Q139/Q133)</f>
        <v>-</v>
      </c>
      <c r="S140" s="61" t="str">
        <f>IF(S133=0,"-",S139/S133)</f>
        <v>-</v>
      </c>
      <c r="T140" s="7" t="str">
        <f t="shared" ref="T140" si="572">IF(T133=0,"-",T139/T133)</f>
        <v>-</v>
      </c>
      <c r="U140" s="7" t="str">
        <f t="shared" ref="U140" si="573">IF(U133=0,"-",U139/U133)</f>
        <v>-</v>
      </c>
      <c r="V140" s="7" t="str">
        <f t="shared" ref="V140" si="574">IF(V133=0,"-",V139/V133)</f>
        <v>-</v>
      </c>
      <c r="W140" s="7" t="str">
        <f t="shared" ref="W140" si="575">IF(W133=0,"-",W139/W133)</f>
        <v>-</v>
      </c>
      <c r="X140" s="7" t="str">
        <f t="shared" ref="X140" si="576">IF(X133=0,"-",X139/X133)</f>
        <v>-</v>
      </c>
      <c r="Y140" s="7" t="str">
        <f t="shared" ref="Y140" si="577">IF(Y133=0,"-",Y139/Y133)</f>
        <v>-</v>
      </c>
      <c r="Z140" s="7" t="str">
        <f t="shared" ref="Z140" si="578">IF(Z133=0,"-",Z139/Z133)</f>
        <v>-</v>
      </c>
      <c r="AA140" s="7" t="str">
        <f t="shared" ref="AA140" si="579">IF(AA133=0,"-",AA139/AA133)</f>
        <v>-</v>
      </c>
      <c r="AB140" s="7" t="str">
        <f t="shared" ref="AB140" si="580">IF(AB133=0,"-",AB139/AB133)</f>
        <v>-</v>
      </c>
      <c r="AC140" s="7" t="str">
        <f t="shared" ref="AC140" si="581">IF(AC133=0,"-",AC139/AC133)</f>
        <v>-</v>
      </c>
      <c r="AD140" s="62" t="str">
        <f t="shared" ref="AD140:AE140" si="582">IF(AD133=0,"-",AD139/AD133)</f>
        <v>-</v>
      </c>
      <c r="AE140" s="61" t="str">
        <f t="shared" si="582"/>
        <v>-</v>
      </c>
      <c r="AF140" s="293"/>
      <c r="AG140" s="103" t="str">
        <f t="shared" ref="AG140:AH140" si="583">IF(AG133=0,"-",AG139/AG133)</f>
        <v>-</v>
      </c>
      <c r="AH140" s="103" t="e">
        <f t="shared" si="583"/>
        <v>#REF!</v>
      </c>
      <c r="AI140" s="103"/>
      <c r="AJ140" s="197"/>
      <c r="AK140" s="197"/>
      <c r="AL140" s="58"/>
      <c r="AM140" s="11"/>
      <c r="AN140" s="249"/>
      <c r="AO140" s="61" t="e">
        <f t="shared" ref="AO140" si="584">IF(AO133=0,"-",AO139/AO133)</f>
        <v>#REF!</v>
      </c>
      <c r="AP140" s="293"/>
      <c r="AQ140" s="103" t="e">
        <f t="shared" ref="AQ140" si="585">IF(AQ133=0,"-",AQ139/AQ133)</f>
        <v>#REF!</v>
      </c>
      <c r="AR140" s="7"/>
      <c r="AS140" s="103"/>
      <c r="AT140" s="197"/>
      <c r="AU140" s="222"/>
      <c r="AV140" s="11"/>
      <c r="AW140" s="11"/>
      <c r="AX140" s="249"/>
      <c r="AY140" s="61"/>
      <c r="AZ140" s="293"/>
      <c r="BA140" s="7" t="e">
        <f t="shared" ref="BA140" si="586">IF(BA133=0,"-",BA139/BA133)</f>
        <v>#REF!</v>
      </c>
      <c r="BB140" s="103"/>
      <c r="BC140" s="197"/>
      <c r="BD140" s="222"/>
      <c r="BE140" s="58"/>
      <c r="BF140" s="11"/>
      <c r="BG140" s="249"/>
      <c r="BH140" s="61" t="e">
        <f t="shared" ref="BH140:BI140" si="587">IF(BH133=0,"-",BH139/BH133)</f>
        <v>#REF!</v>
      </c>
      <c r="BI140" s="7" t="e">
        <f t="shared" si="587"/>
        <v>#REF!</v>
      </c>
      <c r="BJ140" s="7"/>
      <c r="BK140" s="197"/>
      <c r="BL140" s="222"/>
      <c r="BM140" s="2"/>
      <c r="BN140" s="63"/>
      <c r="BO140" s="63"/>
      <c r="BP140" s="2"/>
      <c r="BQ140" s="173"/>
      <c r="BR140" s="173"/>
      <c r="BS140" s="173"/>
      <c r="BT140" s="173"/>
      <c r="BU140" s="173"/>
      <c r="BV140" s="173"/>
      <c r="BW140" s="173"/>
      <c r="BX140" s="173"/>
      <c r="BY140" s="173"/>
      <c r="BZ140" s="173"/>
      <c r="CA140" s="173"/>
      <c r="CB140" s="173"/>
      <c r="CC140" s="61"/>
      <c r="CD140" s="204"/>
      <c r="CE140" s="11"/>
      <c r="CF140" s="61"/>
      <c r="CG140" s="134"/>
      <c r="CH140" s="61"/>
      <c r="CI140" s="58"/>
      <c r="CJ140" s="11"/>
      <c r="CK140" s="61"/>
      <c r="CL140" s="134"/>
      <c r="CM140" s="145"/>
    </row>
    <row r="141" spans="2:91" x14ac:dyDescent="0.2">
      <c r="AE141" s="2"/>
    </row>
    <row r="142" spans="2:91" x14ac:dyDescent="0.2">
      <c r="AE142" s="2"/>
    </row>
    <row r="143" spans="2:91" x14ac:dyDescent="0.2">
      <c r="AE143" s="2"/>
    </row>
    <row r="144" spans="2:91" x14ac:dyDescent="0.2">
      <c r="AE144" s="2"/>
    </row>
    <row r="145" spans="2:91" x14ac:dyDescent="0.2">
      <c r="B145" s="251"/>
      <c r="C145" s="252"/>
      <c r="AE145" s="2"/>
    </row>
    <row r="146" spans="2:91" x14ac:dyDescent="0.2">
      <c r="AE146" s="2"/>
    </row>
    <row r="147" spans="2:91" x14ac:dyDescent="0.2">
      <c r="B147" s="49"/>
      <c r="C147" s="50" t="s">
        <v>57</v>
      </c>
      <c r="D147" s="51"/>
      <c r="E147" s="92">
        <f t="shared" ref="E147:P147" si="588">IF(ISERROR(VLOOKUP(CONCATENATE($B145,E$5),TBCHISTORIQUE,7,FALSE)/1000),0,VLOOKUP(CONCATENATE($B145,E$5),TBCHISTORIQUE,7,FALSE)/1000)</f>
        <v>0</v>
      </c>
      <c r="F147" s="93">
        <f t="shared" si="588"/>
        <v>0</v>
      </c>
      <c r="G147" s="93">
        <f t="shared" si="588"/>
        <v>0</v>
      </c>
      <c r="H147" s="93">
        <f t="shared" si="588"/>
        <v>0</v>
      </c>
      <c r="I147" s="93">
        <f t="shared" si="588"/>
        <v>0</v>
      </c>
      <c r="J147" s="93">
        <f t="shared" si="588"/>
        <v>0</v>
      </c>
      <c r="K147" s="93">
        <f t="shared" si="588"/>
        <v>0</v>
      </c>
      <c r="L147" s="93">
        <f t="shared" si="588"/>
        <v>0</v>
      </c>
      <c r="M147" s="93">
        <f t="shared" si="588"/>
        <v>0</v>
      </c>
      <c r="N147" s="93">
        <f t="shared" si="588"/>
        <v>0</v>
      </c>
      <c r="O147" s="93">
        <f t="shared" si="588"/>
        <v>0</v>
      </c>
      <c r="P147" s="94">
        <f t="shared" si="588"/>
        <v>0</v>
      </c>
      <c r="Q147" s="184">
        <f>SUMIF($E$5:$P$5,"&lt;="&amp;mois,E147:P147)</f>
        <v>0</v>
      </c>
      <c r="R147" s="51"/>
      <c r="S147" s="92">
        <f>IF(ISERROR(VLOOKUP(CONCATENATE($B145,S$5),TBCA,7,FALSE)/1000),0,VLOOKUP(CONCATENATE($B145,S$5),TBCA,7,FALSE)/1000)</f>
        <v>0</v>
      </c>
      <c r="T147" s="93">
        <f t="shared" ref="T147:AD147" si="589">IF(ISERROR(VLOOKUP(CONCATENATE($B$85,T$5),TBCA,7,FALSE)/1000),0,VLOOKUP(CONCATENATE($B$85,T$5),TBCA,7,FALSE)/1000)</f>
        <v>0</v>
      </c>
      <c r="U147" s="93">
        <f t="shared" si="589"/>
        <v>0</v>
      </c>
      <c r="V147" s="93">
        <f t="shared" si="589"/>
        <v>0</v>
      </c>
      <c r="W147" s="93">
        <f t="shared" si="589"/>
        <v>0</v>
      </c>
      <c r="X147" s="93">
        <f t="shared" si="589"/>
        <v>0</v>
      </c>
      <c r="Y147" s="93">
        <f t="shared" si="589"/>
        <v>0</v>
      </c>
      <c r="Z147" s="93">
        <f t="shared" si="589"/>
        <v>0</v>
      </c>
      <c r="AA147" s="93">
        <f t="shared" si="589"/>
        <v>0</v>
      </c>
      <c r="AB147" s="93">
        <f t="shared" si="589"/>
        <v>0</v>
      </c>
      <c r="AC147" s="93">
        <f t="shared" si="589"/>
        <v>0</v>
      </c>
      <c r="AD147" s="94">
        <f t="shared" si="589"/>
        <v>0</v>
      </c>
      <c r="AE147" s="92">
        <f>SUMIF($S$5:$AD$5,"&lt;="&amp;mois,S147:AD147)</f>
        <v>0</v>
      </c>
      <c r="AF147" s="291"/>
      <c r="AG147" s="101">
        <f>AE147-AF147</f>
        <v>0</v>
      </c>
      <c r="AH147" s="101" t="e">
        <f>IF(EXCERCICE="PA",AE147-($CC147/12*(mois)),IF(EXCERCICE="LB1",AE147-($CF147/12*(mois)),AE147-($CK147/12*(mois))))</f>
        <v>#REF!</v>
      </c>
      <c r="AI147" s="174">
        <f>IF(ISERROR(AE147/Q147),0,AE147/Q147)</f>
        <v>0</v>
      </c>
      <c r="AJ147" s="213">
        <f>IF(ISERROR(IF(EXCERCICE="PA",AE147/$CC147,IF(EXCERCICE="LB1",AE147/$CF147,AE147/$CK147))),0,IF(EXCERCICE="PA",AE147/$CC147,IF(EXCERCICE="LB1",AE147/$CF147,AE147/$CK147)))</f>
        <v>0</v>
      </c>
      <c r="AK147" s="213" t="str">
        <f>IF(ISERROR(AE147/HLOOKUP(mois,$BQ$5:$CB$39,3,FALSE)),"",AE147/HLOOKUP(mois,$BQ$5:$CB$39,3,FALSE))</f>
        <v/>
      </c>
      <c r="AL147" s="52"/>
      <c r="AM147" s="54"/>
      <c r="AN147" s="242"/>
      <c r="AO147" s="92" t="e">
        <f>IF(mois+1&gt;12,AN147,+$AE147+AN147)</f>
        <v>#REF!</v>
      </c>
      <c r="AP147" s="291"/>
      <c r="AQ147" s="101" t="e">
        <f>AO147-AP147</f>
        <v>#REF!</v>
      </c>
      <c r="AR147" s="55" t="e">
        <f>IF(mois+1&gt;12,0,IF(mois=12,IF(EXCERCICE="PA",AO147-($CC147/12),IF(EXCERCICE="LB1",AO147-($CF147/12),AO147-($CK147/12))),IF(EXCERCICE="PA",AO147-($CC147/12*(mois+1)),IF(EXCERCICE="LB1",AO147-($CF147/12*(mois+1)),AO147-($CK147/12*(mois+1))))))</f>
        <v>#REF!</v>
      </c>
      <c r="AS147" s="174" t="e">
        <f>IF(AO147=0,0,IF(mois+1&gt;12,AO147/SUMPRODUCT((($S$6:$U$6)&lt;=mois+1)*$S147:$U147),AO147/SUMPRODUCT((($E$5:$P$5)&lt;=mois+1)*$E147:$P147)))</f>
        <v>#REF!</v>
      </c>
      <c r="AT147" s="213" t="e">
        <f>IF(mois+1&gt;12,0,IF(ISERROR(IF(EXCERCICE="PA",AO147/$CC147,IF(EXCERCICE="LB1",AO147/$CF147,AO147/$CK147))),0,IF(EXCERCICE="PA",AO147/$CC147,IF(EXCERCICE="LB1",AO147/$CF147,AO147/$CK147))))</f>
        <v>#REF!</v>
      </c>
      <c r="AU147" s="220" t="str">
        <f>IF(ISERROR(AO147/HLOOKUP(mois+1,$BQ$5:$CB$39,3,FALSE)),"",AO147/HLOOKUP(mois+1,$BQ$5:$CB$39,3,FALSE))</f>
        <v/>
      </c>
      <c r="AV147" s="11"/>
      <c r="AW147" s="54"/>
      <c r="AX147" s="242"/>
      <c r="AY147" s="92"/>
      <c r="AZ147" s="291"/>
      <c r="BA147" s="55" t="e">
        <f>IF(mois+2&gt;12,0,IF(mois=12,IF(EXCERCICE="PA",AY147-($CC147/12),IF(EXCERCICE="LB1",AY147-($CF147/12),AY147-($CK147/12))),IF(EXCERCICE="PA",AY147-($CC147/12*(mois+2)),IF(EXCERCICE="LB1",AY147-($CF147/12*(mois+2)),AY147-($CK147/12*(mois+2))))))</f>
        <v>#REF!</v>
      </c>
      <c r="BB147" s="176">
        <f>IF(AY147=0,0,IF(mois+1&gt;12,AY147/SUMPRODUCT((($S$6:$U$6)&lt;=mois+2)*$S147:$U147),AY147/SUMPRODUCT((($E$5:$P$5)&lt;=mois+2)*$E147:$P147)))</f>
        <v>0</v>
      </c>
      <c r="BC147" s="213" t="e">
        <f>IF(mois+2&gt;12,0,IF(ISERROR(IF(EXCERCICE="PA",AY147/$CC147,IF(EXCERCICE="LB1",AY147/$CF147,AY147/$CK147))),0,IF(EXCERCICE="PA",AY147/$CC147,IF(EXCERCICE="LB1",AY147/$CF147,AY147/$CK147))))</f>
        <v>#REF!</v>
      </c>
      <c r="BD147" s="220" t="str">
        <f>IF(ISERROR(AY147/HLOOKUP(mois+2,$BQ$5:$CB$39,3,FALSE)),"",AY147/HLOOKUP(mois+2,$BQ$5:$CB$39,3,FALSE))</f>
        <v/>
      </c>
      <c r="BE147" s="52"/>
      <c r="BF147" s="54"/>
      <c r="BG147" s="242"/>
      <c r="BH147" s="92" t="e">
        <f>IF(mois+3=13,BG147,IF(mois+3&gt;15,BG147,+$AY147+BG147))</f>
        <v>#REF!</v>
      </c>
      <c r="BI147" s="55" t="e">
        <f>IF(mois+3&gt;12,0,IF(mois=12,IF(EXCERCICE="PA",BH147-($CC147/12),IF(EXCERCICE="LB1",BH147-($CF147/12),BH147-($CK147/12))),IF(EXCERCICE="PA",BH147-($CC147/12*(mois+3)),IF(EXCERCICE="LB1",BH147-($CF147/12*(mois+3)),BH147-($CK147/12*(mois+3))))))</f>
        <v>#REF!</v>
      </c>
      <c r="BJ147" s="176" t="e">
        <f>IF(BH147=0,0,IF(mois+1&gt;12,BH147/SUMPRODUCT((($S$6:$U$6)&lt;=mois+3)*$S147:$U147),BH147/SUMPRODUCT((($E$5:$P$5)&lt;=mois+3)*$E147:$P147)))</f>
        <v>#REF!</v>
      </c>
      <c r="BK147" s="213" t="e">
        <f>IF(mois+3&gt;12,0,IF(ISERROR(IF(EXCERCICE="PA",BH147/$CC147,IF(EXCERCICE="LB1",BH147/$CF147,BH147/$CK147))),0,IF(EXCERCICE="PA",BH147/$CC147,IF(EXCERCICE="LB1",BH147/$CF147,BH147/$CK147))))</f>
        <v>#REF!</v>
      </c>
      <c r="BL147" s="220" t="str">
        <f>IF(ISERROR(BH147/HLOOKUP(mois+3,$BQ$5:$CB$39,3,FALSE)),"",BH147/HLOOKUP(mois+3,$BQ$5:$CB$39,3,FALSE))</f>
        <v/>
      </c>
      <c r="BM147" s="2"/>
      <c r="BN147" s="130" t="e">
        <f>IF(mois&gt;=12,IF(EXCERCICE="PA",CC147-AE147,IF(EXCERCICE="LB1",CF147-AE147,IF(EXCERCICE="LB2",$CK147-AE147))),
IF(mois+1&lt;=13,IF(EXCERCICE="PA",CC147-AO147,IF(EXCERCICE="LB1",CF147-AO147,IF(EXCERCICE="LB2",$CK147-AO147))),
IF(mois+2&lt;=14,IF(EXCERCICE="PA",CC147-AY147,IF(EXCERCICE="LB1",CF147-AY147,IF(EXCERCICE="LB2",$CK147-AY147))),
IF(mois+3&lt;=15,IF(EXCERCICE="PA",CC147-BH147,IF(EXCERCICE="LB1",CF147-BH147,IF(EXCERCICE="LB2",$CK147-BH147))),0))))</f>
        <v>#REF!</v>
      </c>
      <c r="BO147" s="231" t="e">
        <f>IF(BN147&lt;0,0,BN147/(12-mois))</f>
        <v>#REF!</v>
      </c>
      <c r="BQ147" s="196"/>
      <c r="BR147" s="196"/>
      <c r="BS147" s="196"/>
      <c r="BT147" s="196"/>
      <c r="BU147" s="196"/>
      <c r="BV147" s="196"/>
      <c r="BW147" s="196"/>
      <c r="BX147" s="196"/>
      <c r="BY147" s="196"/>
      <c r="BZ147" s="196"/>
      <c r="CA147" s="196"/>
      <c r="CB147" s="196"/>
      <c r="CC147" s="130"/>
      <c r="CD147" s="237"/>
      <c r="CE147" s="54"/>
      <c r="CF147" s="130"/>
      <c r="CG147" s="126"/>
      <c r="CH147" s="55"/>
      <c r="CI147" s="52"/>
      <c r="CJ147" s="54"/>
      <c r="CK147" s="130"/>
      <c r="CL147" s="126"/>
      <c r="CM147" s="55"/>
    </row>
    <row r="148" spans="2:91" x14ac:dyDescent="0.2">
      <c r="B148" s="56"/>
      <c r="C148" s="57" t="s">
        <v>61</v>
      </c>
      <c r="D148" s="2"/>
      <c r="E148" s="95">
        <f t="shared" ref="E148:P148" si="590">IF(ISERROR(VLOOKUP(CONCATENATE($B145,E$5),TBCHISTORIQUE,8,FALSE)/1000),0,VLOOKUP(CONCATENATE($B145,E$5),TBCHISTORIQUE,8,FALSE)/1000)</f>
        <v>0</v>
      </c>
      <c r="F148" s="167">
        <f t="shared" si="590"/>
        <v>0</v>
      </c>
      <c r="G148" s="167">
        <f t="shared" si="590"/>
        <v>0</v>
      </c>
      <c r="H148" s="167">
        <f t="shared" si="590"/>
        <v>0</v>
      </c>
      <c r="I148" s="167">
        <f t="shared" si="590"/>
        <v>0</v>
      </c>
      <c r="J148" s="167">
        <f t="shared" si="590"/>
        <v>0</v>
      </c>
      <c r="K148" s="167">
        <f t="shared" si="590"/>
        <v>0</v>
      </c>
      <c r="L148" s="167">
        <f t="shared" si="590"/>
        <v>0</v>
      </c>
      <c r="M148" s="167">
        <f t="shared" si="590"/>
        <v>0</v>
      </c>
      <c r="N148" s="167">
        <f t="shared" si="590"/>
        <v>0</v>
      </c>
      <c r="O148" s="167">
        <f t="shared" si="590"/>
        <v>0</v>
      </c>
      <c r="P148" s="168">
        <f t="shared" si="590"/>
        <v>0</v>
      </c>
      <c r="Q148" s="185">
        <f>SUMIF($E$5:$P$5,"&lt;="&amp;mois,E148:P148)</f>
        <v>0</v>
      </c>
      <c r="R148" s="2"/>
      <c r="S148" s="95">
        <f t="shared" ref="S148:AD148" si="591">IF(ISERROR(VLOOKUP(CONCATENATE($B145,S$5),TBCA,8,FALSE)/1000),0,VLOOKUP(CONCATENATE($B145,S$5),TBCA,8,FALSE)/1000)</f>
        <v>0</v>
      </c>
      <c r="T148" s="167">
        <f t="shared" si="591"/>
        <v>0</v>
      </c>
      <c r="U148" s="167">
        <f t="shared" si="591"/>
        <v>0</v>
      </c>
      <c r="V148" s="167">
        <f t="shared" si="591"/>
        <v>0</v>
      </c>
      <c r="W148" s="167">
        <f t="shared" si="591"/>
        <v>0</v>
      </c>
      <c r="X148" s="167">
        <f t="shared" si="591"/>
        <v>0</v>
      </c>
      <c r="Y148" s="167">
        <f t="shared" si="591"/>
        <v>0</v>
      </c>
      <c r="Z148" s="167">
        <f t="shared" si="591"/>
        <v>0</v>
      </c>
      <c r="AA148" s="167">
        <f t="shared" si="591"/>
        <v>0</v>
      </c>
      <c r="AB148" s="167">
        <f t="shared" si="591"/>
        <v>0</v>
      </c>
      <c r="AC148" s="167">
        <f t="shared" si="591"/>
        <v>0</v>
      </c>
      <c r="AD148" s="168">
        <f t="shared" si="591"/>
        <v>0</v>
      </c>
      <c r="AE148" s="95">
        <f>SUMIF($S$5:$AD$5,"&lt;="&amp;mois,S148:AD148)</f>
        <v>0</v>
      </c>
      <c r="AF148" s="292"/>
      <c r="AG148" s="102">
        <f>AE148-AF148</f>
        <v>0</v>
      </c>
      <c r="AH148" s="102" t="e">
        <f>IF(EXCERCICE="PA",AE148-($CC148/12*(mois)),IF(EXCERCICE="LB1",AE148-($CF148/12*(mois)),AE148-($CK148/12*(mois))))</f>
        <v>#REF!</v>
      </c>
      <c r="AI148" s="102"/>
      <c r="AJ148" s="212">
        <f>IF(ISERROR(IF(EXCERCICE="PA",AE148/$CC148,IF(EXCERCICE="LB1",AE148/$CF148,AE148/$CK148))),0,IF(EXCERCICE="PA",AE148/$CC148,IF(EXCERCICE="LB1",AE148/$CF148,AE148/$CK148)))</f>
        <v>0</v>
      </c>
      <c r="AK148" s="212"/>
      <c r="AL148" s="58"/>
      <c r="AM148" s="11"/>
      <c r="AN148" s="243"/>
      <c r="AO148" s="95" t="e">
        <f>IF(mois+1&gt;12,AN148,+$AE148+AN148)</f>
        <v>#REF!</v>
      </c>
      <c r="AP148" s="292"/>
      <c r="AQ148" s="102" t="e">
        <f>AO148-AP148</f>
        <v>#REF!</v>
      </c>
      <c r="AR148" s="17" t="e">
        <f>IF(mois+1&gt;12,0,IF(mois=12,IF(EXCERCICE="PA",AO148-($CC148/12),IF(EXCERCICE="LB1",AO148-($CF148/12),AO148-($CK148/12))),IF(EXCERCICE="PA",AO148-($CC148/12*(mois+1)),IF(EXCERCICE="LB1",AO148-($CF148/12*(mois+1)),AO148-($CK148/12*(mois+1))))))</f>
        <v>#REF!</v>
      </c>
      <c r="AS148" s="199"/>
      <c r="AT148" s="212" t="e">
        <f>IF(mois+1&gt;12,0,IF(ISERROR(IF(EXCERCICE="PA",AO148/$CC148,IF(EXCERCICE="LB1",AO148/$CF148,AO148/$CK148))),0,IF(EXCERCICE="PA",AO148/$CC148,IF(EXCERCICE="LB1",AO148/$CF148,AO148/$CK148))))</f>
        <v>#REF!</v>
      </c>
      <c r="AU148" s="221"/>
      <c r="AV148" s="11"/>
      <c r="AW148" s="11"/>
      <c r="AX148" s="243"/>
      <c r="AY148" s="95"/>
      <c r="AZ148" s="292"/>
      <c r="BA148" s="17" t="e">
        <f>IF(mois+2&gt;12,0,IF(mois=12,IF(EXCERCICE="PA",AY148-($CC148/12),IF(EXCERCICE="LB1",AY148-($CF148/12),AY148-($CK148/12))),IF(EXCERCICE="PA",AY148-($CC148/12*(mois+2)),IF(EXCERCICE="LB1",AY148-($CF148/12*(mois+2)),AY148-($CK148/12*(mois+2))))))</f>
        <v>#REF!</v>
      </c>
      <c r="BB148" s="179"/>
      <c r="BC148" s="212" t="e">
        <f>IF(mois+2&gt;12,0,IF(ISERROR(IF(EXCERCICE="PA",AY148/$CC148,IF(EXCERCICE="LB1",AY148/$CF148,AY148/$CK148))),0,IF(EXCERCICE="PA",AY148/$CC148,IF(EXCERCICE="LB1",AY148/$CF148,AY148/$CK148))))</f>
        <v>#REF!</v>
      </c>
      <c r="BD148" s="221"/>
      <c r="BE148" s="58"/>
      <c r="BF148" s="11"/>
      <c r="BG148" s="243"/>
      <c r="BH148" s="95" t="e">
        <f>IF(mois+3=13,BG148,IF(mois+3&gt;15,BG148,+$AY148+BG148))</f>
        <v>#REF!</v>
      </c>
      <c r="BI148" s="17" t="e">
        <f>IF(mois+3&gt;12,0,IF(mois=12,IF(EXCERCICE="PA",BH148-($CC148/12),IF(EXCERCICE="LB1",BH148-($CF148/12),BH148-($CK148/12))),IF(EXCERCICE="PA",BH148-($CC148/12*(mois+3)),IF(EXCERCICE="LB1",BH148-($CF148/12*(mois+3)),BH148-($CK148/12*(mois+3))))))</f>
        <v>#REF!</v>
      </c>
      <c r="BJ148" s="17"/>
      <c r="BK148" s="212" t="e">
        <f>IF(mois+3&gt;12,0,IF(ISERROR(IF(EXCERCICE="PA",BH148/$CC148,IF(EXCERCICE="LB1",BH148/$CF148,BH148/$CK148))),0,IF(EXCERCICE="PA",BH148/$CC148,IF(EXCERCICE="LB1",BH148/$CF148,BH148/$CK148))))</f>
        <v>#REF!</v>
      </c>
      <c r="BL148" s="221"/>
      <c r="BM148" s="2"/>
      <c r="BN148" s="123" t="e">
        <f>IF(mois&gt;=12,IF(EXCERCICE="PA",CC148-AE148,IF(EXCERCICE="LB1",CF148-AE148,IF(EXCERCICE="LB2",$CK148-AE148))),
IF(mois+1&lt;=13,IF(EXCERCICE="PA",CC148-AO148,IF(EXCERCICE="LB1",CF148-AO148,IF(EXCERCICE="LB2",$CK148-AO148))),
IF(mois+2&lt;=14,IF(EXCERCICE="PA",CC148-AY148,IF(EXCERCICE="LB1",CF148-AY148,IF(EXCERCICE="LB2",$CK148-AY148))),
IF(mois+3&lt;=15,IF(EXCERCICE="PA",CC148-BH148,IF(EXCERCICE="LB1",CF148-BH148,IF(EXCERCICE="LB2",$CK148-BH148))),0))))</f>
        <v>#REF!</v>
      </c>
      <c r="BO148" s="123" t="e">
        <f>IF(BN148&lt;0,0,BN148/(12-mois))</f>
        <v>#REF!</v>
      </c>
      <c r="BQ148" s="173"/>
      <c r="BR148" s="173"/>
      <c r="BS148" s="173"/>
      <c r="BT148" s="173"/>
      <c r="BU148" s="173"/>
      <c r="BV148" s="173"/>
      <c r="BW148" s="173"/>
      <c r="BX148" s="173"/>
      <c r="BY148" s="173"/>
      <c r="BZ148" s="173"/>
      <c r="CA148" s="173"/>
      <c r="CB148" s="173"/>
      <c r="CC148" s="123"/>
      <c r="CD148" s="203"/>
      <c r="CE148" s="11"/>
      <c r="CF148" s="95"/>
      <c r="CG148" s="125"/>
      <c r="CH148" s="17"/>
      <c r="CI148" s="58"/>
      <c r="CJ148" s="11"/>
      <c r="CK148" s="95"/>
      <c r="CL148" s="125"/>
      <c r="CM148" s="17"/>
    </row>
    <row r="149" spans="2:91" x14ac:dyDescent="0.2">
      <c r="B149" s="60"/>
      <c r="C149" s="143" t="s">
        <v>62</v>
      </c>
      <c r="D149" s="2"/>
      <c r="E149" s="61" t="str">
        <f>IF(E147=0,"-",E148/E147)</f>
        <v>-</v>
      </c>
      <c r="F149" s="7" t="str">
        <f t="shared" ref="F149" si="592">IF(F147=0,"-",F148/F147)</f>
        <v>-</v>
      </c>
      <c r="G149" s="7" t="str">
        <f t="shared" ref="G149" si="593">IF(G147=0,"-",G148/G147)</f>
        <v>-</v>
      </c>
      <c r="H149" s="7" t="str">
        <f t="shared" ref="H149" si="594">IF(H147=0,"-",H148/H147)</f>
        <v>-</v>
      </c>
      <c r="I149" s="7" t="str">
        <f t="shared" ref="I149" si="595">IF(I147=0,"-",I148/I147)</f>
        <v>-</v>
      </c>
      <c r="J149" s="7" t="str">
        <f t="shared" ref="J149" si="596">IF(J147=0,"-",J148/J147)</f>
        <v>-</v>
      </c>
      <c r="K149" s="7" t="str">
        <f t="shared" ref="K149" si="597">IF(K147=0,"-",K148/K147)</f>
        <v>-</v>
      </c>
      <c r="L149" s="7" t="str">
        <f t="shared" ref="L149" si="598">IF(L147=0,"-",L148/L147)</f>
        <v>-</v>
      </c>
      <c r="M149" s="7" t="str">
        <f t="shared" ref="M149" si="599">IF(M147=0,"-",M148/M147)</f>
        <v>-</v>
      </c>
      <c r="N149" s="7" t="str">
        <f t="shared" ref="N149" si="600">IF(N147=0,"-",N148/N147)</f>
        <v>-</v>
      </c>
      <c r="O149" s="7" t="str">
        <f t="shared" ref="O149" si="601">IF(O147=0,"-",O148/O147)</f>
        <v>-</v>
      </c>
      <c r="P149" s="7" t="str">
        <f t="shared" ref="P149" si="602">IF(P147=0,"-",P148/P147)</f>
        <v>-</v>
      </c>
      <c r="Q149" s="186" t="str">
        <f t="shared" ref="Q149" si="603">IF(Q147=0,"-",Q148/Q147)</f>
        <v>-</v>
      </c>
      <c r="R149" s="2"/>
      <c r="S149" s="61" t="str">
        <f t="shared" ref="S149" si="604">IF(S147=0,"-",S148/S147)</f>
        <v>-</v>
      </c>
      <c r="T149" s="7" t="str">
        <f t="shared" ref="T149" si="605">IF(T147=0,"-",T148/T147)</f>
        <v>-</v>
      </c>
      <c r="U149" s="7" t="str">
        <f t="shared" ref="U149" si="606">IF(U147=0,"-",U148/U147)</f>
        <v>-</v>
      </c>
      <c r="V149" s="7" t="str">
        <f t="shared" ref="V149" si="607">IF(V147=0,"-",V148/V147)</f>
        <v>-</v>
      </c>
      <c r="W149" s="7" t="str">
        <f t="shared" ref="W149" si="608">IF(W147=0,"-",W148/W147)</f>
        <v>-</v>
      </c>
      <c r="X149" s="7" t="str">
        <f t="shared" ref="X149" si="609">IF(X147=0,"-",X148/X147)</f>
        <v>-</v>
      </c>
      <c r="Y149" s="7" t="str">
        <f t="shared" ref="Y149" si="610">IF(Y147=0,"-",Y148/Y147)</f>
        <v>-</v>
      </c>
      <c r="Z149" s="7" t="str">
        <f t="shared" ref="Z149" si="611">IF(Z147=0,"-",Z148/Z147)</f>
        <v>-</v>
      </c>
      <c r="AA149" s="7" t="str">
        <f t="shared" ref="AA149" si="612">IF(AA147=0,"-",AA148/AA147)</f>
        <v>-</v>
      </c>
      <c r="AB149" s="7" t="str">
        <f t="shared" ref="AB149" si="613">IF(AB147=0,"-",AB148/AB147)</f>
        <v>-</v>
      </c>
      <c r="AC149" s="7" t="str">
        <f t="shared" ref="AC149" si="614">IF(AC147=0,"-",AC148/AC147)</f>
        <v>-</v>
      </c>
      <c r="AD149" s="7" t="str">
        <f t="shared" ref="AD149" si="615">IF(AD147=0,"-",AD148/AD147)</f>
        <v>-</v>
      </c>
      <c r="AE149" s="61" t="str">
        <f>IF(AE147=0,"-",AE148/AE147)</f>
        <v>-</v>
      </c>
      <c r="AF149" s="293"/>
      <c r="AG149" s="103" t="str">
        <f t="shared" ref="AG149" si="616">IF(AG147=0,"-",AG148/AG147)</f>
        <v>-</v>
      </c>
      <c r="AH149" s="103" t="e">
        <f>IF(AH147=0,"-",AH148/AH147)</f>
        <v>#REF!</v>
      </c>
      <c r="AI149" s="103"/>
      <c r="AJ149" s="197"/>
      <c r="AK149" s="197"/>
      <c r="AL149" s="58"/>
      <c r="AM149" s="11"/>
      <c r="AN149" s="249"/>
      <c r="AO149" s="61" t="e">
        <f t="shared" ref="AO149" si="617">IF(AO147=0,"-",AO148/AO147)</f>
        <v>#REF!</v>
      </c>
      <c r="AP149" s="293"/>
      <c r="AQ149" s="103" t="e">
        <f>IF(AQ147=0,"-",AQ148/AQ147)</f>
        <v>#REF!</v>
      </c>
      <c r="AR149" s="7" t="e">
        <f>IF(AR147=0,"-",AR148/AR147)</f>
        <v>#REF!</v>
      </c>
      <c r="AS149" s="197"/>
      <c r="AT149" s="197"/>
      <c r="AU149" s="222"/>
      <c r="AV149" s="11"/>
      <c r="AW149" s="11"/>
      <c r="AX149" s="249"/>
      <c r="AY149" s="61"/>
      <c r="AZ149" s="293"/>
      <c r="BA149" s="7" t="e">
        <f>IF(BA147=0,"-",BA148/BA147)</f>
        <v>#REF!</v>
      </c>
      <c r="BB149" s="103"/>
      <c r="BC149" s="197"/>
      <c r="BD149" s="222"/>
      <c r="BE149" s="58"/>
      <c r="BF149" s="11"/>
      <c r="BG149" s="249"/>
      <c r="BH149" s="61" t="e">
        <f t="shared" ref="BH149:BI149" si="618">IF(BH147=0,"-",BH148/BH147)</f>
        <v>#REF!</v>
      </c>
      <c r="BI149" s="7" t="e">
        <f t="shared" si="618"/>
        <v>#REF!</v>
      </c>
      <c r="BJ149" s="7"/>
      <c r="BK149" s="197"/>
      <c r="BL149" s="222"/>
      <c r="BM149" s="2"/>
      <c r="BN149" s="63"/>
      <c r="BO149" s="63"/>
      <c r="BQ149" s="173"/>
      <c r="BR149" s="173"/>
      <c r="BS149" s="173"/>
      <c r="BT149" s="173"/>
      <c r="BU149" s="173"/>
      <c r="BV149" s="173"/>
      <c r="BW149" s="173"/>
      <c r="BX149" s="173"/>
      <c r="BY149" s="173"/>
      <c r="BZ149" s="173"/>
      <c r="CA149" s="173"/>
      <c r="CB149" s="173"/>
      <c r="CC149" s="63"/>
      <c r="CD149" s="204"/>
      <c r="CE149" s="11"/>
      <c r="CF149" s="61"/>
      <c r="CG149" s="134"/>
      <c r="CH149" s="8"/>
      <c r="CI149" s="58"/>
      <c r="CJ149" s="11"/>
      <c r="CK149" s="61"/>
      <c r="CL149" s="134"/>
      <c r="CM149" s="8"/>
    </row>
    <row r="150" spans="2:91" x14ac:dyDescent="0.2">
      <c r="B150" s="64"/>
      <c r="C150" s="6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194"/>
      <c r="AG150" s="100"/>
      <c r="AH150" s="100"/>
      <c r="AI150" s="100"/>
      <c r="AJ150" s="214"/>
      <c r="AK150" s="214"/>
      <c r="AL150" s="11"/>
      <c r="AM150" s="2"/>
      <c r="AN150" s="71"/>
      <c r="AO150" s="11"/>
      <c r="AP150" s="194"/>
      <c r="AQ150" s="100"/>
      <c r="AR150" s="65"/>
      <c r="AS150" s="2"/>
      <c r="AT150" s="214"/>
      <c r="AU150" s="214"/>
      <c r="AV150" s="11"/>
      <c r="AW150" s="2"/>
      <c r="AX150" s="71"/>
      <c r="AY150" s="11"/>
      <c r="AZ150" s="194"/>
      <c r="BA150" s="65"/>
      <c r="BB150" s="2"/>
      <c r="BC150" s="214"/>
      <c r="BD150" s="214"/>
      <c r="BE150" s="11"/>
      <c r="BF150" s="2"/>
      <c r="BG150" s="71"/>
      <c r="BH150" s="11"/>
      <c r="BI150" s="11"/>
      <c r="BJ150" s="11"/>
      <c r="BK150" s="214"/>
      <c r="BL150" s="214"/>
      <c r="BM150" s="2"/>
      <c r="BN150" s="11"/>
      <c r="BO150" s="11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65"/>
      <c r="CD150" s="205"/>
      <c r="CE150" s="11"/>
      <c r="CF150" s="71"/>
      <c r="CG150" s="137"/>
      <c r="CH150" s="65"/>
      <c r="CI150" s="11"/>
      <c r="CJ150" s="2"/>
      <c r="CK150" s="71"/>
      <c r="CL150" s="137"/>
      <c r="CM150" s="65"/>
    </row>
    <row r="151" spans="2:91" x14ac:dyDescent="0.2">
      <c r="B151" s="66"/>
      <c r="C151" s="67" t="s">
        <v>58</v>
      </c>
      <c r="D151" s="51"/>
      <c r="E151" s="96">
        <f t="shared" ref="E151:P151" si="619">IF(ISERROR(VLOOKUP(CONCATENATE($B145,E$5),TBCHISTORIQUE,9,FALSE)/1000),0,VLOOKUP(CONCATENATE($B145,E$5),TBCHISTORIQUE,9,FALSE)/1000)</f>
        <v>0</v>
      </c>
      <c r="F151" s="169">
        <f t="shared" si="619"/>
        <v>0</v>
      </c>
      <c r="G151" s="169">
        <f t="shared" si="619"/>
        <v>0</v>
      </c>
      <c r="H151" s="169">
        <f t="shared" si="619"/>
        <v>0</v>
      </c>
      <c r="I151" s="169">
        <f t="shared" si="619"/>
        <v>0</v>
      </c>
      <c r="J151" s="169">
        <f t="shared" si="619"/>
        <v>0</v>
      </c>
      <c r="K151" s="169">
        <f t="shared" si="619"/>
        <v>0</v>
      </c>
      <c r="L151" s="169">
        <f t="shared" si="619"/>
        <v>0</v>
      </c>
      <c r="M151" s="169">
        <f t="shared" si="619"/>
        <v>0</v>
      </c>
      <c r="N151" s="169">
        <f t="shared" si="619"/>
        <v>0</v>
      </c>
      <c r="O151" s="169">
        <f t="shared" si="619"/>
        <v>0</v>
      </c>
      <c r="P151" s="170">
        <f t="shared" si="619"/>
        <v>0</v>
      </c>
      <c r="Q151" s="187">
        <f>SUMIF($E$5:$P$5,"&lt;="&amp;mois,E151:P151)</f>
        <v>0</v>
      </c>
      <c r="R151" s="51"/>
      <c r="S151" s="96">
        <f t="shared" ref="S151:AD151" si="620">IF(ISERROR(VLOOKUP(CONCATENATE($B145,S$5),TBCA,9,FALSE)/1000),0,VLOOKUP(CONCATENATE($B145,S$5),TBCA,9,FALSE)/1000)</f>
        <v>0</v>
      </c>
      <c r="T151" s="169">
        <f t="shared" si="620"/>
        <v>0</v>
      </c>
      <c r="U151" s="169">
        <f t="shared" si="620"/>
        <v>0</v>
      </c>
      <c r="V151" s="169">
        <f t="shared" si="620"/>
        <v>0</v>
      </c>
      <c r="W151" s="169">
        <f t="shared" si="620"/>
        <v>0</v>
      </c>
      <c r="X151" s="169">
        <f t="shared" si="620"/>
        <v>0</v>
      </c>
      <c r="Y151" s="169">
        <f t="shared" si="620"/>
        <v>0</v>
      </c>
      <c r="Z151" s="169">
        <f t="shared" si="620"/>
        <v>0</v>
      </c>
      <c r="AA151" s="169">
        <f t="shared" si="620"/>
        <v>0</v>
      </c>
      <c r="AB151" s="169">
        <f t="shared" si="620"/>
        <v>0</v>
      </c>
      <c r="AC151" s="169">
        <f t="shared" si="620"/>
        <v>0</v>
      </c>
      <c r="AD151" s="170">
        <f t="shared" si="620"/>
        <v>0</v>
      </c>
      <c r="AE151" s="324">
        <f>SUMIF($S$5:$AD$5,"&lt;="&amp;mois,S151:AD151)</f>
        <v>0</v>
      </c>
      <c r="AF151" s="294"/>
      <c r="AG151" s="104">
        <f>AE151-AF151</f>
        <v>0</v>
      </c>
      <c r="AH151" s="104" t="e">
        <f>IF(EXCERCICE="PA",AE151-($CC151/12*(mois)),IF(EXCERCICE="LB1",AE151-($CF151/12*(mois)),AE151-($CK151/12*(mois))))</f>
        <v>#REF!</v>
      </c>
      <c r="AI151" s="175">
        <f>IF(ISERROR(AE151/Q151),0,AE151/Q151)</f>
        <v>0</v>
      </c>
      <c r="AJ151" s="175">
        <f>IF(ISERROR(IF(EXCERCICE="PA",AE151/$CC151,IF(EXCERCICE="LB1",AE151/$CF151,AE151/$CK151))),0,IF(EXCERCICE="PA",AE151/$CC151,IF(EXCERCICE="LB1",AE151/$CF151,AE151/$CK151)))</f>
        <v>0</v>
      </c>
      <c r="AK151" s="223" t="str">
        <f>IF(ISERROR(AE151/HLOOKUP(mois,$BQ$5:$CB$39,7,FALSE)),"",AE151/HLOOKUP(mois,$BQ$5:$CB$39,7,FALSE))</f>
        <v/>
      </c>
      <c r="AL151" s="54"/>
      <c r="AM151" s="54"/>
      <c r="AN151" s="250"/>
      <c r="AO151" s="96" t="e">
        <f>IF(mois+1&gt;12,AN151,+$AE151+AN151)</f>
        <v>#REF!</v>
      </c>
      <c r="AP151" s="294"/>
      <c r="AQ151" s="104" t="e">
        <f>AO151-AP151</f>
        <v>#REF!</v>
      </c>
      <c r="AR151" s="68" t="e">
        <f>IF(mois+1&gt;12,0,IF(mois=12,IF(EXCERCICE="PA",AO151-($CC151/12),IF(EXCERCICE="LB1",AO151-($CF151/12),AO151-($CK151/12))),IF(EXCERCICE="PA",AO151-($CC151/12*(mois+1)),IF(EXCERCICE="LB1",AO151-($CF151/12*(mois+1)),AO151-($CK151/12*(mois+1))))))</f>
        <v>#REF!</v>
      </c>
      <c r="AS151" s="200" t="e">
        <f>IF(AO151=0,0,IF(mois+1&gt;12,AO151/SUMPRODUCT((($S$6:$U$6)&lt;=mois+1)*$S151:$U151),AO151/SUMPRODUCT((($E$5:$P$5)&lt;=mois+1)*$E151:$P151)))</f>
        <v>#REF!</v>
      </c>
      <c r="AT151" s="175" t="e">
        <f>IF(mois+1&gt;12,0,IF(ISERROR(IF(EXCERCICE="PA",AO151/$CC151,IF(EXCERCICE="LB1",AO151/$CF151,AO151/$CK151))),0,IF(EXCERCICE="PA",AO151/$CC151,IF(EXCERCICE="LB1",AO151/$CF151,AO151/$CK151))))</f>
        <v>#REF!</v>
      </c>
      <c r="AU151" s="223" t="str">
        <f>IF(ISERROR(AO151/HLOOKUP(mois+1,$BQ$5:$CB$39,7,FALSE)),"",AO151/HLOOKUP(mois+1,$BQ$5:$CB$39,7,FALSE))</f>
        <v/>
      </c>
      <c r="AV151" s="11"/>
      <c r="AW151" s="54"/>
      <c r="AX151" s="250"/>
      <c r="AY151" s="96"/>
      <c r="AZ151" s="294"/>
      <c r="BA151" s="68" t="e">
        <f>IF(mois+2&gt;12,0,IF(mois=12,IF(EXCERCICE="PA",AY151-($CC151/12),IF(EXCERCICE="LB1",AY151-($CF151/12),AY151-($CK151/12))),IF(EXCERCICE="PA",AY151-($CC151/12*(mois+2)),IF(EXCERCICE="LB1",AY151-($CF151/12*(mois+2)),AY151-($CK151/12*(mois+2))))))</f>
        <v>#REF!</v>
      </c>
      <c r="BB151" s="200">
        <f>IF(AY151=0,0,IF(mois+1&gt;12,AY151/SUMPRODUCT((($S$6:$U$6)&lt;=mois+2)*$S151:$U151),AY151/SUMPRODUCT((($E$5:$P$5)&lt;=mois+2)*$E151:$P151)))</f>
        <v>0</v>
      </c>
      <c r="BC151" s="175" t="e">
        <f>IF(mois+2&gt;12,0,IF(ISERROR(IF(EXCERCICE="PA",AY151/$CC151,IF(EXCERCICE="LB1",AY151/$CF151,AY151/$CK151))),0,IF(EXCERCICE="PA",AY151/$CC151,IF(EXCERCICE="LB1",AY151/$CF151,AY151/$CK151))))</f>
        <v>#REF!</v>
      </c>
      <c r="BD151" s="223" t="str">
        <f>IF(ISERROR(AY151/HLOOKUP(mois+2,$BQ$5:$CB$39,7,FALSE)),"",AY151/HLOOKUP(mois+2,$BQ$5:$CB$39,7,FALSE))</f>
        <v/>
      </c>
      <c r="BE151" s="52"/>
      <c r="BF151" s="54"/>
      <c r="BG151" s="250"/>
      <c r="BH151" s="96" t="e">
        <f>IF(mois+3=13,BG151,IF(mois+3&gt;15,BG151,+$AY151+BG151))</f>
        <v>#REF!</v>
      </c>
      <c r="BI151" s="68" t="e">
        <f>IF(mois+3&gt;12,0,IF(mois=12,IF(EXCERCICE="PA",BH151-($CC151/12),IF(EXCERCICE="LB1",BH151-($CF151/12),BH151-($CK151/12))),IF(EXCERCICE="PA",BH151-($CC151/12*(mois+3)),IF(EXCERCICE="LB1",BH151-($CF151/12*(mois+3)),BH151-($CK151/12*(mois+3))))))</f>
        <v>#REF!</v>
      </c>
      <c r="BJ151" s="200" t="e">
        <f>IF(BH151=0,0,IF(mois+1&gt;12,BH151/SUMPRODUCT((($S$6:$U$6)&lt;=mois+3)*$S151:$U151),BH151/SUMPRODUCT((($E$5:$P$5)&lt;=mois+3)*$E151:$P151)))</f>
        <v>#REF!</v>
      </c>
      <c r="BK151" s="175" t="e">
        <f>IF(mois+3&gt;12,0,IF(ISERROR(IF(EXCERCICE="PA",BH151/$CC151,IF(EXCERCICE="LB1",BH151/$CF151,BH151/$CK151))),0,IF(EXCERCICE="PA",BH151/$CC151,IF(EXCERCICE="LB1",BH151/$CF151,BH151/$CK151))))</f>
        <v>#REF!</v>
      </c>
      <c r="BL151" s="223" t="str">
        <f>IF(ISERROR(BH151/HLOOKUP(mois+3,$BQ$5:$CB$39,7,FALSE)),"",BH151/HLOOKUP(mois+3,$BQ$5:$CB$39,7,FALSE))</f>
        <v/>
      </c>
      <c r="BM151" s="2"/>
      <c r="BN151" s="131" t="e">
        <f>IF(mois&gt;=12,IF(EXCERCICE="PA",CC151-AE151,IF(EXCERCICE="LB1",CF151-AE151,IF(EXCERCICE="LB2",$CK151-AE151))),
IF(mois+1&lt;=13,IF(EXCERCICE="PA",CC151-AO151,IF(EXCERCICE="LB1",CF151-AO151,IF(EXCERCICE="LB2",$CK151-AO151))),
IF(mois+2&lt;=14,IF(EXCERCICE="PA",CC151-AY151,IF(EXCERCICE="LB1",CF151-AY151,IF(EXCERCICE="LB2",$CK151-AY151))),
IF(mois+3&lt;=15,IF(EXCERCICE="PA",CC151-BH151,IF(EXCERCICE="LB1",CF151-BH151,IF(EXCERCICE="LB2",$CK151-BH151))),0))))</f>
        <v>#REF!</v>
      </c>
      <c r="BO151" s="131" t="e">
        <f>IF(BN151&lt;0,0,BN151/(12-mois))</f>
        <v>#REF!</v>
      </c>
      <c r="BQ151" s="196"/>
      <c r="BR151" s="196"/>
      <c r="BS151" s="196"/>
      <c r="BT151" s="196"/>
      <c r="BU151" s="196"/>
      <c r="BV151" s="196"/>
      <c r="BW151" s="196"/>
      <c r="BX151" s="196"/>
      <c r="BY151" s="196"/>
      <c r="BZ151" s="196"/>
      <c r="CA151" s="196"/>
      <c r="CB151" s="196"/>
      <c r="CC151" s="131"/>
      <c r="CD151" s="206"/>
      <c r="CE151" s="54"/>
      <c r="CF151" s="96"/>
      <c r="CG151" s="138"/>
      <c r="CH151" s="68"/>
      <c r="CI151" s="52"/>
      <c r="CJ151" s="54"/>
      <c r="CK151" s="96"/>
      <c r="CL151" s="138"/>
      <c r="CM151" s="68"/>
    </row>
    <row r="152" spans="2:91" x14ac:dyDescent="0.2">
      <c r="B152" s="64"/>
      <c r="C152" s="6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194"/>
      <c r="AG152" s="100"/>
      <c r="AH152" s="100"/>
      <c r="AI152" s="100"/>
      <c r="AJ152" s="214"/>
      <c r="AK152" s="214"/>
      <c r="AL152" s="11"/>
      <c r="AM152" s="2"/>
      <c r="AN152" s="71"/>
      <c r="AO152" s="11"/>
      <c r="AP152" s="194"/>
      <c r="AQ152" s="100"/>
      <c r="AR152" s="65"/>
      <c r="AS152" s="2"/>
      <c r="AT152" s="214"/>
      <c r="AU152" s="214"/>
      <c r="AV152" s="11"/>
      <c r="AW152" s="2"/>
      <c r="AX152" s="71"/>
      <c r="AY152" s="11"/>
      <c r="AZ152" s="194"/>
      <c r="BA152" s="65"/>
      <c r="BB152" s="2"/>
      <c r="BC152" s="214"/>
      <c r="BD152" s="214"/>
      <c r="BE152" s="11"/>
      <c r="BF152" s="2"/>
      <c r="BG152" s="71"/>
      <c r="BH152" s="11"/>
      <c r="BI152" s="11"/>
      <c r="BJ152" s="11"/>
      <c r="BK152" s="214"/>
      <c r="BL152" s="214"/>
      <c r="BM152" s="2"/>
      <c r="BN152" s="11"/>
      <c r="BO152" s="11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65"/>
      <c r="CD152" s="205"/>
      <c r="CE152" s="11"/>
      <c r="CF152" s="71"/>
      <c r="CG152" s="137"/>
      <c r="CH152" s="65"/>
      <c r="CI152" s="11"/>
      <c r="CJ152" s="2"/>
      <c r="CK152" s="71"/>
      <c r="CL152" s="137"/>
      <c r="CM152" s="65"/>
    </row>
    <row r="153" spans="2:91" x14ac:dyDescent="0.2">
      <c r="B153" s="49"/>
      <c r="C153" s="50" t="s">
        <v>59</v>
      </c>
      <c r="D153" s="51"/>
      <c r="E153" s="92">
        <f t="shared" ref="E153:P153" si="621">IF(ISERROR(VLOOKUP(CONCATENATE($B145,E$5),TBCHISTORIQUE,10,FALSE)/1000),0,VLOOKUP(CONCATENATE($B145,E$5),TBCHISTORIQUE,10,FALSE)/1000)</f>
        <v>0</v>
      </c>
      <c r="F153" s="93">
        <f t="shared" si="621"/>
        <v>0</v>
      </c>
      <c r="G153" s="93">
        <f t="shared" si="621"/>
        <v>0</v>
      </c>
      <c r="H153" s="93">
        <f t="shared" si="621"/>
        <v>0</v>
      </c>
      <c r="I153" s="93">
        <f t="shared" si="621"/>
        <v>0</v>
      </c>
      <c r="J153" s="93">
        <f t="shared" si="621"/>
        <v>0</v>
      </c>
      <c r="K153" s="93">
        <f t="shared" si="621"/>
        <v>0</v>
      </c>
      <c r="L153" s="93">
        <f t="shared" si="621"/>
        <v>0</v>
      </c>
      <c r="M153" s="93">
        <f t="shared" si="621"/>
        <v>0</v>
      </c>
      <c r="N153" s="93">
        <f t="shared" si="621"/>
        <v>0</v>
      </c>
      <c r="O153" s="93">
        <f t="shared" si="621"/>
        <v>0</v>
      </c>
      <c r="P153" s="94">
        <f t="shared" si="621"/>
        <v>0</v>
      </c>
      <c r="Q153" s="184">
        <f>SUMIF($E$5:$P$5,"&lt;="&amp;mois,E153:P153)</f>
        <v>0</v>
      </c>
      <c r="R153" s="51"/>
      <c r="S153" s="92">
        <f t="shared" ref="S153:AD153" si="622">IF(ISERROR(VLOOKUP(CONCATENATE($B145,S$5),TBCA,10,FALSE)/1000),0,VLOOKUP(CONCATENATE($B145,S$5),TBCA,10,FALSE)/1000)</f>
        <v>0</v>
      </c>
      <c r="T153" s="93">
        <f t="shared" si="622"/>
        <v>0</v>
      </c>
      <c r="U153" s="93">
        <f t="shared" si="622"/>
        <v>0</v>
      </c>
      <c r="V153" s="93">
        <f t="shared" si="622"/>
        <v>0</v>
      </c>
      <c r="W153" s="93">
        <f t="shared" si="622"/>
        <v>0</v>
      </c>
      <c r="X153" s="93">
        <f t="shared" si="622"/>
        <v>0</v>
      </c>
      <c r="Y153" s="93">
        <f t="shared" si="622"/>
        <v>0</v>
      </c>
      <c r="Z153" s="93">
        <f t="shared" si="622"/>
        <v>0</v>
      </c>
      <c r="AA153" s="93">
        <f t="shared" si="622"/>
        <v>0</v>
      </c>
      <c r="AB153" s="93">
        <f t="shared" si="622"/>
        <v>0</v>
      </c>
      <c r="AC153" s="93">
        <f t="shared" si="622"/>
        <v>0</v>
      </c>
      <c r="AD153" s="94">
        <f t="shared" si="622"/>
        <v>0</v>
      </c>
      <c r="AE153" s="92">
        <f>SUMIF($S$5:$AD$5,"&lt;="&amp;mois,S153:AD153)</f>
        <v>0</v>
      </c>
      <c r="AF153" s="291"/>
      <c r="AG153" s="101">
        <f t="shared" ref="AG153:AG154" si="623">AE153-AF153</f>
        <v>0</v>
      </c>
      <c r="AH153" s="101" t="e">
        <f>IF(EXCERCICE="PA",AE153-($CC153/12*(mois)),IF(EXCERCICE="LB1",AE153-($CF153/12*(mois)),AE153-($CK153/12*(mois))))</f>
        <v>#REF!</v>
      </c>
      <c r="AI153" s="176">
        <f>IF(ISERROR(AE153/Q153),0,AE153/Q153)</f>
        <v>0</v>
      </c>
      <c r="AJ153" s="176">
        <f>IF(ISERROR(IF(EXCERCICE="PA",AE153/$CC153,IF(EXCERCICE="LB1",AE153/$CF153,AE153/$CK153))),0,IF(EXCERCICE="PA",AE153/$CC153,IF(EXCERCICE="LB1",AE153/$CF153,AE153/$CK153)))</f>
        <v>0</v>
      </c>
      <c r="AK153" s="176" t="str">
        <f>IF(ISERROR(AE153/HLOOKUP(mois,$BQ$5:$CB$39,9,FALSE)),"",AE153/HLOOKUP(mois,$BQ$5:$CB$39,9,FALSE))</f>
        <v/>
      </c>
      <c r="AL153" s="52"/>
      <c r="AM153" s="54"/>
      <c r="AN153" s="242"/>
      <c r="AO153" s="92" t="e">
        <f>IF(mois+1&gt;12,AN153,+$AE153+AN153)</f>
        <v>#REF!</v>
      </c>
      <c r="AP153" s="291"/>
      <c r="AQ153" s="101" t="e">
        <f>AO153-AP153</f>
        <v>#REF!</v>
      </c>
      <c r="AR153" s="55" t="e">
        <f>IF(mois+1&gt;12,0,IF(mois=12,IF(EXCERCICE="PA",AO153-($CC153/12),IF(EXCERCICE="LB1",AO153-($CF153/12),AO153-($CK153/12))),IF(EXCERCICE="PA",AO153-($CC153/12*(mois+1)),IF(EXCERCICE="LB1",AO153-($CF153/12*(mois+1)),AO153-($CK153/12*(mois+1))))))</f>
        <v>#REF!</v>
      </c>
      <c r="AS153" s="176" t="e">
        <f>IF(AO153=0,0,IF(mois+1&gt;12,AO153/SUMPRODUCT((($S$6:$U$6)&lt;=mois+1)*$S153:$U153),AO153/SUMPRODUCT((($E$5:$P$5)&lt;=mois+1)*$E153:$P153)))</f>
        <v>#REF!</v>
      </c>
      <c r="AT153" s="176" t="e">
        <f>IF(mois+1&gt;12,0,IF(ISERROR(IF(EXCERCICE="PA",AO153/$CC153,IF(EXCERCICE="LB1",AO153/$CF153,AO153/$CK153))),0,IF(EXCERCICE="PA",AO153/$CC153,IF(EXCERCICE="LB1",AO153/$CF153,AO153/$CK153))))</f>
        <v>#REF!</v>
      </c>
      <c r="AU153" s="224" t="str">
        <f>IF(ISERROR(AO153/HLOOKUP(mois+1,$BQ$5:$CB$39,9,FALSE)),"",AO153/HLOOKUP(mois+1,$BQ$5:$CB$39,9,FALSE))</f>
        <v/>
      </c>
      <c r="AV153" s="11"/>
      <c r="AW153" s="54"/>
      <c r="AX153" s="242"/>
      <c r="AY153" s="92"/>
      <c r="AZ153" s="291"/>
      <c r="BA153" s="55" t="e">
        <f>IF(mois+2&gt;12,0,IF(mois=12,IF(EXCERCICE="PA",AY153-($CC153/12),IF(EXCERCICE="LB1",AY153-($CF153/12),AY153-($CK153/12))),IF(EXCERCICE="PA",AY153-($CC153/12*(mois+2)),IF(EXCERCICE="LB1",AY153-($CF153/12*(mois+2)),AY153-($CK153/12*(mois+2))))))</f>
        <v>#REF!</v>
      </c>
      <c r="BB153" s="176">
        <f>IF(AY153=0,0,IF(mois+1&gt;12,AY153/SUMPRODUCT((($S$6:$U$6)&lt;=mois+2)*$S153:$U153),AY153/SUMPRODUCT((($E$5:$P$5)&lt;=mois+2)*$E153:$P153)))</f>
        <v>0</v>
      </c>
      <c r="BC153" s="176" t="e">
        <f>IF(mois+2&gt;12,0,IF(ISERROR(IF(EXCERCICE="PA",AY153/$CC153,IF(EXCERCICE="LB1",AY153/$CF153,AY153/$CK153))),0,IF(EXCERCICE="PA",AY153/$CC153,IF(EXCERCICE="LB1",AY153/$CF153,AY153/$CK153))))</f>
        <v>#REF!</v>
      </c>
      <c r="BD153" s="224" t="str">
        <f>IF(ISERROR(AY153/HLOOKUP(mois+2,$BQ$5:$CB$39,9,FALSE)),"",AY153/HLOOKUP(mois+2,$BQ$5:$CB$39,9,FALSE))</f>
        <v/>
      </c>
      <c r="BE153" s="52"/>
      <c r="BF153" s="54"/>
      <c r="BG153" s="242"/>
      <c r="BH153" s="92" t="e">
        <f>IF(mois+3=13,BG153,IF(mois+3&gt;15,BG153,+$AY153+BG153))</f>
        <v>#REF!</v>
      </c>
      <c r="BI153" s="55" t="e">
        <f>IF(mois+3&gt;12,0,IF(mois=12,IF(EXCERCICE="PA",BH153-($CC153/12),IF(EXCERCICE="LB1",BH153-($CF153/12),BH153-($CK153/12))),IF(EXCERCICE="PA",BH153-($CC153/12*(mois+3)),IF(EXCERCICE="LB1",BH153-($CF153/12*(mois+3)),BH153-($CK153/12*(mois+3))))))</f>
        <v>#REF!</v>
      </c>
      <c r="BJ153" s="176" t="e">
        <f>IF(BH153=0,0,IF(mois+1&gt;12,BH153/SUMPRODUCT((($S$6:$U$6)&lt;=mois+3)*$S153:$U153),BH153/SUMPRODUCT((($E$5:$P$5)&lt;=mois+3)*$E153:$P153)))</f>
        <v>#REF!</v>
      </c>
      <c r="BK153" s="176" t="e">
        <f>IF(mois+3&gt;12,0,IF(ISERROR(IF(EXCERCICE="PA",BH153/$CC153,IF(EXCERCICE="LB1",BH153/$CF153,BH153/$CK153))),0,IF(EXCERCICE="PA",BH153/$CC153,IF(EXCERCICE="LB1",BH153/$CF153,BH153/$CK153))))</f>
        <v>#REF!</v>
      </c>
      <c r="BL153" s="224" t="str">
        <f>IF(ISERROR(BH153/HLOOKUP(mois+3,$BQ$5:$CB$39,9,FALSE)),"",BH153/HLOOKUP(mois+3,$BQ$5:$CB$39,9,FALSE))</f>
        <v/>
      </c>
      <c r="BM153" s="2"/>
      <c r="BN153" s="231" t="e">
        <f>IF(mois&gt;=12,IF(EXCERCICE="PA",CC153-AE153,IF(EXCERCICE="LB1",CF153-AE153,IF(EXCERCICE="LB2",$CK153-AE153))),
IF(mois+1&lt;=13,IF(EXCERCICE="PA",CC153-AO153,IF(EXCERCICE="LB1",CF153-AO153,IF(EXCERCICE="LB2",$CK153-AO153))),
IF(mois+2&lt;=14,IF(EXCERCICE="PA",CC153-AY153,IF(EXCERCICE="LB1",CF153-AY153,IF(EXCERCICE="LB2",$CK153-AY153))),
IF(mois+3&lt;=15,IF(EXCERCICE="PA",CC153-BH153,IF(EXCERCICE="LB1",CF153-BH153,IF(EXCERCICE="LB2",$CK153-BH153))),0))))</f>
        <v>#REF!</v>
      </c>
      <c r="BO153" s="231" t="e">
        <f>IF(BN153&lt;0,0,BN153/(12-mois))</f>
        <v>#REF!</v>
      </c>
      <c r="BP153" s="2"/>
      <c r="BQ153" s="196"/>
      <c r="BR153" s="196"/>
      <c r="BS153" s="196"/>
      <c r="BT153" s="196"/>
      <c r="BU153" s="196"/>
      <c r="BV153" s="196"/>
      <c r="BW153" s="196"/>
      <c r="BX153" s="196"/>
      <c r="BY153" s="196"/>
      <c r="BZ153" s="196"/>
      <c r="CA153" s="196"/>
      <c r="CB153" s="196"/>
      <c r="CC153" s="92"/>
      <c r="CD153" s="207"/>
      <c r="CE153" s="54"/>
      <c r="CF153" s="92"/>
      <c r="CG153" s="128"/>
      <c r="CH153" s="53"/>
      <c r="CI153" s="52"/>
      <c r="CJ153" s="54"/>
      <c r="CK153" s="92"/>
      <c r="CL153" s="128"/>
      <c r="CM153" s="55"/>
    </row>
    <row r="154" spans="2:91" x14ac:dyDescent="0.2">
      <c r="B154" s="56"/>
      <c r="C154" s="57" t="s">
        <v>60</v>
      </c>
      <c r="D154" s="2"/>
      <c r="E154" s="95">
        <f t="shared" ref="E154:P154" si="624">IF(ISERROR(VLOOKUP(CONCATENATE($B145,E$5),TBCHISTORIQUE,11,FALSE)/1000),0,VLOOKUP(CONCATENATE($B145,E$5),TBCHISTORIQUE,11,FALSE)/1000)</f>
        <v>0</v>
      </c>
      <c r="F154" s="167">
        <f t="shared" si="624"/>
        <v>0</v>
      </c>
      <c r="G154" s="167">
        <f t="shared" si="624"/>
        <v>0</v>
      </c>
      <c r="H154" s="167">
        <f t="shared" si="624"/>
        <v>0</v>
      </c>
      <c r="I154" s="167">
        <f t="shared" si="624"/>
        <v>0</v>
      </c>
      <c r="J154" s="167">
        <f t="shared" si="624"/>
        <v>0</v>
      </c>
      <c r="K154" s="167">
        <f t="shared" si="624"/>
        <v>0</v>
      </c>
      <c r="L154" s="167">
        <f t="shared" si="624"/>
        <v>0</v>
      </c>
      <c r="M154" s="167">
        <f t="shared" si="624"/>
        <v>0</v>
      </c>
      <c r="N154" s="167">
        <f t="shared" si="624"/>
        <v>0</v>
      </c>
      <c r="O154" s="167">
        <f t="shared" si="624"/>
        <v>0</v>
      </c>
      <c r="P154" s="168">
        <f t="shared" si="624"/>
        <v>0</v>
      </c>
      <c r="Q154" s="185">
        <f>SUMIF($E$5:$P$5,"&lt;="&amp;mois,E154:P154)</f>
        <v>0</v>
      </c>
      <c r="R154" s="2"/>
      <c r="S154" s="95">
        <f t="shared" ref="S154:AD154" si="625">IF(ISERROR(VLOOKUP(CONCATENATE($B145,S$5),TBCA,11,FALSE)/1000),0,VLOOKUP(CONCATENATE($B145,S$5),TBCA,11,FALSE)/1000)</f>
        <v>0</v>
      </c>
      <c r="T154" s="167">
        <f t="shared" si="625"/>
        <v>0</v>
      </c>
      <c r="U154" s="167">
        <f t="shared" si="625"/>
        <v>0</v>
      </c>
      <c r="V154" s="167">
        <f t="shared" si="625"/>
        <v>0</v>
      </c>
      <c r="W154" s="167">
        <f t="shared" si="625"/>
        <v>0</v>
      </c>
      <c r="X154" s="167">
        <f t="shared" si="625"/>
        <v>0</v>
      </c>
      <c r="Y154" s="167">
        <f t="shared" si="625"/>
        <v>0</v>
      </c>
      <c r="Z154" s="167">
        <f t="shared" si="625"/>
        <v>0</v>
      </c>
      <c r="AA154" s="167">
        <f t="shared" si="625"/>
        <v>0</v>
      </c>
      <c r="AB154" s="167">
        <f t="shared" si="625"/>
        <v>0</v>
      </c>
      <c r="AC154" s="167">
        <f t="shared" si="625"/>
        <v>0</v>
      </c>
      <c r="AD154" s="168">
        <f t="shared" si="625"/>
        <v>0</v>
      </c>
      <c r="AE154" s="95">
        <f>SUMIF($S$5:$AD$5,"&lt;="&amp;mois,S154:AD154)</f>
        <v>0</v>
      </c>
      <c r="AF154" s="292"/>
      <c r="AG154" s="102">
        <f t="shared" si="623"/>
        <v>0</v>
      </c>
      <c r="AH154" s="102" t="e">
        <f>IF(EXCERCICE="PA",AE154-($CC154/12*(mois)),IF(EXCERCICE="LB1",AE154-($CF154/12*(mois)),AE154-($CK154/12*(mois))))</f>
        <v>#REF!</v>
      </c>
      <c r="AI154" s="102"/>
      <c r="AJ154" s="212">
        <f>IF(ISERROR(IF(EXCERCICE="PA",AE154/$CC154,IF(EXCERCICE="LB1",AE154/$CF154,AE154/$CK154))),0,IF(EXCERCICE="PA",AE154/$CC154,IF(EXCERCICE="LB1",AE154/$CF154,AE154/$CK154)))</f>
        <v>0</v>
      </c>
      <c r="AK154" s="212"/>
      <c r="AL154" s="58"/>
      <c r="AM154" s="11"/>
      <c r="AN154" s="243"/>
      <c r="AO154" s="95" t="e">
        <f>IF(mois+1&gt;12,AN154,+$AE154+AN154)</f>
        <v>#REF!</v>
      </c>
      <c r="AP154" s="292"/>
      <c r="AQ154" s="102" t="e">
        <f>AO154-AP154</f>
        <v>#REF!</v>
      </c>
      <c r="AR154" s="17" t="e">
        <f>IF(mois+1&gt;12,0,IF(mois=12,IF(EXCERCICE="PA",AO154-($CC154/12),IF(EXCERCICE="LB1",AO154-($CF154/12),AO154-($CK154/12))),IF(EXCERCICE="PA",AO154-($CC154/12*(mois+1)),IF(EXCERCICE="LB1",AO154-($CF154/12*(mois+1)),AO154-($CK154/12*(mois+1))))))</f>
        <v>#REF!</v>
      </c>
      <c r="AS154" s="179"/>
      <c r="AT154" s="212" t="e">
        <f>IF(mois+1&gt;12,0,IF(ISERROR(IF(EXCERCICE="PA",AO154/$CC154,IF(EXCERCICE="LB1",AO154/$CF154,AO154/$CK154))),0,IF(EXCERCICE="PA",AO154/$CC154,IF(EXCERCICE="LB1",AO154/$CF154,AO154/$CK154))))</f>
        <v>#REF!</v>
      </c>
      <c r="AU154" s="221"/>
      <c r="AV154" s="11"/>
      <c r="AW154" s="11"/>
      <c r="AX154" s="243"/>
      <c r="AY154" s="95"/>
      <c r="AZ154" s="292"/>
      <c r="BA154" s="17" t="e">
        <f>IF(mois+2&gt;12,0,IF(mois=12,IF(EXCERCICE="PA",AY154-($CC154/12),IF(EXCERCICE="LB1",AY154-($CF154/12),AY154-($CK154/12))),IF(EXCERCICE="PA",AY154-($CC154/12*(mois+2)),IF(EXCERCICE="LB1",AY154-($CF154/12*(mois+2)),AY154-($CK154/12*(mois+2))))))</f>
        <v>#REF!</v>
      </c>
      <c r="BB154" s="179"/>
      <c r="BC154" s="212" t="e">
        <f>IF(mois+2&gt;12,0,IF(ISERROR(IF(EXCERCICE="PA",AY154/$CC154,IF(EXCERCICE="LB1",AY154/$CF154,AY154/$CK154))),0,IF(EXCERCICE="PA",AY154/$CC154,IF(EXCERCICE="LB1",AY154/$CF154,AY154/$CK154))))</f>
        <v>#REF!</v>
      </c>
      <c r="BD154" s="221"/>
      <c r="BE154" s="58"/>
      <c r="BF154" s="11"/>
      <c r="BG154" s="243"/>
      <c r="BH154" s="95" t="e">
        <f>IF(mois+3=13,BG154,IF(mois+3&gt;15,BG154,+$AY154+BG154))</f>
        <v>#REF!</v>
      </c>
      <c r="BI154" s="17" t="e">
        <f>IF(mois+3&gt;12,0,IF(mois=12,IF(EXCERCICE="PA",BH154-($CC154/12),IF(EXCERCICE="LB1",BH154-($CF154/12),BH154-($CK154/12))),IF(EXCERCICE="PA",BH154-($CC154/12*(mois+3)),IF(EXCERCICE="LB1",BH154-($CF154/12*(mois+3)),BH154-($CK154/12*(mois+3))))))</f>
        <v>#REF!</v>
      </c>
      <c r="BJ154" s="17"/>
      <c r="BK154" s="212" t="e">
        <f>IF(mois+3&gt;12,0,IF(ISERROR(IF(EXCERCICE="PA",BH154/$CC154,IF(EXCERCICE="LB1",BH154/$CF154,BH154/$CK154))),0,IF(EXCERCICE="PA",BH154/$CC154,IF(EXCERCICE="LB1",BH154/$CF154,BH154/$CK154))))</f>
        <v>#REF!</v>
      </c>
      <c r="BL154" s="221"/>
      <c r="BM154" s="2"/>
      <c r="BN154" s="123" t="e">
        <f>IF(mois&gt;=12,IF(EXCERCICE="PA",CC154-AE154,IF(EXCERCICE="LB1",CF154-AE154,IF(EXCERCICE="LB2",$CK154-AE154))),
IF(mois+1&lt;=13,IF(EXCERCICE="PA",CC154-AO154,IF(EXCERCICE="LB1",CF154-AO154,IF(EXCERCICE="LB2",$CK154-AO154))),
IF(mois+2&lt;=14,IF(EXCERCICE="PA",CC154-AY154,IF(EXCERCICE="LB1",CF154-AY154,IF(EXCERCICE="LB2",$CK154-AY154))),
IF(mois+3&lt;=15,IF(EXCERCICE="PA",CC154-BH154,IF(EXCERCICE="LB1",CF154-BH154,IF(EXCERCICE="LB2",$CK154-BH154))),0))))</f>
        <v>#REF!</v>
      </c>
      <c r="BO154" s="123" t="e">
        <f>IF(BN154&lt;0,0,BN154/(12-mois))</f>
        <v>#REF!</v>
      </c>
      <c r="BP154" s="2"/>
      <c r="BQ154" s="173"/>
      <c r="BR154" s="173"/>
      <c r="BS154" s="173"/>
      <c r="BT154" s="173"/>
      <c r="BU154" s="173"/>
      <c r="BV154" s="173"/>
      <c r="BW154" s="173"/>
      <c r="BX154" s="173"/>
      <c r="BY154" s="173"/>
      <c r="BZ154" s="173"/>
      <c r="CA154" s="173"/>
      <c r="CB154" s="173"/>
      <c r="CC154" s="95"/>
      <c r="CD154" s="203"/>
      <c r="CE154" s="11"/>
      <c r="CF154" s="95"/>
      <c r="CG154" s="125"/>
      <c r="CH154" s="59"/>
      <c r="CI154" s="58"/>
      <c r="CJ154" s="11"/>
      <c r="CK154" s="95"/>
      <c r="CL154" s="125"/>
      <c r="CM154" s="17"/>
    </row>
    <row r="155" spans="2:91" x14ac:dyDescent="0.2">
      <c r="B155" s="56"/>
      <c r="C155" s="142" t="s">
        <v>63</v>
      </c>
      <c r="D155" s="2"/>
      <c r="E155" s="69" t="str">
        <f>IF(E153=0,"-",E154/E153)</f>
        <v>-</v>
      </c>
      <c r="F155" s="9" t="str">
        <f t="shared" ref="F155" si="626">IF(F153=0,"-",F154/F153)</f>
        <v>-</v>
      </c>
      <c r="G155" s="9" t="str">
        <f t="shared" ref="G155" si="627">IF(G153=0,"-",G154/G153)</f>
        <v>-</v>
      </c>
      <c r="H155" s="9" t="str">
        <f t="shared" ref="H155" si="628">IF(H153=0,"-",H154/H153)</f>
        <v>-</v>
      </c>
      <c r="I155" s="9" t="str">
        <f t="shared" ref="I155" si="629">IF(I153=0,"-",I154/I153)</f>
        <v>-</v>
      </c>
      <c r="J155" s="9" t="str">
        <f t="shared" ref="J155" si="630">IF(J153=0,"-",J154/J153)</f>
        <v>-</v>
      </c>
      <c r="K155" s="9" t="str">
        <f t="shared" ref="K155" si="631">IF(K153=0,"-",K154/K153)</f>
        <v>-</v>
      </c>
      <c r="L155" s="9" t="str">
        <f t="shared" ref="L155" si="632">IF(L153=0,"-",L154/L153)</f>
        <v>-</v>
      </c>
      <c r="M155" s="9" t="str">
        <f t="shared" ref="M155" si="633">IF(M153=0,"-",M154/M153)</f>
        <v>-</v>
      </c>
      <c r="N155" s="9" t="str">
        <f t="shared" ref="N155" si="634">IF(N153=0,"-",N154/N153)</f>
        <v>-</v>
      </c>
      <c r="O155" s="9" t="str">
        <f t="shared" ref="O155" si="635">IF(O153=0,"-",O154/O153)</f>
        <v>-</v>
      </c>
      <c r="P155" s="9" t="str">
        <f t="shared" ref="P155" si="636">IF(P153=0,"-",P154/P153)</f>
        <v>-</v>
      </c>
      <c r="Q155" s="188" t="str">
        <f t="shared" ref="Q155" si="637">IF(Q153=0,"-",Q154/Q153)</f>
        <v>-</v>
      </c>
      <c r="R155" s="2"/>
      <c r="S155" s="69" t="str">
        <f>IF(S153=0,"-",S154/S153)</f>
        <v>-</v>
      </c>
      <c r="T155" s="9" t="str">
        <f t="shared" ref="T155" si="638">IF(T153=0,"-",T154/T153)</f>
        <v>-</v>
      </c>
      <c r="U155" s="9" t="str">
        <f t="shared" ref="U155" si="639">IF(U153=0,"-",U154/U153)</f>
        <v>-</v>
      </c>
      <c r="V155" s="9" t="str">
        <f t="shared" ref="V155" si="640">IF(V153=0,"-",V154/V153)</f>
        <v>-</v>
      </c>
      <c r="W155" s="9" t="str">
        <f t="shared" ref="W155" si="641">IF(W153=0,"-",W154/W153)</f>
        <v>-</v>
      </c>
      <c r="X155" s="9" t="str">
        <f t="shared" ref="X155" si="642">IF(X153=0,"-",X154/X153)</f>
        <v>-</v>
      </c>
      <c r="Y155" s="9" t="str">
        <f t="shared" ref="Y155" si="643">IF(Y153=0,"-",Y154/Y153)</f>
        <v>-</v>
      </c>
      <c r="Z155" s="9" t="str">
        <f t="shared" ref="Z155" si="644">IF(Z153=0,"-",Z154/Z153)</f>
        <v>-</v>
      </c>
      <c r="AA155" s="9" t="str">
        <f t="shared" ref="AA155" si="645">IF(AA153=0,"-",AA154/AA153)</f>
        <v>-</v>
      </c>
      <c r="AB155" s="9" t="str">
        <f t="shared" ref="AB155" si="646">IF(AB153=0,"-",AB154/AB153)</f>
        <v>-</v>
      </c>
      <c r="AC155" s="9" t="str">
        <f t="shared" ref="AC155" si="647">IF(AC153=0,"-",AC154/AC153)</f>
        <v>-</v>
      </c>
      <c r="AD155" s="9" t="str">
        <f t="shared" ref="AD155" si="648">IF(AD153=0,"-",AD154/AD153)</f>
        <v>-</v>
      </c>
      <c r="AE155" s="69" t="str">
        <f>IF(AE153=0,"-",AE154/AE153)</f>
        <v>-</v>
      </c>
      <c r="AF155" s="295"/>
      <c r="AG155" s="105" t="str">
        <f t="shared" ref="AG155:AH155" si="649">IF(AG153=0,"-",AG154/AG153)</f>
        <v>-</v>
      </c>
      <c r="AH155" s="105" t="e">
        <f t="shared" si="649"/>
        <v>#REF!</v>
      </c>
      <c r="AI155" s="105"/>
      <c r="AJ155" s="212"/>
      <c r="AK155" s="212"/>
      <c r="AL155" s="58"/>
      <c r="AM155" s="11"/>
      <c r="AN155" s="244"/>
      <c r="AO155" s="69" t="e">
        <f t="shared" ref="AO155" si="650">IF(AO153=0,"-",AO154/AO153)</f>
        <v>#REF!</v>
      </c>
      <c r="AP155" s="295"/>
      <c r="AQ155" s="105" t="e">
        <f t="shared" ref="AQ155:AR155" si="651">IF(AQ153=0,"-",AQ154/AQ153)</f>
        <v>#REF!</v>
      </c>
      <c r="AR155" s="9" t="e">
        <f t="shared" si="651"/>
        <v>#REF!</v>
      </c>
      <c r="AS155" s="105"/>
      <c r="AT155" s="212"/>
      <c r="AU155" s="221"/>
      <c r="AV155" s="11"/>
      <c r="AW155" s="11"/>
      <c r="AX155" s="244"/>
      <c r="AY155" s="69"/>
      <c r="AZ155" s="295"/>
      <c r="BA155" s="9" t="e">
        <f t="shared" ref="BA155" si="652">IF(BA153=0,"-",BA154/BA153)</f>
        <v>#REF!</v>
      </c>
      <c r="BB155" s="105"/>
      <c r="BC155" s="212"/>
      <c r="BD155" s="221"/>
      <c r="BE155" s="58"/>
      <c r="BF155" s="11"/>
      <c r="BG155" s="244"/>
      <c r="BH155" s="69" t="e">
        <f t="shared" ref="BH155:BI155" si="653">IF(BH153=0,"-",BH154/BH153)</f>
        <v>#REF!</v>
      </c>
      <c r="BI155" s="9" t="e">
        <f t="shared" si="653"/>
        <v>#REF!</v>
      </c>
      <c r="BJ155" s="9"/>
      <c r="BK155" s="212"/>
      <c r="BL155" s="221"/>
      <c r="BM155" s="2"/>
      <c r="BN155" s="232"/>
      <c r="BO155" s="232"/>
      <c r="BP155" s="2"/>
      <c r="BQ155" s="173"/>
      <c r="BR155" s="173"/>
      <c r="BS155" s="173"/>
      <c r="BT155" s="173"/>
      <c r="BU155" s="173"/>
      <c r="BV155" s="173"/>
      <c r="BW155" s="173"/>
      <c r="BX155" s="173"/>
      <c r="BY155" s="173"/>
      <c r="BZ155" s="173"/>
      <c r="CA155" s="173"/>
      <c r="CB155" s="173"/>
      <c r="CC155" s="69"/>
      <c r="CD155" s="203"/>
      <c r="CE155" s="11"/>
      <c r="CF155" s="69"/>
      <c r="CG155" s="135"/>
      <c r="CH155" s="149"/>
      <c r="CI155" s="58"/>
      <c r="CJ155" s="11"/>
      <c r="CK155" s="69"/>
      <c r="CL155" s="135"/>
      <c r="CM155" s="10"/>
    </row>
    <row r="156" spans="2:91" x14ac:dyDescent="0.2">
      <c r="B156" s="56"/>
      <c r="C156" s="70"/>
      <c r="D156" s="2"/>
      <c r="E156" s="58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89"/>
      <c r="R156" s="2"/>
      <c r="S156" s="58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58"/>
      <c r="AF156" s="296"/>
      <c r="AG156" s="106"/>
      <c r="AH156" s="106"/>
      <c r="AI156" s="106"/>
      <c r="AJ156" s="198"/>
      <c r="AK156" s="198"/>
      <c r="AL156" s="58"/>
      <c r="AM156" s="11"/>
      <c r="AN156" s="245"/>
      <c r="AO156" s="58"/>
      <c r="AP156" s="296"/>
      <c r="AQ156" s="106"/>
      <c r="AR156" s="71"/>
      <c r="AS156" s="106"/>
      <c r="AT156" s="198"/>
      <c r="AU156" s="225"/>
      <c r="AV156" s="11"/>
      <c r="AW156" s="11"/>
      <c r="AX156" s="245"/>
      <c r="AY156" s="58"/>
      <c r="AZ156" s="296"/>
      <c r="BA156" s="71"/>
      <c r="BB156" s="106"/>
      <c r="BC156" s="198"/>
      <c r="BD156" s="225"/>
      <c r="BE156" s="58"/>
      <c r="BF156" s="11"/>
      <c r="BG156" s="245"/>
      <c r="BH156" s="58"/>
      <c r="BI156" s="11"/>
      <c r="BJ156" s="11"/>
      <c r="BK156" s="198"/>
      <c r="BL156" s="225"/>
      <c r="BM156" s="2"/>
      <c r="BN156" s="233"/>
      <c r="BO156" s="233"/>
      <c r="BP156" s="2"/>
      <c r="BQ156" s="173"/>
      <c r="BR156" s="173"/>
      <c r="BS156" s="173"/>
      <c r="BT156" s="173"/>
      <c r="BU156" s="173"/>
      <c r="BV156" s="173"/>
      <c r="BW156" s="173"/>
      <c r="BX156" s="173"/>
      <c r="BY156" s="173"/>
      <c r="BZ156" s="173"/>
      <c r="CA156" s="173"/>
      <c r="CB156" s="173"/>
      <c r="CC156" s="133"/>
      <c r="CD156" s="208"/>
      <c r="CE156" s="11"/>
      <c r="CF156" s="133"/>
      <c r="CG156" s="125"/>
      <c r="CH156" s="70"/>
      <c r="CI156" s="58"/>
      <c r="CJ156" s="11"/>
      <c r="CK156" s="133"/>
      <c r="CL156" s="125"/>
      <c r="CM156" s="71"/>
    </row>
    <row r="157" spans="2:91" x14ac:dyDescent="0.2">
      <c r="B157" s="72"/>
      <c r="C157" s="73" t="s">
        <v>9</v>
      </c>
      <c r="D157" s="74"/>
      <c r="E157" s="97">
        <f>IF(ISERROR(VLOOKUP(CONCATENATE($B145,E$5),TBCHISTORIQUE,12,FALSE)/1000),0,VLOOKUP(CONCATENATE($B145,E$5),TBCHISTORIQUE,12,FALSE)/1000)</f>
        <v>0</v>
      </c>
      <c r="F157" s="171">
        <f t="shared" ref="F157:P157" si="654">IF(ISERROR(VLOOKUP(CONCATENATE($B$50,F$5),TBCHISTORIQUE,12,FALSE)/1000),0,VLOOKUP(CONCATENATE($B$50,F$5),TBCHISTORIQUE,12,FALSE)/1000)</f>
        <v>0</v>
      </c>
      <c r="G157" s="171">
        <f t="shared" si="654"/>
        <v>0</v>
      </c>
      <c r="H157" s="171">
        <f t="shared" si="654"/>
        <v>0</v>
      </c>
      <c r="I157" s="171">
        <f t="shared" si="654"/>
        <v>0</v>
      </c>
      <c r="J157" s="171">
        <f t="shared" si="654"/>
        <v>0</v>
      </c>
      <c r="K157" s="171">
        <f t="shared" si="654"/>
        <v>0</v>
      </c>
      <c r="L157" s="171">
        <f t="shared" si="654"/>
        <v>0</v>
      </c>
      <c r="M157" s="171">
        <f t="shared" si="654"/>
        <v>0</v>
      </c>
      <c r="N157" s="171">
        <f t="shared" si="654"/>
        <v>0</v>
      </c>
      <c r="O157" s="171">
        <f t="shared" si="654"/>
        <v>0</v>
      </c>
      <c r="P157" s="172">
        <f t="shared" si="654"/>
        <v>0</v>
      </c>
      <c r="Q157" s="190">
        <f>SUMIF($E$5:$P$5,"&lt;="&amp;mois,E157:P157)</f>
        <v>0</v>
      </c>
      <c r="R157" s="74"/>
      <c r="S157" s="97">
        <f t="shared" ref="S157:AD157" si="655">IF(ISERROR(VLOOKUP(CONCATENATE($B145,S$5),TBCA,12,FALSE)/1000),0,VLOOKUP(CONCATENATE($B145,S$5),TBCA,12,FALSE)/1000)</f>
        <v>0</v>
      </c>
      <c r="T157" s="171">
        <f t="shared" si="655"/>
        <v>0</v>
      </c>
      <c r="U157" s="171">
        <f t="shared" si="655"/>
        <v>0</v>
      </c>
      <c r="V157" s="171">
        <f t="shared" si="655"/>
        <v>0</v>
      </c>
      <c r="W157" s="171">
        <f t="shared" si="655"/>
        <v>0</v>
      </c>
      <c r="X157" s="171">
        <f t="shared" si="655"/>
        <v>0</v>
      </c>
      <c r="Y157" s="171">
        <f t="shared" si="655"/>
        <v>0</v>
      </c>
      <c r="Z157" s="171">
        <f t="shared" si="655"/>
        <v>0</v>
      </c>
      <c r="AA157" s="171">
        <f t="shared" si="655"/>
        <v>0</v>
      </c>
      <c r="AB157" s="171">
        <f t="shared" si="655"/>
        <v>0</v>
      </c>
      <c r="AC157" s="171">
        <f t="shared" si="655"/>
        <v>0</v>
      </c>
      <c r="AD157" s="172">
        <f t="shared" si="655"/>
        <v>0</v>
      </c>
      <c r="AE157" s="97">
        <f>SUMIF($S$5:$AD$5,"&lt;="&amp;mois,S157:AD157)</f>
        <v>0</v>
      </c>
      <c r="AF157" s="292"/>
      <c r="AG157" s="107">
        <f>AE157-AF157</f>
        <v>0</v>
      </c>
      <c r="AH157" s="107" t="e">
        <f>IF(EXCERCICE="PA",AE157-($CC157/12*(mois)),IF(EXCERCICE="LB1",AE157-($CF157/12*(mois)),AE157-($CK157/12*(mois))))</f>
        <v>#REF!</v>
      </c>
      <c r="AI157" s="107"/>
      <c r="AJ157" s="215">
        <f>IF(ISERROR(IF(EXCERCICE="PA",AE157/$CC157,IF(EXCERCICE="LB1",AE157/$CF157,AE157/$CK157))),0,IF(EXCERCICE="PA",AE157/$CC157,IF(EXCERCICE="LB1",AE157/$CF157,AE157/$CK157)))</f>
        <v>0</v>
      </c>
      <c r="AK157" s="215"/>
      <c r="AL157" s="75"/>
      <c r="AM157" s="77"/>
      <c r="AN157" s="246"/>
      <c r="AO157" s="97" t="e">
        <f>IF(mois+1&gt;12,AN157,+$AE157+AN157)</f>
        <v>#REF!</v>
      </c>
      <c r="AP157" s="292"/>
      <c r="AQ157" s="107" t="e">
        <f>AO157-AP157</f>
        <v>#REF!</v>
      </c>
      <c r="AR157" s="78" t="e">
        <f>IF(mois+1&gt;12,0,IF(mois=12,IF(EXCERCICE="PA",AO157-($CC157/12),IF(EXCERCICE="LB1",AO157-($CF157/12),AO157-($CK157/12))),IF(EXCERCICE="PA",AO157-($CC157/12*(mois+1)),IF(EXCERCICE="LB1",AO157-($CF157/12*(mois+1)),AO157-($CK157/12*(mois+1))))))</f>
        <v>#REF!</v>
      </c>
      <c r="AS157" s="180"/>
      <c r="AT157" s="215" t="e">
        <f>IF(mois+1&gt;12,0,IF(ISERROR(IF(EXCERCICE="PA",AO157/$CC157,IF(EXCERCICE="LB1",AO157/$CF157,AO157/$CK157))),0,IF(EXCERCICE="PA",AO157/$CC157,IF(EXCERCICE="LB1",AO157/$CF157,AO157/$CK157))))</f>
        <v>#REF!</v>
      </c>
      <c r="AU157" s="226"/>
      <c r="AV157" s="11"/>
      <c r="AW157" s="77"/>
      <c r="AX157" s="246"/>
      <c r="AY157" s="97"/>
      <c r="AZ157" s="292"/>
      <c r="BA157" s="78" t="e">
        <f>IF(mois+2&gt;12,0,IF(mois=12,IF(EXCERCICE="PA",AY157-($CC157/12),IF(EXCERCICE="LB1",AY157-($CF157/12),AY157-($CK157/12))),IF(EXCERCICE="PA",AY157-($CC157/12*(mois+2)),IF(EXCERCICE="LB1",AY157-($CF157/12*(mois+2)),AY157-($CK157/12*(mois+2))))))</f>
        <v>#REF!</v>
      </c>
      <c r="BB157" s="180"/>
      <c r="BC157" s="215" t="e">
        <f>IF(mois+2&gt;12,0,IF(ISERROR(IF(EXCERCICE="PA",AY157/$CC157,IF(EXCERCICE="LB1",AY157/$CF157,AY157/$CK157))),0,IF(EXCERCICE="PA",AY157/$CC157,IF(EXCERCICE="LB1",AY157/$CF157,AY157/$CK157))))</f>
        <v>#REF!</v>
      </c>
      <c r="BD157" s="226"/>
      <c r="BE157" s="75"/>
      <c r="BF157" s="77"/>
      <c r="BG157" s="246"/>
      <c r="BH157" s="97" t="e">
        <f>IF(mois+3=13,BG157,IF(mois+3&gt;15,BG157,+$AY157+BG157))</f>
        <v>#REF!</v>
      </c>
      <c r="BI157" s="78" t="e">
        <f>IF(mois+3&gt;12,0,IF(mois=12,IF(EXCERCICE="PA",BH157-($CC157/12),IF(EXCERCICE="LB1",BH157-($CF157/12),BH157-($CK157/12))),IF(EXCERCICE="PA",BH157-($CC157/12*(mois+3)),IF(EXCERCICE="LB1",BH157-($CF157/12*(mois+3)),BH157-($CK157/12*(mois+3))))))</f>
        <v>#REF!</v>
      </c>
      <c r="BJ157" s="78"/>
      <c r="BK157" s="215" t="e">
        <f>IF(mois+3&gt;12,0,IF(ISERROR(IF(EXCERCICE="PA",BH157/$CC157,IF(EXCERCICE="LB1",BH157/$CF157,BH157/$CK157))),0,IF(EXCERCICE="PA",BH157/$CC157,IF(EXCERCICE="LB1",BH157/$CF157,BH157/$CK157))))</f>
        <v>#REF!</v>
      </c>
      <c r="BL157" s="226"/>
      <c r="BM157" s="2"/>
      <c r="BN157" s="123" t="e">
        <f>IF(mois&gt;=12,IF(EXCERCICE="PA",CC157-AE157,IF(EXCERCICE="LB1",CF157-AE157,IF(EXCERCICE="LB2",$CK157-AE157))),
IF(mois+1&lt;=13,IF(EXCERCICE="PA",CC157-AO157,IF(EXCERCICE="LB1",CF157-AO157,IF(EXCERCICE="LB2",$CK157-AO157))),
IF(mois+2&lt;=14,IF(EXCERCICE="PA",CC157-AY157,IF(EXCERCICE="LB1",CF157-AY157,IF(EXCERCICE="LB2",$CK157-AY157))),
IF(mois+3&lt;=15,IF(EXCERCICE="PA",CC157-BH157,IF(EXCERCICE="LB1",CF157-BH157,IF(EXCERCICE="LB2",$CK157-BH157))),0))))</f>
        <v>#REF!</v>
      </c>
      <c r="BO157" s="123" t="e">
        <f>IF(BN157&lt;0,0,BN157/(12-mois))</f>
        <v>#REF!</v>
      </c>
      <c r="BP157" s="2"/>
      <c r="BQ157" s="173"/>
      <c r="BR157" s="173"/>
      <c r="BS157" s="173"/>
      <c r="BT157" s="173"/>
      <c r="BU157" s="173"/>
      <c r="BV157" s="173"/>
      <c r="BW157" s="173"/>
      <c r="BX157" s="173"/>
      <c r="BY157" s="173"/>
      <c r="BZ157" s="173"/>
      <c r="CA157" s="173"/>
      <c r="CB157" s="173"/>
      <c r="CC157" s="97"/>
      <c r="CD157" s="209"/>
      <c r="CE157" s="77"/>
      <c r="CF157" s="97"/>
      <c r="CG157" s="136"/>
      <c r="CH157" s="76"/>
      <c r="CI157" s="75"/>
      <c r="CJ157" s="77"/>
      <c r="CK157" s="97"/>
      <c r="CL157" s="136"/>
      <c r="CM157" s="78"/>
    </row>
    <row r="158" spans="2:91" x14ac:dyDescent="0.2">
      <c r="B158" s="72"/>
      <c r="C158" s="73" t="s">
        <v>10</v>
      </c>
      <c r="D158" s="74"/>
      <c r="E158" s="97">
        <f>IF(ISERROR(VLOOKUP(CONCATENATE($B145,E$5),TBCHISTORIQUE,13,FALSE)/1000),0,VLOOKUP(CONCATENATE($B145,E$5),TBCHISTORIQUE,13,FALSE)/1000)</f>
        <v>0</v>
      </c>
      <c r="F158" s="171">
        <f t="shared" ref="F158:P158" si="656">IF(ISERROR(VLOOKUP(CONCATENATE($B$50,F$5),TBCHISTORIQUE,13,FALSE)/1000),0,VLOOKUP(CONCATENATE($B$50,F$5),TBCHISTORIQUE,13,FALSE)/1000)</f>
        <v>0</v>
      </c>
      <c r="G158" s="171">
        <f t="shared" si="656"/>
        <v>0</v>
      </c>
      <c r="H158" s="171">
        <f t="shared" si="656"/>
        <v>0</v>
      </c>
      <c r="I158" s="171">
        <f t="shared" si="656"/>
        <v>0</v>
      </c>
      <c r="J158" s="171">
        <f t="shared" si="656"/>
        <v>0</v>
      </c>
      <c r="K158" s="171">
        <f t="shared" si="656"/>
        <v>0</v>
      </c>
      <c r="L158" s="171">
        <f t="shared" si="656"/>
        <v>0</v>
      </c>
      <c r="M158" s="171">
        <f t="shared" si="656"/>
        <v>0</v>
      </c>
      <c r="N158" s="171">
        <f t="shared" si="656"/>
        <v>0</v>
      </c>
      <c r="O158" s="171">
        <f t="shared" si="656"/>
        <v>0</v>
      </c>
      <c r="P158" s="172">
        <f t="shared" si="656"/>
        <v>0</v>
      </c>
      <c r="Q158" s="190">
        <f>SUMIF($E$5:$P$5,"&lt;="&amp;mois,E158:P158)</f>
        <v>0</v>
      </c>
      <c r="R158" s="74"/>
      <c r="S158" s="97">
        <f t="shared" ref="S158:AD158" si="657">IF(ISERROR(VLOOKUP(CONCATENATE($B145,S$5),TBCA,13,FALSE)/1000),0,VLOOKUP(CONCATENATE($B145,S$5),TBCA,13,FALSE)/1000)</f>
        <v>0</v>
      </c>
      <c r="T158" s="171">
        <f t="shared" si="657"/>
        <v>0</v>
      </c>
      <c r="U158" s="171">
        <f t="shared" si="657"/>
        <v>0</v>
      </c>
      <c r="V158" s="171">
        <f t="shared" si="657"/>
        <v>0</v>
      </c>
      <c r="W158" s="171">
        <f t="shared" si="657"/>
        <v>0</v>
      </c>
      <c r="X158" s="171">
        <f t="shared" si="657"/>
        <v>0</v>
      </c>
      <c r="Y158" s="171">
        <f t="shared" si="657"/>
        <v>0</v>
      </c>
      <c r="Z158" s="171">
        <f t="shared" si="657"/>
        <v>0</v>
      </c>
      <c r="AA158" s="171">
        <f t="shared" si="657"/>
        <v>0</v>
      </c>
      <c r="AB158" s="171">
        <f t="shared" si="657"/>
        <v>0</v>
      </c>
      <c r="AC158" s="171">
        <f t="shared" si="657"/>
        <v>0</v>
      </c>
      <c r="AD158" s="172">
        <f t="shared" si="657"/>
        <v>0</v>
      </c>
      <c r="AE158" s="97">
        <f>SUMIF($S$5:$AD$5,"&lt;="&amp;mois,S158:AD158)</f>
        <v>0</v>
      </c>
      <c r="AF158" s="292"/>
      <c r="AG158" s="107">
        <f>AE158-AF158</f>
        <v>0</v>
      </c>
      <c r="AH158" s="107" t="e">
        <f>IF(EXCERCICE="PA",AE158-($CC158/12*(mois)),IF(EXCERCICE="LB1",AE158-($CF158/12*(mois)),AE158-($CK158/12*(mois))))</f>
        <v>#REF!</v>
      </c>
      <c r="AI158" s="107"/>
      <c r="AJ158" s="215">
        <f>IF(ISERROR(IF(EXCERCICE="PA",AE158/$CC158,IF(EXCERCICE="LB1",AE158/$CF158,AE158/$CK158))),0,IF(EXCERCICE="PA",AE158/$CC158,IF(EXCERCICE="LB1",AE158/$CF158,AE158/$CK158)))</f>
        <v>0</v>
      </c>
      <c r="AK158" s="215"/>
      <c r="AL158" s="75"/>
      <c r="AM158" s="77"/>
      <c r="AN158" s="246"/>
      <c r="AO158" s="97" t="e">
        <f>IF(mois+1&gt;12,AN158,+$AE158+AN158)</f>
        <v>#REF!</v>
      </c>
      <c r="AP158" s="292"/>
      <c r="AQ158" s="107" t="e">
        <f>AO158-AP158</f>
        <v>#REF!</v>
      </c>
      <c r="AR158" s="78" t="e">
        <f>IF(mois+1&gt;12,0,IF(mois=12,IF(EXCERCICE="PA",AO158-($CC158/12),IF(EXCERCICE="LB1",AO158-($CF158/12),AO158-($CK158/12))),IF(EXCERCICE="PA",AO158-($CC158/12*(mois+1)),IF(EXCERCICE="LB1",AO158-($CF158/12*(mois+1)),AO158-($CK158/12*(mois+1))))))</f>
        <v>#REF!</v>
      </c>
      <c r="AS158" s="180"/>
      <c r="AT158" s="215" t="e">
        <f>IF(mois+1&gt;12,0,IF(ISERROR(IF(EXCERCICE="PA",AO158/$CC158,IF(EXCERCICE="LB1",AO158/$CF158,AO158/$CK158))),0,IF(EXCERCICE="PA",AO158/$CC158,IF(EXCERCICE="LB1",AO158/$CF158,AO158/$CK158))))</f>
        <v>#REF!</v>
      </c>
      <c r="AU158" s="226"/>
      <c r="AV158" s="11"/>
      <c r="AW158" s="77"/>
      <c r="AX158" s="246"/>
      <c r="AY158" s="97"/>
      <c r="AZ158" s="292"/>
      <c r="BA158" s="78" t="e">
        <f>IF(mois+2&gt;12,0,IF(mois=12,IF(EXCERCICE="PA",AY158-($CC158/12),IF(EXCERCICE="LB1",AY158-($CF158/12),AY158-($CK158/12))),IF(EXCERCICE="PA",AY158-($CC158/12*(mois+2)),IF(EXCERCICE="LB1",AY158-($CF158/12*(mois+2)),AY158-($CK158/12*(mois+2))))))</f>
        <v>#REF!</v>
      </c>
      <c r="BB158" s="180"/>
      <c r="BC158" s="215" t="e">
        <f>IF(mois+2&gt;12,0,IF(ISERROR(IF(EXCERCICE="PA",AY158/$CC158,IF(EXCERCICE="LB1",AY158/$CF158,AY158/$CK158))),0,IF(EXCERCICE="PA",AY158/$CC158,IF(EXCERCICE="LB1",AY158/$CF158,AY158/$CK158))))</f>
        <v>#REF!</v>
      </c>
      <c r="BD158" s="226"/>
      <c r="BE158" s="75"/>
      <c r="BF158" s="77"/>
      <c r="BG158" s="246"/>
      <c r="BH158" s="97" t="e">
        <f>IF(mois+3=13,BG158,IF(mois+3&gt;15,BG158,+$AY158+BG158))</f>
        <v>#REF!</v>
      </c>
      <c r="BI158" s="78" t="e">
        <f>IF(mois+3&gt;12,0,IF(mois=12,IF(EXCERCICE="PA",BH158-($CC158/12),IF(EXCERCICE="LB1",BH158-($CF158/12),BH158-($CK158/12))),IF(EXCERCICE="PA",BH158-($CC158/12*(mois+3)),IF(EXCERCICE="LB1",BH158-($CF158/12*(mois+3)),BH158-($CK158/12*(mois+3))))))</f>
        <v>#REF!</v>
      </c>
      <c r="BJ158" s="78"/>
      <c r="BK158" s="215" t="e">
        <f>IF(mois+3&gt;12,0,IF(ISERROR(IF(EXCERCICE="PA",BH158/$CC158,IF(EXCERCICE="LB1",BH158/$CF158,BH158/$CK158))),0,IF(EXCERCICE="PA",BH158/$CC158,IF(EXCERCICE="LB1",BH158/$CF158,BH158/$CK158))))</f>
        <v>#REF!</v>
      </c>
      <c r="BL158" s="226"/>
      <c r="BM158" s="2"/>
      <c r="BN158" s="123" t="e">
        <f>IF(mois&gt;=12,IF(EXCERCICE="PA",CC158-AE158,IF(EXCERCICE="LB1",CF158-AE158,IF(EXCERCICE="LB2",$CK158-AE158))),
IF(mois+1&lt;=13,IF(EXCERCICE="PA",CC158-AO158,IF(EXCERCICE="LB1",CF158-AO158,IF(EXCERCICE="LB2",$CK158-AO158))),
IF(mois+2&lt;=14,IF(EXCERCICE="PA",CC158-AY158,IF(EXCERCICE="LB1",CF158-AY158,IF(EXCERCICE="LB2",$CK158-AY158))),
IF(mois+3&lt;=15,IF(EXCERCICE="PA",CC158-BH158,IF(EXCERCICE="LB1",CF158-BH158,IF(EXCERCICE="LB2",$CK158-BH158))),0))))</f>
        <v>#REF!</v>
      </c>
      <c r="BO158" s="123" t="e">
        <f>IF(BN158&lt;0,0,BN158/(12-mois))</f>
        <v>#REF!</v>
      </c>
      <c r="BP158" s="2"/>
      <c r="BQ158" s="173"/>
      <c r="BR158" s="173"/>
      <c r="BS158" s="173"/>
      <c r="BT158" s="173"/>
      <c r="BU158" s="173"/>
      <c r="BV158" s="173"/>
      <c r="BW158" s="173"/>
      <c r="BX158" s="173"/>
      <c r="BY158" s="173"/>
      <c r="BZ158" s="173"/>
      <c r="CA158" s="173"/>
      <c r="CB158" s="173"/>
      <c r="CC158" s="97"/>
      <c r="CD158" s="209"/>
      <c r="CE158" s="77"/>
      <c r="CF158" s="97"/>
      <c r="CG158" s="136"/>
      <c r="CH158" s="76"/>
      <c r="CI158" s="75"/>
      <c r="CJ158" s="77"/>
      <c r="CK158" s="97"/>
      <c r="CL158" s="136"/>
      <c r="CM158" s="78"/>
    </row>
    <row r="159" spans="2:91" x14ac:dyDescent="0.2">
      <c r="B159" s="56"/>
      <c r="C159" s="79" t="s">
        <v>64</v>
      </c>
      <c r="D159" s="51"/>
      <c r="E159" s="98">
        <f>E154+SUM(E157:E158)</f>
        <v>0</v>
      </c>
      <c r="F159" s="14">
        <f t="shared" ref="F159" si="658">F154+SUM(F157:F158)</f>
        <v>0</v>
      </c>
      <c r="G159" s="14">
        <f t="shared" ref="G159" si="659">G154+SUM(G157:G158)</f>
        <v>0</v>
      </c>
      <c r="H159" s="14">
        <f t="shared" ref="H159" si="660">H154+SUM(H157:H158)</f>
        <v>0</v>
      </c>
      <c r="I159" s="14">
        <f t="shared" ref="I159" si="661">I154+SUM(I157:I158)</f>
        <v>0</v>
      </c>
      <c r="J159" s="14">
        <f t="shared" ref="J159" si="662">J154+SUM(J157:J158)</f>
        <v>0</v>
      </c>
      <c r="K159" s="14">
        <f t="shared" ref="K159" si="663">K154+SUM(K157:K158)</f>
        <v>0</v>
      </c>
      <c r="L159" s="14">
        <f t="shared" ref="L159" si="664">L154+SUM(L157:L158)</f>
        <v>0</v>
      </c>
      <c r="M159" s="14">
        <f t="shared" ref="M159" si="665">M154+SUM(M157:M158)</f>
        <v>0</v>
      </c>
      <c r="N159" s="14">
        <f t="shared" ref="N159" si="666">N154+SUM(N157:N158)</f>
        <v>0</v>
      </c>
      <c r="O159" s="14">
        <f t="shared" ref="O159" si="667">O154+SUM(O157:O158)</f>
        <v>0</v>
      </c>
      <c r="P159" s="14">
        <f t="shared" ref="P159" si="668">P154+SUM(P157:P158)</f>
        <v>0</v>
      </c>
      <c r="Q159" s="191">
        <f>Q154+SUM(Q157:Q158)</f>
        <v>0</v>
      </c>
      <c r="R159" s="51"/>
      <c r="S159" s="98">
        <f>S154+SUM(S157:S158)</f>
        <v>0</v>
      </c>
      <c r="T159" s="14">
        <f t="shared" ref="T159" si="669">T154+SUM(T157:T158)</f>
        <v>0</v>
      </c>
      <c r="U159" s="14">
        <f t="shared" ref="U159" si="670">U154+SUM(U157:U158)</f>
        <v>0</v>
      </c>
      <c r="V159" s="14">
        <f t="shared" ref="V159" si="671">V154+SUM(V157:V158)</f>
        <v>0</v>
      </c>
      <c r="W159" s="14">
        <f t="shared" ref="W159" si="672">W154+SUM(W157:W158)</f>
        <v>0</v>
      </c>
      <c r="X159" s="14">
        <f t="shared" ref="X159" si="673">X154+SUM(X157:X158)</f>
        <v>0</v>
      </c>
      <c r="Y159" s="14">
        <f t="shared" ref="Y159" si="674">Y154+SUM(Y157:Y158)</f>
        <v>0</v>
      </c>
      <c r="Z159" s="14">
        <f t="shared" ref="Z159" si="675">Z154+SUM(Z157:Z158)</f>
        <v>0</v>
      </c>
      <c r="AA159" s="14">
        <f t="shared" ref="AA159" si="676">AA154+SUM(AA157:AA158)</f>
        <v>0</v>
      </c>
      <c r="AB159" s="14">
        <f t="shared" ref="AB159" si="677">AB154+SUM(AB157:AB158)</f>
        <v>0</v>
      </c>
      <c r="AC159" s="14">
        <f t="shared" ref="AC159" si="678">AC154+SUM(AC157:AC158)</f>
        <v>0</v>
      </c>
      <c r="AD159" s="14">
        <f t="shared" ref="AD159" si="679">AD154+SUM(AD157:AD158)</f>
        <v>0</v>
      </c>
      <c r="AE159" s="98">
        <f>AE154+SUM(AE157:AE158)</f>
        <v>0</v>
      </c>
      <c r="AF159" s="297"/>
      <c r="AG159" s="108">
        <f>AE159-AF159</f>
        <v>0</v>
      </c>
      <c r="AH159" s="108" t="e">
        <f>IF(EXCERCICE="PA",AE159-($CC159/12*(mois)),IF(EXCERCICE="LB1",AE159-($CF159/12*(mois)),AE159-($CK159/12*(mois))))</f>
        <v>#REF!</v>
      </c>
      <c r="AI159" s="108"/>
      <c r="AJ159" s="201">
        <f>IF(ISERROR(IF(EXCERCICE="PA",AE159/$CC159,IF(EXCERCICE="LB1",AE159/$CF159,AE159/$CK159))),0,IF(EXCERCICE="PA",AE159/$CC159,IF(EXCERCICE="LB1",AE159/$CF159,AE159/$CK159)))</f>
        <v>0</v>
      </c>
      <c r="AK159" s="201"/>
      <c r="AL159" s="52"/>
      <c r="AM159" s="54"/>
      <c r="AN159" s="247"/>
      <c r="AO159" s="98" t="e">
        <f>AO154+SUM(AO157:AO158)</f>
        <v>#REF!</v>
      </c>
      <c r="AP159" s="297"/>
      <c r="AQ159" s="108" t="e">
        <f>AO159-AP159</f>
        <v>#REF!</v>
      </c>
      <c r="AR159" s="14" t="e">
        <f>AR154+SUM(AR157:AR158)</f>
        <v>#REF!</v>
      </c>
      <c r="AS159" s="108"/>
      <c r="AT159" s="201" t="e">
        <f>IF(mois+1&gt;12,0,IF(ISERROR(IF(EXCERCICE="PA",AO159/$CC159,IF(EXCERCICE="LB1",AO159/$CF159,AO159/$CK159))),0,IF(EXCERCICE="PA",AO159/$CC159,IF(EXCERCICE="LB1",AO159/$CF159,AO159/$CK159))))</f>
        <v>#REF!</v>
      </c>
      <c r="AU159" s="227"/>
      <c r="AV159" s="11"/>
      <c r="AW159" s="54"/>
      <c r="AX159" s="247"/>
      <c r="AY159" s="98"/>
      <c r="AZ159" s="297"/>
      <c r="BA159" s="14" t="e">
        <f>BA154+SUM(BA157:BA158)</f>
        <v>#REF!</v>
      </c>
      <c r="BB159" s="108"/>
      <c r="BC159" s="201" t="e">
        <f>IF(mois+2&gt;12,0,IF(ISERROR(IF(EXCERCICE="PA",AY159/$CC159,IF(EXCERCICE="LB1",AY159/$CF159,AY159/$CK159))),0,IF(EXCERCICE="PA",AY159/$CC159,IF(EXCERCICE="LB1",AY159/$CF159,AY159/$CK159))))</f>
        <v>#REF!</v>
      </c>
      <c r="BD159" s="227"/>
      <c r="BE159" s="52"/>
      <c r="BF159" s="54"/>
      <c r="BG159" s="247"/>
      <c r="BH159" s="98" t="e">
        <f>BH154+SUM(BH157:BH158)</f>
        <v>#REF!</v>
      </c>
      <c r="BI159" s="14" t="e">
        <f>BI154+SUM(BI157:BI158)</f>
        <v>#REF!</v>
      </c>
      <c r="BJ159" s="14"/>
      <c r="BK159" s="201" t="e">
        <f>IF(mois+3&gt;12,0,IF(ISERROR(IF(EXCERCICE="PA",BH159/$CC159,IF(EXCERCICE="LB1",BH159/$CF159,BH159/$CK159))),0,IF(EXCERCICE="PA",BH159/$CC159,IF(EXCERCICE="LB1",BH159/$CF159,BH159/$CK159))))</f>
        <v>#REF!</v>
      </c>
      <c r="BL159" s="227"/>
      <c r="BM159" s="2"/>
      <c r="BN159" s="235" t="e">
        <f>IF(mois&gt;=12,IF(EXCERCICE="PA",CC159-AE159,IF(EXCERCICE="LB1",CF159-AE159,IF(EXCERCICE="LB2",$CK159-AE159))),
IF(mois+1&lt;=13,IF(EXCERCICE="PA",CC159-AO159,IF(EXCERCICE="LB1",CF159-AO159,IF(EXCERCICE="LB2",$CK159-AO159))),
IF(mois+2&lt;=14,IF(EXCERCICE="PA",CC159-AY159,IF(EXCERCICE="LB1",CF159-AY159,IF(EXCERCICE="LB2",$CK159-AY159))),
IF(mois+3&lt;=15,IF(EXCERCICE="PA",CC159-BH159,IF(EXCERCICE="LB1",CF159-BH159,IF(EXCERCICE="LB2",$CK159-BH159))),0))))</f>
        <v>#REF!</v>
      </c>
      <c r="BO159" s="235" t="e">
        <f>IF(BN159&lt;0,0,BN159/(12-mois))</f>
        <v>#REF!</v>
      </c>
      <c r="BP159" s="2"/>
      <c r="BQ159" s="173"/>
      <c r="BR159" s="173"/>
      <c r="BS159" s="173"/>
      <c r="BT159" s="173"/>
      <c r="BU159" s="173"/>
      <c r="BV159" s="173"/>
      <c r="BW159" s="173"/>
      <c r="BX159" s="173"/>
      <c r="BY159" s="173"/>
      <c r="BZ159" s="173"/>
      <c r="CA159" s="173"/>
      <c r="CB159" s="173"/>
      <c r="CC159" s="98"/>
      <c r="CD159" s="210"/>
      <c r="CE159" s="54"/>
      <c r="CF159" s="98"/>
      <c r="CG159" s="127"/>
      <c r="CH159" s="80"/>
      <c r="CI159" s="52"/>
      <c r="CJ159" s="54"/>
      <c r="CK159" s="98"/>
      <c r="CL159" s="127"/>
      <c r="CM159" s="14"/>
    </row>
    <row r="160" spans="2:91" x14ac:dyDescent="0.2">
      <c r="B160" s="60"/>
      <c r="C160" s="257" t="s">
        <v>65</v>
      </c>
      <c r="E160" s="61" t="str">
        <f>IF(E153=0,"-",E159/E153)</f>
        <v>-</v>
      </c>
      <c r="F160" s="7" t="str">
        <f t="shared" ref="F160" si="680">IF(F153=0,"-",F159/F153)</f>
        <v>-</v>
      </c>
      <c r="G160" s="7" t="str">
        <f t="shared" ref="G160" si="681">IF(G153=0,"-",G159/G153)</f>
        <v>-</v>
      </c>
      <c r="H160" s="7" t="str">
        <f t="shared" ref="H160" si="682">IF(H153=0,"-",H159/H153)</f>
        <v>-</v>
      </c>
      <c r="I160" s="7" t="str">
        <f t="shared" ref="I160" si="683">IF(I153=0,"-",I159/I153)</f>
        <v>-</v>
      </c>
      <c r="J160" s="7" t="str">
        <f t="shared" ref="J160" si="684">IF(J153=0,"-",J159/J153)</f>
        <v>-</v>
      </c>
      <c r="K160" s="7" t="str">
        <f t="shared" ref="K160" si="685">IF(K153=0,"-",K159/K153)</f>
        <v>-</v>
      </c>
      <c r="L160" s="7" t="str">
        <f t="shared" ref="L160" si="686">IF(L153=0,"-",L159/L153)</f>
        <v>-</v>
      </c>
      <c r="M160" s="7" t="str">
        <f t="shared" ref="M160" si="687">IF(M153=0,"-",M159/M153)</f>
        <v>-</v>
      </c>
      <c r="N160" s="7" t="str">
        <f t="shared" ref="N160" si="688">IF(N153=0,"-",N159/N153)</f>
        <v>-</v>
      </c>
      <c r="O160" s="7" t="str">
        <f t="shared" ref="O160" si="689">IF(O153=0,"-",O159/O153)</f>
        <v>-</v>
      </c>
      <c r="P160" s="7" t="str">
        <f t="shared" ref="P160" si="690">IF(P153=0,"-",P159/P153)</f>
        <v>-</v>
      </c>
      <c r="Q160" s="186" t="str">
        <f t="shared" ref="Q160" si="691">IF(Q153=0,"-",Q159/Q153)</f>
        <v>-</v>
      </c>
      <c r="S160" s="61" t="str">
        <f>IF(S153=0,"-",S159/S153)</f>
        <v>-</v>
      </c>
      <c r="T160" s="7" t="str">
        <f t="shared" ref="T160" si="692">IF(T153=0,"-",T159/T153)</f>
        <v>-</v>
      </c>
      <c r="U160" s="7" t="str">
        <f t="shared" ref="U160" si="693">IF(U153=0,"-",U159/U153)</f>
        <v>-</v>
      </c>
      <c r="V160" s="7" t="str">
        <f t="shared" ref="V160" si="694">IF(V153=0,"-",V159/V153)</f>
        <v>-</v>
      </c>
      <c r="W160" s="7" t="str">
        <f t="shared" ref="W160" si="695">IF(W153=0,"-",W159/W153)</f>
        <v>-</v>
      </c>
      <c r="X160" s="7" t="str">
        <f t="shared" ref="X160" si="696">IF(X153=0,"-",X159/X153)</f>
        <v>-</v>
      </c>
      <c r="Y160" s="7" t="str">
        <f t="shared" ref="Y160" si="697">IF(Y153=0,"-",Y159/Y153)</f>
        <v>-</v>
      </c>
      <c r="Z160" s="7" t="str">
        <f t="shared" ref="Z160" si="698">IF(Z153=0,"-",Z159/Z153)</f>
        <v>-</v>
      </c>
      <c r="AA160" s="7" t="str">
        <f t="shared" ref="AA160" si="699">IF(AA153=0,"-",AA159/AA153)</f>
        <v>-</v>
      </c>
      <c r="AB160" s="7" t="str">
        <f t="shared" ref="AB160" si="700">IF(AB153=0,"-",AB159/AB153)</f>
        <v>-</v>
      </c>
      <c r="AC160" s="7" t="str">
        <f t="shared" ref="AC160" si="701">IF(AC153=0,"-",AC159/AC153)</f>
        <v>-</v>
      </c>
      <c r="AD160" s="62" t="str">
        <f t="shared" ref="AD160:AE160" si="702">IF(AD153=0,"-",AD159/AD153)</f>
        <v>-</v>
      </c>
      <c r="AE160" s="61" t="str">
        <f t="shared" si="702"/>
        <v>-</v>
      </c>
      <c r="AF160" s="293"/>
      <c r="AG160" s="103" t="str">
        <f t="shared" ref="AG160:AH160" si="703">IF(AG153=0,"-",AG159/AG153)</f>
        <v>-</v>
      </c>
      <c r="AH160" s="103" t="e">
        <f t="shared" si="703"/>
        <v>#REF!</v>
      </c>
      <c r="AI160" s="103"/>
      <c r="AJ160" s="197"/>
      <c r="AK160" s="197"/>
      <c r="AL160" s="58"/>
      <c r="AM160" s="11"/>
      <c r="AN160" s="249"/>
      <c r="AO160" s="61" t="e">
        <f t="shared" ref="AO160" si="704">IF(AO153=0,"-",AO159/AO153)</f>
        <v>#REF!</v>
      </c>
      <c r="AP160" s="293"/>
      <c r="AQ160" s="103" t="e">
        <f t="shared" ref="AQ160" si="705">IF(AQ153=0,"-",AQ159/AQ153)</f>
        <v>#REF!</v>
      </c>
      <c r="AR160" s="7"/>
      <c r="AS160" s="103"/>
      <c r="AT160" s="197"/>
      <c r="AU160" s="222"/>
      <c r="AV160" s="11"/>
      <c r="AW160" s="11"/>
      <c r="AX160" s="249"/>
      <c r="AY160" s="61"/>
      <c r="AZ160" s="293"/>
      <c r="BA160" s="7" t="e">
        <f t="shared" ref="BA160" si="706">IF(BA153=0,"-",BA159/BA153)</f>
        <v>#REF!</v>
      </c>
      <c r="BB160" s="103"/>
      <c r="BC160" s="197"/>
      <c r="BD160" s="222"/>
      <c r="BE160" s="58"/>
      <c r="BF160" s="11"/>
      <c r="BG160" s="249"/>
      <c r="BH160" s="61" t="e">
        <f t="shared" ref="BH160:BI160" si="707">IF(BH153=0,"-",BH159/BH153)</f>
        <v>#REF!</v>
      </c>
      <c r="BI160" s="7" t="e">
        <f t="shared" si="707"/>
        <v>#REF!</v>
      </c>
      <c r="BJ160" s="7"/>
      <c r="BK160" s="197"/>
      <c r="BL160" s="222"/>
      <c r="BM160" s="2"/>
      <c r="BN160" s="63"/>
      <c r="BO160" s="63"/>
      <c r="BP160" s="2"/>
      <c r="BQ160" s="173"/>
      <c r="BR160" s="173"/>
      <c r="BS160" s="173"/>
      <c r="BT160" s="173"/>
      <c r="BU160" s="173"/>
      <c r="BV160" s="173"/>
      <c r="BW160" s="173"/>
      <c r="BX160" s="173"/>
      <c r="BY160" s="173"/>
      <c r="BZ160" s="173"/>
      <c r="CA160" s="173"/>
      <c r="CB160" s="173"/>
      <c r="CC160" s="61"/>
      <c r="CD160" s="204"/>
      <c r="CE160" s="11"/>
      <c r="CF160" s="61"/>
      <c r="CG160" s="134"/>
      <c r="CH160" s="61"/>
      <c r="CI160" s="58"/>
      <c r="CJ160" s="11"/>
      <c r="CK160" s="61"/>
      <c r="CL160" s="134"/>
      <c r="CM160" s="145"/>
    </row>
    <row r="161" spans="2:91" x14ac:dyDescent="0.2">
      <c r="AE161" s="2"/>
    </row>
    <row r="162" spans="2:91" x14ac:dyDescent="0.2">
      <c r="AE162" s="2"/>
    </row>
    <row r="163" spans="2:91" x14ac:dyDescent="0.2">
      <c r="AE163" s="2"/>
    </row>
    <row r="164" spans="2:91" x14ac:dyDescent="0.2">
      <c r="AE164" s="2"/>
    </row>
    <row r="165" spans="2:91" x14ac:dyDescent="0.2">
      <c r="B165" s="251"/>
      <c r="C165" s="252"/>
      <c r="AE165" s="2"/>
    </row>
    <row r="166" spans="2:91" x14ac:dyDescent="0.2">
      <c r="AE166" s="2"/>
    </row>
    <row r="167" spans="2:91" x14ac:dyDescent="0.2">
      <c r="B167" s="49"/>
      <c r="C167" s="50" t="s">
        <v>57</v>
      </c>
      <c r="D167" s="51"/>
      <c r="E167" s="92">
        <f t="shared" ref="E167:P167" si="708">IF(ISERROR(VLOOKUP(CONCATENATE($B165,E$5),TBCHISTORIQUE,7,FALSE)/1000),0,VLOOKUP(CONCATENATE($B165,E$5),TBCHISTORIQUE,7,FALSE)/1000)</f>
        <v>0</v>
      </c>
      <c r="F167" s="93">
        <f t="shared" si="708"/>
        <v>0</v>
      </c>
      <c r="G167" s="93">
        <f t="shared" si="708"/>
        <v>0</v>
      </c>
      <c r="H167" s="93">
        <f t="shared" si="708"/>
        <v>0</v>
      </c>
      <c r="I167" s="93">
        <f t="shared" si="708"/>
        <v>0</v>
      </c>
      <c r="J167" s="93">
        <f t="shared" si="708"/>
        <v>0</v>
      </c>
      <c r="K167" s="93">
        <f t="shared" si="708"/>
        <v>0</v>
      </c>
      <c r="L167" s="93">
        <f t="shared" si="708"/>
        <v>0</v>
      </c>
      <c r="M167" s="93">
        <f t="shared" si="708"/>
        <v>0</v>
      </c>
      <c r="N167" s="93">
        <f t="shared" si="708"/>
        <v>0</v>
      </c>
      <c r="O167" s="93">
        <f t="shared" si="708"/>
        <v>0</v>
      </c>
      <c r="P167" s="94">
        <f t="shared" si="708"/>
        <v>0</v>
      </c>
      <c r="Q167" s="184">
        <f>SUMIF($E$5:$P$5,"&lt;="&amp;mois,E167:P167)</f>
        <v>0</v>
      </c>
      <c r="R167" s="51"/>
      <c r="S167" s="92">
        <f>IF(ISERROR(VLOOKUP(CONCATENATE($B165,S$5),TBCA,7,FALSE)/1000),0,VLOOKUP(CONCATENATE($B165,S$5),TBCA,7,FALSE)/1000)</f>
        <v>0</v>
      </c>
      <c r="T167" s="93">
        <f t="shared" ref="T167:AD167" si="709">IF(ISERROR(VLOOKUP(CONCATENATE($B$85,T$5),TBCA,7,FALSE)/1000),0,VLOOKUP(CONCATENATE($B$85,T$5),TBCA,7,FALSE)/1000)</f>
        <v>0</v>
      </c>
      <c r="U167" s="93">
        <f t="shared" si="709"/>
        <v>0</v>
      </c>
      <c r="V167" s="93">
        <f t="shared" si="709"/>
        <v>0</v>
      </c>
      <c r="W167" s="93">
        <f t="shared" si="709"/>
        <v>0</v>
      </c>
      <c r="X167" s="93">
        <f t="shared" si="709"/>
        <v>0</v>
      </c>
      <c r="Y167" s="93">
        <f t="shared" si="709"/>
        <v>0</v>
      </c>
      <c r="Z167" s="93">
        <f t="shared" si="709"/>
        <v>0</v>
      </c>
      <c r="AA167" s="93">
        <f t="shared" si="709"/>
        <v>0</v>
      </c>
      <c r="AB167" s="93">
        <f t="shared" si="709"/>
        <v>0</v>
      </c>
      <c r="AC167" s="93">
        <f t="shared" si="709"/>
        <v>0</v>
      </c>
      <c r="AD167" s="94">
        <f t="shared" si="709"/>
        <v>0</v>
      </c>
      <c r="AE167" s="92">
        <f>SUMIF($S$5:$AD$5,"&lt;="&amp;mois,S167:AD167)</f>
        <v>0</v>
      </c>
      <c r="AF167" s="291"/>
      <c r="AG167" s="101">
        <f>AE167-AF167</f>
        <v>0</v>
      </c>
      <c r="AH167" s="101" t="e">
        <f>IF(EXCERCICE="PA",AE167-($CC167/12*(mois)),IF(EXCERCICE="LB1",AE167-($CF167/12*(mois)),AE167-($CK167/12*(mois))))</f>
        <v>#REF!</v>
      </c>
      <c r="AI167" s="174">
        <f>IF(ISERROR(AE167/Q167),0,AE167/Q167)</f>
        <v>0</v>
      </c>
      <c r="AJ167" s="213">
        <f>IF(ISERROR(IF(EXCERCICE="PA",AE167/$CC167,IF(EXCERCICE="LB1",AE167/$CF167,AE167/$CK167))),0,IF(EXCERCICE="PA",AE167/$CC167,IF(EXCERCICE="LB1",AE167/$CF167,AE167/$CK167)))</f>
        <v>0</v>
      </c>
      <c r="AK167" s="213" t="str">
        <f>IF(ISERROR(AE167/HLOOKUP(mois,$BQ$5:$CB$39,3,FALSE)),"",AE167/HLOOKUP(mois,$BQ$5:$CB$39,3,FALSE))</f>
        <v/>
      </c>
      <c r="AL167" s="52"/>
      <c r="AM167" s="54"/>
      <c r="AN167" s="242"/>
      <c r="AO167" s="92" t="e">
        <f>IF(mois+1&gt;12,AN167,+$AE167+AN167)</f>
        <v>#REF!</v>
      </c>
      <c r="AP167" s="291"/>
      <c r="AQ167" s="101" t="e">
        <f>AO167-AP167</f>
        <v>#REF!</v>
      </c>
      <c r="AR167" s="55" t="e">
        <f>IF(mois+1&gt;12,0,IF(mois=12,IF(EXCERCICE="PA",AO167-($CC167/12),IF(EXCERCICE="LB1",AO167-($CF167/12),AO167-($CK167/12))),IF(EXCERCICE="PA",AO167-($CC167/12*(mois+1)),IF(EXCERCICE="LB1",AO167-($CF167/12*(mois+1)),AO167-($CK167/12*(mois+1))))))</f>
        <v>#REF!</v>
      </c>
      <c r="AS167" s="174" t="e">
        <f>IF(AO167=0,0,IF(mois+1&gt;12,AO167/SUMPRODUCT((($S$6:$U$6)&lt;=mois+1)*$S167:$U167),AO167/SUMPRODUCT((($E$5:$P$5)&lt;=mois+1)*$E167:$P167)))</f>
        <v>#REF!</v>
      </c>
      <c r="AT167" s="213" t="e">
        <f>IF(mois+1&gt;12,0,IF(ISERROR(IF(EXCERCICE="PA",AO167/$CC167,IF(EXCERCICE="LB1",AO167/$CF167,AO167/$CK167))),0,IF(EXCERCICE="PA",AO167/$CC167,IF(EXCERCICE="LB1",AO167/$CF167,AO167/$CK167))))</f>
        <v>#REF!</v>
      </c>
      <c r="AU167" s="220" t="str">
        <f>IF(ISERROR(AO167/HLOOKUP(mois+1,$BQ$5:$CB$39,3,FALSE)),"",AO167/HLOOKUP(mois+1,$BQ$5:$CB$39,3,FALSE))</f>
        <v/>
      </c>
      <c r="AV167" s="11"/>
      <c r="AW167" s="54"/>
      <c r="AX167" s="242"/>
      <c r="AY167" s="92"/>
      <c r="AZ167" s="291"/>
      <c r="BA167" s="55" t="e">
        <f>IF(mois+2&gt;12,0,IF(mois=12,IF(EXCERCICE="PA",AY167-($CC167/12),IF(EXCERCICE="LB1",AY167-($CF167/12),AY167-($CK167/12))),IF(EXCERCICE="PA",AY167-($CC167/12*(mois+2)),IF(EXCERCICE="LB1",AY167-($CF167/12*(mois+2)),AY167-($CK167/12*(mois+2))))))</f>
        <v>#REF!</v>
      </c>
      <c r="BB167" s="176">
        <f>IF(AY167=0,0,IF(mois+1&gt;12,AY167/SUMPRODUCT((($S$6:$U$6)&lt;=mois+2)*$S167:$U167),AY167/SUMPRODUCT((($E$5:$P$5)&lt;=mois+2)*$E167:$P167)))</f>
        <v>0</v>
      </c>
      <c r="BC167" s="213" t="e">
        <f>IF(mois+2&gt;12,0,IF(ISERROR(IF(EXCERCICE="PA",AY167/$CC167,IF(EXCERCICE="LB1",AY167/$CF167,AY167/$CK167))),0,IF(EXCERCICE="PA",AY167/$CC167,IF(EXCERCICE="LB1",AY167/$CF167,AY167/$CK167))))</f>
        <v>#REF!</v>
      </c>
      <c r="BD167" s="220" t="str">
        <f>IF(ISERROR(AY167/HLOOKUP(mois+2,$BQ$5:$CB$39,3,FALSE)),"",AY167/HLOOKUP(mois+2,$BQ$5:$CB$39,3,FALSE))</f>
        <v/>
      </c>
      <c r="BE167" s="52"/>
      <c r="BF167" s="54"/>
      <c r="BG167" s="242"/>
      <c r="BH167" s="92" t="e">
        <f>IF(mois+3=13,BG167,IF(mois+3&gt;15,BG167,+$AY167+BG167))</f>
        <v>#REF!</v>
      </c>
      <c r="BI167" s="55" t="e">
        <f>IF(mois+3&gt;12,0,IF(mois=12,IF(EXCERCICE="PA",BH167-($CC167/12),IF(EXCERCICE="LB1",BH167-($CF167/12),BH167-($CK167/12))),IF(EXCERCICE="PA",BH167-($CC167/12*(mois+3)),IF(EXCERCICE="LB1",BH167-($CF167/12*(mois+3)),BH167-($CK167/12*(mois+3))))))</f>
        <v>#REF!</v>
      </c>
      <c r="BJ167" s="176" t="e">
        <f>IF(BH167=0,0,IF(mois+1&gt;12,BH167/SUMPRODUCT((($S$6:$U$6)&lt;=mois+3)*$S167:$U167),BH167/SUMPRODUCT((($E$5:$P$5)&lt;=mois+3)*$E167:$P167)))</f>
        <v>#REF!</v>
      </c>
      <c r="BK167" s="213" t="e">
        <f>IF(mois+3&gt;12,0,IF(ISERROR(IF(EXCERCICE="PA",BH167/$CC167,IF(EXCERCICE="LB1",BH167/$CF167,BH167/$CK167))),0,IF(EXCERCICE="PA",BH167/$CC167,IF(EXCERCICE="LB1",BH167/$CF167,BH167/$CK167))))</f>
        <v>#REF!</v>
      </c>
      <c r="BL167" s="220" t="str">
        <f>IF(ISERROR(BH167/HLOOKUP(mois+3,$BQ$5:$CB$39,3,FALSE)),"",BH167/HLOOKUP(mois+3,$BQ$5:$CB$39,3,FALSE))</f>
        <v/>
      </c>
      <c r="BM167" s="2"/>
      <c r="BN167" s="130" t="e">
        <f>IF(mois&gt;=12,IF(EXCERCICE="PA",CC167-AE167,IF(EXCERCICE="LB1",CF167-AE167,IF(EXCERCICE="LB2",$CK167-AE167))),
IF(mois+1&lt;=13,IF(EXCERCICE="PA",CC167-AO167,IF(EXCERCICE="LB1",CF167-AO167,IF(EXCERCICE="LB2",$CK167-AO167))),
IF(mois+2&lt;=14,IF(EXCERCICE="PA",CC167-AY167,IF(EXCERCICE="LB1",CF167-AY167,IF(EXCERCICE="LB2",$CK167-AY167))),
IF(mois+3&lt;=15,IF(EXCERCICE="PA",CC167-BH167,IF(EXCERCICE="LB1",CF167-BH167,IF(EXCERCICE="LB2",$CK167-BH167))),0))))</f>
        <v>#REF!</v>
      </c>
      <c r="BO167" s="231" t="e">
        <f>IF(BN167&lt;0,0,BN167/(12-mois))</f>
        <v>#REF!</v>
      </c>
      <c r="BQ167" s="196"/>
      <c r="BR167" s="196"/>
      <c r="BS167" s="196"/>
      <c r="BT167" s="196"/>
      <c r="BU167" s="196"/>
      <c r="BV167" s="196"/>
      <c r="BW167" s="196"/>
      <c r="BX167" s="196"/>
      <c r="BY167" s="196"/>
      <c r="BZ167" s="196"/>
      <c r="CA167" s="196"/>
      <c r="CB167" s="196"/>
      <c r="CC167" s="130"/>
      <c r="CD167" s="237"/>
      <c r="CE167" s="54"/>
      <c r="CF167" s="130"/>
      <c r="CG167" s="126"/>
      <c r="CH167" s="55"/>
      <c r="CI167" s="52"/>
      <c r="CJ167" s="54"/>
      <c r="CK167" s="130"/>
      <c r="CL167" s="126"/>
      <c r="CM167" s="55"/>
    </row>
    <row r="168" spans="2:91" x14ac:dyDescent="0.2">
      <c r="B168" s="56"/>
      <c r="C168" s="57" t="s">
        <v>61</v>
      </c>
      <c r="D168" s="2"/>
      <c r="E168" s="95">
        <f t="shared" ref="E168:P168" si="710">IF(ISERROR(VLOOKUP(CONCATENATE($B165,E$5),TBCHISTORIQUE,8,FALSE)/1000),0,VLOOKUP(CONCATENATE($B165,E$5),TBCHISTORIQUE,8,FALSE)/1000)</f>
        <v>0</v>
      </c>
      <c r="F168" s="167">
        <f t="shared" si="710"/>
        <v>0</v>
      </c>
      <c r="G168" s="167">
        <f t="shared" si="710"/>
        <v>0</v>
      </c>
      <c r="H168" s="167">
        <f t="shared" si="710"/>
        <v>0</v>
      </c>
      <c r="I168" s="167">
        <f t="shared" si="710"/>
        <v>0</v>
      </c>
      <c r="J168" s="167">
        <f t="shared" si="710"/>
        <v>0</v>
      </c>
      <c r="K168" s="167">
        <f t="shared" si="710"/>
        <v>0</v>
      </c>
      <c r="L168" s="167">
        <f t="shared" si="710"/>
        <v>0</v>
      </c>
      <c r="M168" s="167">
        <f t="shared" si="710"/>
        <v>0</v>
      </c>
      <c r="N168" s="167">
        <f t="shared" si="710"/>
        <v>0</v>
      </c>
      <c r="O168" s="167">
        <f t="shared" si="710"/>
        <v>0</v>
      </c>
      <c r="P168" s="168">
        <f t="shared" si="710"/>
        <v>0</v>
      </c>
      <c r="Q168" s="185">
        <f>SUMIF($E$5:$P$5,"&lt;="&amp;mois,E168:P168)</f>
        <v>0</v>
      </c>
      <c r="R168" s="2"/>
      <c r="S168" s="95">
        <f t="shared" ref="S168:AD168" si="711">IF(ISERROR(VLOOKUP(CONCATENATE($B165,S$5),TBCA,8,FALSE)/1000),0,VLOOKUP(CONCATENATE($B165,S$5),TBCA,8,FALSE)/1000)</f>
        <v>0</v>
      </c>
      <c r="T168" s="167">
        <f t="shared" si="711"/>
        <v>0</v>
      </c>
      <c r="U168" s="167">
        <f t="shared" si="711"/>
        <v>0</v>
      </c>
      <c r="V168" s="167">
        <f t="shared" si="711"/>
        <v>0</v>
      </c>
      <c r="W168" s="167">
        <f t="shared" si="711"/>
        <v>0</v>
      </c>
      <c r="X168" s="167">
        <f t="shared" si="711"/>
        <v>0</v>
      </c>
      <c r="Y168" s="167">
        <f t="shared" si="711"/>
        <v>0</v>
      </c>
      <c r="Z168" s="167">
        <f t="shared" si="711"/>
        <v>0</v>
      </c>
      <c r="AA168" s="167">
        <f t="shared" si="711"/>
        <v>0</v>
      </c>
      <c r="AB168" s="167">
        <f t="shared" si="711"/>
        <v>0</v>
      </c>
      <c r="AC168" s="167">
        <f t="shared" si="711"/>
        <v>0</v>
      </c>
      <c r="AD168" s="168">
        <f t="shared" si="711"/>
        <v>0</v>
      </c>
      <c r="AE168" s="95">
        <f>SUMIF($S$5:$AD$5,"&lt;="&amp;mois,S168:AD168)</f>
        <v>0</v>
      </c>
      <c r="AF168" s="292"/>
      <c r="AG168" s="102">
        <f>AE168-AF168</f>
        <v>0</v>
      </c>
      <c r="AH168" s="102" t="e">
        <f>IF(EXCERCICE="PA",AE168-($CC168/12*(mois)),IF(EXCERCICE="LB1",AE168-($CF168/12*(mois)),AE168-($CK168/12*(mois))))</f>
        <v>#REF!</v>
      </c>
      <c r="AI168" s="102"/>
      <c r="AJ168" s="212">
        <f>IF(ISERROR(IF(EXCERCICE="PA",AE168/$CC168,IF(EXCERCICE="LB1",AE168/$CF168,AE168/$CK168))),0,IF(EXCERCICE="PA",AE168/$CC168,IF(EXCERCICE="LB1",AE168/$CF168,AE168/$CK168)))</f>
        <v>0</v>
      </c>
      <c r="AK168" s="212"/>
      <c r="AL168" s="58"/>
      <c r="AM168" s="11"/>
      <c r="AN168" s="243"/>
      <c r="AO168" s="95" t="e">
        <f>IF(mois+1&gt;12,AN168,+$AE168+AN168)</f>
        <v>#REF!</v>
      </c>
      <c r="AP168" s="292"/>
      <c r="AQ168" s="102" t="e">
        <f>AO168-AP168</f>
        <v>#REF!</v>
      </c>
      <c r="AR168" s="17" t="e">
        <f>IF(mois+1&gt;12,0,IF(mois=12,IF(EXCERCICE="PA",AO168-($CC168/12),IF(EXCERCICE="LB1",AO168-($CF168/12),AO168-($CK168/12))),IF(EXCERCICE="PA",AO168-($CC168/12*(mois+1)),IF(EXCERCICE="LB1",AO168-($CF168/12*(mois+1)),AO168-($CK168/12*(mois+1))))))</f>
        <v>#REF!</v>
      </c>
      <c r="AS168" s="199"/>
      <c r="AT168" s="212" t="e">
        <f>IF(mois+1&gt;12,0,IF(ISERROR(IF(EXCERCICE="PA",AO168/$CC168,IF(EXCERCICE="LB1",AO168/$CF168,AO168/$CK168))),0,IF(EXCERCICE="PA",AO168/$CC168,IF(EXCERCICE="LB1",AO168/$CF168,AO168/$CK168))))</f>
        <v>#REF!</v>
      </c>
      <c r="AU168" s="221"/>
      <c r="AV168" s="11"/>
      <c r="AW168" s="11"/>
      <c r="AX168" s="243"/>
      <c r="AY168" s="95"/>
      <c r="AZ168" s="292"/>
      <c r="BA168" s="17" t="e">
        <f>IF(mois+2&gt;12,0,IF(mois=12,IF(EXCERCICE="PA",AY168-($CC168/12),IF(EXCERCICE="LB1",AY168-($CF168/12),AY168-($CK168/12))),IF(EXCERCICE="PA",AY168-($CC168/12*(mois+2)),IF(EXCERCICE="LB1",AY168-($CF168/12*(mois+2)),AY168-($CK168/12*(mois+2))))))</f>
        <v>#REF!</v>
      </c>
      <c r="BB168" s="179"/>
      <c r="BC168" s="212" t="e">
        <f>IF(mois+2&gt;12,0,IF(ISERROR(IF(EXCERCICE="PA",AY168/$CC168,IF(EXCERCICE="LB1",AY168/$CF168,AY168/$CK168))),0,IF(EXCERCICE="PA",AY168/$CC168,IF(EXCERCICE="LB1",AY168/$CF168,AY168/$CK168))))</f>
        <v>#REF!</v>
      </c>
      <c r="BD168" s="221"/>
      <c r="BE168" s="58"/>
      <c r="BF168" s="11"/>
      <c r="BG168" s="243"/>
      <c r="BH168" s="95" t="e">
        <f>IF(mois+3=13,BG168,IF(mois+3&gt;15,BG168,+$AY168+BG168))</f>
        <v>#REF!</v>
      </c>
      <c r="BI168" s="17" t="e">
        <f>IF(mois+3&gt;12,0,IF(mois=12,IF(EXCERCICE="PA",BH168-($CC168/12),IF(EXCERCICE="LB1",BH168-($CF168/12),BH168-($CK168/12))),IF(EXCERCICE="PA",BH168-($CC168/12*(mois+3)),IF(EXCERCICE="LB1",BH168-($CF168/12*(mois+3)),BH168-($CK168/12*(mois+3))))))</f>
        <v>#REF!</v>
      </c>
      <c r="BJ168" s="17"/>
      <c r="BK168" s="212" t="e">
        <f>IF(mois+3&gt;12,0,IF(ISERROR(IF(EXCERCICE="PA",BH168/$CC168,IF(EXCERCICE="LB1",BH168/$CF168,BH168/$CK168))),0,IF(EXCERCICE="PA",BH168/$CC168,IF(EXCERCICE="LB1",BH168/$CF168,BH168/$CK168))))</f>
        <v>#REF!</v>
      </c>
      <c r="BL168" s="221"/>
      <c r="BM168" s="2"/>
      <c r="BN168" s="123" t="e">
        <f>IF(mois&gt;=12,IF(EXCERCICE="PA",CC168-AE168,IF(EXCERCICE="LB1",CF168-AE168,IF(EXCERCICE="LB2",$CK168-AE168))),
IF(mois+1&lt;=13,IF(EXCERCICE="PA",CC168-AO168,IF(EXCERCICE="LB1",CF168-AO168,IF(EXCERCICE="LB2",$CK168-AO168))),
IF(mois+2&lt;=14,IF(EXCERCICE="PA",CC168-AY168,IF(EXCERCICE="LB1",CF168-AY168,IF(EXCERCICE="LB2",$CK168-AY168))),
IF(mois+3&lt;=15,IF(EXCERCICE="PA",CC168-BH168,IF(EXCERCICE="LB1",CF168-BH168,IF(EXCERCICE="LB2",$CK168-BH168))),0))))</f>
        <v>#REF!</v>
      </c>
      <c r="BO168" s="123" t="e">
        <f>IF(BN168&lt;0,0,BN168/(12-mois))</f>
        <v>#REF!</v>
      </c>
      <c r="BQ168" s="173"/>
      <c r="BR168" s="173"/>
      <c r="BS168" s="173"/>
      <c r="BT168" s="173"/>
      <c r="BU168" s="173"/>
      <c r="BV168" s="173"/>
      <c r="BW168" s="173"/>
      <c r="BX168" s="173"/>
      <c r="BY168" s="173"/>
      <c r="BZ168" s="173"/>
      <c r="CA168" s="173"/>
      <c r="CB168" s="173"/>
      <c r="CC168" s="123"/>
      <c r="CD168" s="203"/>
      <c r="CE168" s="11"/>
      <c r="CF168" s="95"/>
      <c r="CG168" s="125"/>
      <c r="CH168" s="17"/>
      <c r="CI168" s="58"/>
      <c r="CJ168" s="11"/>
      <c r="CK168" s="95"/>
      <c r="CL168" s="125"/>
      <c r="CM168" s="17"/>
    </row>
    <row r="169" spans="2:91" x14ac:dyDescent="0.2">
      <c r="B169" s="60"/>
      <c r="C169" s="143" t="s">
        <v>62</v>
      </c>
      <c r="D169" s="2"/>
      <c r="E169" s="61" t="str">
        <f>IF(E167=0,"-",E168/E167)</f>
        <v>-</v>
      </c>
      <c r="F169" s="7" t="str">
        <f t="shared" ref="F169" si="712">IF(F167=0,"-",F168/F167)</f>
        <v>-</v>
      </c>
      <c r="G169" s="7" t="str">
        <f t="shared" ref="G169" si="713">IF(G167=0,"-",G168/G167)</f>
        <v>-</v>
      </c>
      <c r="H169" s="7" t="str">
        <f t="shared" ref="H169" si="714">IF(H167=0,"-",H168/H167)</f>
        <v>-</v>
      </c>
      <c r="I169" s="7" t="str">
        <f t="shared" ref="I169" si="715">IF(I167=0,"-",I168/I167)</f>
        <v>-</v>
      </c>
      <c r="J169" s="7" t="str">
        <f t="shared" ref="J169" si="716">IF(J167=0,"-",J168/J167)</f>
        <v>-</v>
      </c>
      <c r="K169" s="7" t="str">
        <f t="shared" ref="K169" si="717">IF(K167=0,"-",K168/K167)</f>
        <v>-</v>
      </c>
      <c r="L169" s="7" t="str">
        <f t="shared" ref="L169" si="718">IF(L167=0,"-",L168/L167)</f>
        <v>-</v>
      </c>
      <c r="M169" s="7" t="str">
        <f t="shared" ref="M169" si="719">IF(M167=0,"-",M168/M167)</f>
        <v>-</v>
      </c>
      <c r="N169" s="7" t="str">
        <f t="shared" ref="N169" si="720">IF(N167=0,"-",N168/N167)</f>
        <v>-</v>
      </c>
      <c r="O169" s="7" t="str">
        <f t="shared" ref="O169" si="721">IF(O167=0,"-",O168/O167)</f>
        <v>-</v>
      </c>
      <c r="P169" s="7" t="str">
        <f t="shared" ref="P169" si="722">IF(P167=0,"-",P168/P167)</f>
        <v>-</v>
      </c>
      <c r="Q169" s="186" t="str">
        <f t="shared" ref="Q169" si="723">IF(Q167=0,"-",Q168/Q167)</f>
        <v>-</v>
      </c>
      <c r="R169" s="2"/>
      <c r="S169" s="61" t="str">
        <f t="shared" ref="S169" si="724">IF(S167=0,"-",S168/S167)</f>
        <v>-</v>
      </c>
      <c r="T169" s="7" t="str">
        <f t="shared" ref="T169" si="725">IF(T167=0,"-",T168/T167)</f>
        <v>-</v>
      </c>
      <c r="U169" s="7" t="str">
        <f t="shared" ref="U169" si="726">IF(U167=0,"-",U168/U167)</f>
        <v>-</v>
      </c>
      <c r="V169" s="7" t="str">
        <f t="shared" ref="V169" si="727">IF(V167=0,"-",V168/V167)</f>
        <v>-</v>
      </c>
      <c r="W169" s="7" t="str">
        <f t="shared" ref="W169" si="728">IF(W167=0,"-",W168/W167)</f>
        <v>-</v>
      </c>
      <c r="X169" s="7" t="str">
        <f t="shared" ref="X169" si="729">IF(X167=0,"-",X168/X167)</f>
        <v>-</v>
      </c>
      <c r="Y169" s="7" t="str">
        <f t="shared" ref="Y169" si="730">IF(Y167=0,"-",Y168/Y167)</f>
        <v>-</v>
      </c>
      <c r="Z169" s="7" t="str">
        <f t="shared" ref="Z169" si="731">IF(Z167=0,"-",Z168/Z167)</f>
        <v>-</v>
      </c>
      <c r="AA169" s="7" t="str">
        <f t="shared" ref="AA169" si="732">IF(AA167=0,"-",AA168/AA167)</f>
        <v>-</v>
      </c>
      <c r="AB169" s="7" t="str">
        <f t="shared" ref="AB169" si="733">IF(AB167=0,"-",AB168/AB167)</f>
        <v>-</v>
      </c>
      <c r="AC169" s="7" t="str">
        <f t="shared" ref="AC169" si="734">IF(AC167=0,"-",AC168/AC167)</f>
        <v>-</v>
      </c>
      <c r="AD169" s="7" t="str">
        <f t="shared" ref="AD169" si="735">IF(AD167=0,"-",AD168/AD167)</f>
        <v>-</v>
      </c>
      <c r="AE169" s="61" t="str">
        <f>IF(AE167=0,"-",AE168/AE167)</f>
        <v>-</v>
      </c>
      <c r="AF169" s="293"/>
      <c r="AG169" s="103" t="str">
        <f t="shared" ref="AG169" si="736">IF(AG167=0,"-",AG168/AG167)</f>
        <v>-</v>
      </c>
      <c r="AH169" s="103" t="e">
        <f>IF(AH167=0,"-",AH168/AH167)</f>
        <v>#REF!</v>
      </c>
      <c r="AI169" s="103"/>
      <c r="AJ169" s="197"/>
      <c r="AK169" s="197"/>
      <c r="AL169" s="58"/>
      <c r="AM169" s="11"/>
      <c r="AN169" s="249"/>
      <c r="AO169" s="61" t="e">
        <f t="shared" ref="AO169" si="737">IF(AO167=0,"-",AO168/AO167)</f>
        <v>#REF!</v>
      </c>
      <c r="AP169" s="293"/>
      <c r="AQ169" s="103" t="e">
        <f>IF(AQ167=0,"-",AQ168/AQ167)</f>
        <v>#REF!</v>
      </c>
      <c r="AR169" s="7" t="e">
        <f>IF(AR167=0,"-",AR168/AR167)</f>
        <v>#REF!</v>
      </c>
      <c r="AS169" s="197"/>
      <c r="AT169" s="197"/>
      <c r="AU169" s="222"/>
      <c r="AV169" s="11"/>
      <c r="AW169" s="11"/>
      <c r="AX169" s="249"/>
      <c r="AY169" s="61"/>
      <c r="AZ169" s="293"/>
      <c r="BA169" s="7" t="e">
        <f>IF(BA167=0,"-",BA168/BA167)</f>
        <v>#REF!</v>
      </c>
      <c r="BB169" s="103"/>
      <c r="BC169" s="197"/>
      <c r="BD169" s="222"/>
      <c r="BE169" s="58"/>
      <c r="BF169" s="11"/>
      <c r="BG169" s="249"/>
      <c r="BH169" s="61" t="e">
        <f t="shared" ref="BH169:BI169" si="738">IF(BH167=0,"-",BH168/BH167)</f>
        <v>#REF!</v>
      </c>
      <c r="BI169" s="7" t="e">
        <f t="shared" si="738"/>
        <v>#REF!</v>
      </c>
      <c r="BJ169" s="7"/>
      <c r="BK169" s="197"/>
      <c r="BL169" s="222"/>
      <c r="BM169" s="2"/>
      <c r="BN169" s="63"/>
      <c r="BO169" s="63"/>
      <c r="BQ169" s="173"/>
      <c r="BR169" s="173"/>
      <c r="BS169" s="173"/>
      <c r="BT169" s="173"/>
      <c r="BU169" s="173"/>
      <c r="BV169" s="173"/>
      <c r="BW169" s="173"/>
      <c r="BX169" s="173"/>
      <c r="BY169" s="173"/>
      <c r="BZ169" s="173"/>
      <c r="CA169" s="173"/>
      <c r="CB169" s="173"/>
      <c r="CC169" s="63"/>
      <c r="CD169" s="204"/>
      <c r="CE169" s="11"/>
      <c r="CF169" s="61"/>
      <c r="CG169" s="134"/>
      <c r="CH169" s="8"/>
      <c r="CI169" s="58"/>
      <c r="CJ169" s="11"/>
      <c r="CK169" s="61"/>
      <c r="CL169" s="134"/>
      <c r="CM169" s="8"/>
    </row>
    <row r="170" spans="2:91" x14ac:dyDescent="0.2">
      <c r="B170" s="64"/>
      <c r="C170" s="6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194"/>
      <c r="AG170" s="100"/>
      <c r="AH170" s="100"/>
      <c r="AI170" s="100"/>
      <c r="AJ170" s="214"/>
      <c r="AK170" s="214"/>
      <c r="AL170" s="11"/>
      <c r="AM170" s="2"/>
      <c r="AN170" s="71"/>
      <c r="AO170" s="11"/>
      <c r="AP170" s="194"/>
      <c r="AQ170" s="100"/>
      <c r="AR170" s="65"/>
      <c r="AS170" s="2"/>
      <c r="AT170" s="214"/>
      <c r="AU170" s="214"/>
      <c r="AV170" s="11"/>
      <c r="AW170" s="2"/>
      <c r="AX170" s="71"/>
      <c r="AY170" s="11"/>
      <c r="AZ170" s="194"/>
      <c r="BA170" s="65"/>
      <c r="BB170" s="2"/>
      <c r="BC170" s="214"/>
      <c r="BD170" s="214"/>
      <c r="BE170" s="11"/>
      <c r="BF170" s="2"/>
      <c r="BG170" s="71"/>
      <c r="BH170" s="11"/>
      <c r="BI170" s="11"/>
      <c r="BJ170" s="11"/>
      <c r="BK170" s="214"/>
      <c r="BL170" s="214"/>
      <c r="BM170" s="2"/>
      <c r="BN170" s="11"/>
      <c r="BO170" s="11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65"/>
      <c r="CD170" s="205"/>
      <c r="CE170" s="11"/>
      <c r="CF170" s="71"/>
      <c r="CG170" s="137"/>
      <c r="CH170" s="65"/>
      <c r="CI170" s="11"/>
      <c r="CJ170" s="2"/>
      <c r="CK170" s="71"/>
      <c r="CL170" s="137"/>
      <c r="CM170" s="65"/>
    </row>
    <row r="171" spans="2:91" x14ac:dyDescent="0.2">
      <c r="B171" s="66"/>
      <c r="C171" s="67" t="s">
        <v>58</v>
      </c>
      <c r="D171" s="51"/>
      <c r="E171" s="96">
        <f t="shared" ref="E171:P171" si="739">IF(ISERROR(VLOOKUP(CONCATENATE($B165,E$5),TBCHISTORIQUE,9,FALSE)/1000),0,VLOOKUP(CONCATENATE($B165,E$5),TBCHISTORIQUE,9,FALSE)/1000)</f>
        <v>0</v>
      </c>
      <c r="F171" s="169">
        <f t="shared" si="739"/>
        <v>0</v>
      </c>
      <c r="G171" s="169">
        <f t="shared" si="739"/>
        <v>0</v>
      </c>
      <c r="H171" s="169">
        <f t="shared" si="739"/>
        <v>0</v>
      </c>
      <c r="I171" s="169">
        <f t="shared" si="739"/>
        <v>0</v>
      </c>
      <c r="J171" s="169">
        <f t="shared" si="739"/>
        <v>0</v>
      </c>
      <c r="K171" s="169">
        <f t="shared" si="739"/>
        <v>0</v>
      </c>
      <c r="L171" s="169">
        <f t="shared" si="739"/>
        <v>0</v>
      </c>
      <c r="M171" s="169">
        <f t="shared" si="739"/>
        <v>0</v>
      </c>
      <c r="N171" s="169">
        <f t="shared" si="739"/>
        <v>0</v>
      </c>
      <c r="O171" s="169">
        <f t="shared" si="739"/>
        <v>0</v>
      </c>
      <c r="P171" s="170">
        <f t="shared" si="739"/>
        <v>0</v>
      </c>
      <c r="Q171" s="187">
        <f>SUMIF($E$5:$P$5,"&lt;="&amp;mois,E171:P171)</f>
        <v>0</v>
      </c>
      <c r="R171" s="51"/>
      <c r="S171" s="96">
        <f t="shared" ref="S171:AD171" si="740">IF(ISERROR(VLOOKUP(CONCATENATE($B165,S$5),TBCA,9,FALSE)/1000),0,VLOOKUP(CONCATENATE($B165,S$5),TBCA,9,FALSE)/1000)</f>
        <v>0</v>
      </c>
      <c r="T171" s="169">
        <f t="shared" si="740"/>
        <v>0</v>
      </c>
      <c r="U171" s="169">
        <f t="shared" si="740"/>
        <v>0</v>
      </c>
      <c r="V171" s="169">
        <f t="shared" si="740"/>
        <v>0</v>
      </c>
      <c r="W171" s="169">
        <f t="shared" si="740"/>
        <v>0</v>
      </c>
      <c r="X171" s="169">
        <f t="shared" si="740"/>
        <v>0</v>
      </c>
      <c r="Y171" s="169">
        <f t="shared" si="740"/>
        <v>0</v>
      </c>
      <c r="Z171" s="169">
        <f t="shared" si="740"/>
        <v>0</v>
      </c>
      <c r="AA171" s="169">
        <f t="shared" si="740"/>
        <v>0</v>
      </c>
      <c r="AB171" s="169">
        <f t="shared" si="740"/>
        <v>0</v>
      </c>
      <c r="AC171" s="169">
        <f t="shared" si="740"/>
        <v>0</v>
      </c>
      <c r="AD171" s="170">
        <f t="shared" si="740"/>
        <v>0</v>
      </c>
      <c r="AE171" s="324">
        <f>SUMIF($S$5:$AD$5,"&lt;="&amp;mois,S171:AD171)</f>
        <v>0</v>
      </c>
      <c r="AF171" s="294"/>
      <c r="AG171" s="104">
        <f>AE171-AF171</f>
        <v>0</v>
      </c>
      <c r="AH171" s="104" t="e">
        <f>IF(EXCERCICE="PA",AE171-($CC171/12*(mois)),IF(EXCERCICE="LB1",AE171-($CF171/12*(mois)),AE171-($CK171/12*(mois))))</f>
        <v>#REF!</v>
      </c>
      <c r="AI171" s="175">
        <f>IF(ISERROR(AE171/Q171),0,AE171/Q171)</f>
        <v>0</v>
      </c>
      <c r="AJ171" s="175">
        <f>IF(ISERROR(IF(EXCERCICE="PA",AE171/$CC171,IF(EXCERCICE="LB1",AE171/$CF171,AE171/$CK171))),0,IF(EXCERCICE="PA",AE171/$CC171,IF(EXCERCICE="LB1",AE171/$CF171,AE171/$CK171)))</f>
        <v>0</v>
      </c>
      <c r="AK171" s="223" t="str">
        <f>IF(ISERROR(AE171/HLOOKUP(mois,$BQ$5:$CB$39,7,FALSE)),"",AE171/HLOOKUP(mois,$BQ$5:$CB$39,7,FALSE))</f>
        <v/>
      </c>
      <c r="AL171" s="54"/>
      <c r="AM171" s="54"/>
      <c r="AN171" s="250"/>
      <c r="AO171" s="96" t="e">
        <f>IF(mois+1&gt;12,AN171,+$AE171+AN171)</f>
        <v>#REF!</v>
      </c>
      <c r="AP171" s="294"/>
      <c r="AQ171" s="104" t="e">
        <f>AO171-AP171</f>
        <v>#REF!</v>
      </c>
      <c r="AR171" s="68" t="e">
        <f>IF(mois+1&gt;12,0,IF(mois=12,IF(EXCERCICE="PA",AO171-($CC171/12),IF(EXCERCICE="LB1",AO171-($CF171/12),AO171-($CK171/12))),IF(EXCERCICE="PA",AO171-($CC171/12*(mois+1)),IF(EXCERCICE="LB1",AO171-($CF171/12*(mois+1)),AO171-($CK171/12*(mois+1))))))</f>
        <v>#REF!</v>
      </c>
      <c r="AS171" s="200" t="e">
        <f>IF(AO171=0,0,IF(mois+1&gt;12,AO171/SUMPRODUCT((($S$6:$U$6)&lt;=mois+1)*$S171:$U171),AO171/SUMPRODUCT((($E$5:$P$5)&lt;=mois+1)*$E171:$P171)))</f>
        <v>#REF!</v>
      </c>
      <c r="AT171" s="175" t="e">
        <f>IF(mois+1&gt;12,0,IF(ISERROR(IF(EXCERCICE="PA",AO171/$CC171,IF(EXCERCICE="LB1",AO171/$CF171,AO171/$CK171))),0,IF(EXCERCICE="PA",AO171/$CC171,IF(EXCERCICE="LB1",AO171/$CF171,AO171/$CK171))))</f>
        <v>#REF!</v>
      </c>
      <c r="AU171" s="223" t="str">
        <f>IF(ISERROR(AO171/HLOOKUP(mois+1,$BQ$5:$CB$39,7,FALSE)),"",AO171/HLOOKUP(mois+1,$BQ$5:$CB$39,7,FALSE))</f>
        <v/>
      </c>
      <c r="AV171" s="11"/>
      <c r="AW171" s="54"/>
      <c r="AX171" s="250"/>
      <c r="AY171" s="96"/>
      <c r="AZ171" s="294"/>
      <c r="BA171" s="68" t="e">
        <f>IF(mois+2&gt;12,0,IF(mois=12,IF(EXCERCICE="PA",AY171-($CC171/12),IF(EXCERCICE="LB1",AY171-($CF171/12),AY171-($CK171/12))),IF(EXCERCICE="PA",AY171-($CC171/12*(mois+2)),IF(EXCERCICE="LB1",AY171-($CF171/12*(mois+2)),AY171-($CK171/12*(mois+2))))))</f>
        <v>#REF!</v>
      </c>
      <c r="BB171" s="200">
        <f>IF(AY171=0,0,IF(mois+1&gt;12,AY171/SUMPRODUCT((($S$6:$U$6)&lt;=mois+2)*$S171:$U171),AY171/SUMPRODUCT((($E$5:$P$5)&lt;=mois+2)*$E171:$P171)))</f>
        <v>0</v>
      </c>
      <c r="BC171" s="175" t="e">
        <f>IF(mois+2&gt;12,0,IF(ISERROR(IF(EXCERCICE="PA",AY171/$CC171,IF(EXCERCICE="LB1",AY171/$CF171,AY171/$CK171))),0,IF(EXCERCICE="PA",AY171/$CC171,IF(EXCERCICE="LB1",AY171/$CF171,AY171/$CK171))))</f>
        <v>#REF!</v>
      </c>
      <c r="BD171" s="223" t="str">
        <f>IF(ISERROR(AY171/HLOOKUP(mois+2,$BQ$5:$CB$39,7,FALSE)),"",AY171/HLOOKUP(mois+2,$BQ$5:$CB$39,7,FALSE))</f>
        <v/>
      </c>
      <c r="BE171" s="52"/>
      <c r="BF171" s="54"/>
      <c r="BG171" s="250"/>
      <c r="BH171" s="96" t="e">
        <f>IF(mois+3=13,BG171,IF(mois+3&gt;15,BG171,+$AY171+BG171))</f>
        <v>#REF!</v>
      </c>
      <c r="BI171" s="68" t="e">
        <f>IF(mois+3&gt;12,0,IF(mois=12,IF(EXCERCICE="PA",BH171-($CC171/12),IF(EXCERCICE="LB1",BH171-($CF171/12),BH171-($CK171/12))),IF(EXCERCICE="PA",BH171-($CC171/12*(mois+3)),IF(EXCERCICE="LB1",BH171-($CF171/12*(mois+3)),BH171-($CK171/12*(mois+3))))))</f>
        <v>#REF!</v>
      </c>
      <c r="BJ171" s="200" t="e">
        <f>IF(BH171=0,0,IF(mois+1&gt;12,BH171/SUMPRODUCT((($S$6:$U$6)&lt;=mois+3)*$S171:$U171),BH171/SUMPRODUCT((($E$5:$P$5)&lt;=mois+3)*$E171:$P171)))</f>
        <v>#REF!</v>
      </c>
      <c r="BK171" s="175" t="e">
        <f>IF(mois+3&gt;12,0,IF(ISERROR(IF(EXCERCICE="PA",BH171/$CC171,IF(EXCERCICE="LB1",BH171/$CF171,BH171/$CK171))),0,IF(EXCERCICE="PA",BH171/$CC171,IF(EXCERCICE="LB1",BH171/$CF171,BH171/$CK171))))</f>
        <v>#REF!</v>
      </c>
      <c r="BL171" s="223" t="str">
        <f>IF(ISERROR(BH171/HLOOKUP(mois+3,$BQ$5:$CB$39,7,FALSE)),"",BH171/HLOOKUP(mois+3,$BQ$5:$CB$39,7,FALSE))</f>
        <v/>
      </c>
      <c r="BM171" s="2"/>
      <c r="BN171" s="131" t="e">
        <f>IF(mois&gt;=12,IF(EXCERCICE="PA",CC171-AE171,IF(EXCERCICE="LB1",CF171-AE171,IF(EXCERCICE="LB2",$CK171-AE171))),
IF(mois+1&lt;=13,IF(EXCERCICE="PA",CC171-AO171,IF(EXCERCICE="LB1",CF171-AO171,IF(EXCERCICE="LB2",$CK171-AO171))),
IF(mois+2&lt;=14,IF(EXCERCICE="PA",CC171-AY171,IF(EXCERCICE="LB1",CF171-AY171,IF(EXCERCICE="LB2",$CK171-AY171))),
IF(mois+3&lt;=15,IF(EXCERCICE="PA",CC171-BH171,IF(EXCERCICE="LB1",CF171-BH171,IF(EXCERCICE="LB2",$CK171-BH171))),0))))</f>
        <v>#REF!</v>
      </c>
      <c r="BO171" s="131" t="e">
        <f>IF(BN171&lt;0,0,BN171/(12-mois))</f>
        <v>#REF!</v>
      </c>
      <c r="BQ171" s="196"/>
      <c r="BR171" s="196"/>
      <c r="BS171" s="196"/>
      <c r="BT171" s="196"/>
      <c r="BU171" s="196"/>
      <c r="BV171" s="196"/>
      <c r="BW171" s="196"/>
      <c r="BX171" s="196"/>
      <c r="BY171" s="196"/>
      <c r="BZ171" s="196"/>
      <c r="CA171" s="196"/>
      <c r="CB171" s="196"/>
      <c r="CC171" s="131"/>
      <c r="CD171" s="206"/>
      <c r="CE171" s="54"/>
      <c r="CF171" s="96"/>
      <c r="CG171" s="138"/>
      <c r="CH171" s="68"/>
      <c r="CI171" s="52"/>
      <c r="CJ171" s="54"/>
      <c r="CK171" s="96"/>
      <c r="CL171" s="138"/>
      <c r="CM171" s="68"/>
    </row>
    <row r="172" spans="2:91" x14ac:dyDescent="0.2">
      <c r="B172" s="64"/>
      <c r="C172" s="6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194"/>
      <c r="AG172" s="100"/>
      <c r="AH172" s="100"/>
      <c r="AI172" s="100"/>
      <c r="AJ172" s="214"/>
      <c r="AK172" s="214"/>
      <c r="AL172" s="11"/>
      <c r="AM172" s="2"/>
      <c r="AN172" s="71"/>
      <c r="AO172" s="11"/>
      <c r="AP172" s="194"/>
      <c r="AQ172" s="100"/>
      <c r="AR172" s="65"/>
      <c r="AS172" s="2"/>
      <c r="AT172" s="214"/>
      <c r="AU172" s="214"/>
      <c r="AV172" s="11"/>
      <c r="AW172" s="2"/>
      <c r="AX172" s="71"/>
      <c r="AY172" s="11"/>
      <c r="AZ172" s="194"/>
      <c r="BA172" s="65"/>
      <c r="BB172" s="2"/>
      <c r="BC172" s="214"/>
      <c r="BD172" s="214"/>
      <c r="BE172" s="11"/>
      <c r="BF172" s="2"/>
      <c r="BG172" s="71"/>
      <c r="BH172" s="11"/>
      <c r="BI172" s="11"/>
      <c r="BJ172" s="11"/>
      <c r="BK172" s="214"/>
      <c r="BL172" s="214"/>
      <c r="BM172" s="2"/>
      <c r="BN172" s="11"/>
      <c r="BO172" s="11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65"/>
      <c r="CD172" s="205"/>
      <c r="CE172" s="11"/>
      <c r="CF172" s="71"/>
      <c r="CG172" s="137"/>
      <c r="CH172" s="65"/>
      <c r="CI172" s="11"/>
      <c r="CJ172" s="2"/>
      <c r="CK172" s="71"/>
      <c r="CL172" s="137"/>
      <c r="CM172" s="65"/>
    </row>
    <row r="173" spans="2:91" x14ac:dyDescent="0.2">
      <c r="B173" s="49"/>
      <c r="C173" s="50" t="s">
        <v>59</v>
      </c>
      <c r="D173" s="51"/>
      <c r="E173" s="92">
        <f t="shared" ref="E173:P173" si="741">IF(ISERROR(VLOOKUP(CONCATENATE($B165,E$5),TBCHISTORIQUE,10,FALSE)/1000),0,VLOOKUP(CONCATENATE($B165,E$5),TBCHISTORIQUE,10,FALSE)/1000)</f>
        <v>0</v>
      </c>
      <c r="F173" s="93">
        <f t="shared" si="741"/>
        <v>0</v>
      </c>
      <c r="G173" s="93">
        <f t="shared" si="741"/>
        <v>0</v>
      </c>
      <c r="H173" s="93">
        <f t="shared" si="741"/>
        <v>0</v>
      </c>
      <c r="I173" s="93">
        <f t="shared" si="741"/>
        <v>0</v>
      </c>
      <c r="J173" s="93">
        <f t="shared" si="741"/>
        <v>0</v>
      </c>
      <c r="K173" s="93">
        <f t="shared" si="741"/>
        <v>0</v>
      </c>
      <c r="L173" s="93">
        <f t="shared" si="741"/>
        <v>0</v>
      </c>
      <c r="M173" s="93">
        <f t="shared" si="741"/>
        <v>0</v>
      </c>
      <c r="N173" s="93">
        <f t="shared" si="741"/>
        <v>0</v>
      </c>
      <c r="O173" s="93">
        <f t="shared" si="741"/>
        <v>0</v>
      </c>
      <c r="P173" s="94">
        <f t="shared" si="741"/>
        <v>0</v>
      </c>
      <c r="Q173" s="184">
        <f>SUMIF($E$5:$P$5,"&lt;="&amp;mois,E173:P173)</f>
        <v>0</v>
      </c>
      <c r="R173" s="51"/>
      <c r="S173" s="92">
        <f t="shared" ref="S173:AD173" si="742">IF(ISERROR(VLOOKUP(CONCATENATE($B165,S$5),TBCA,10,FALSE)/1000),0,VLOOKUP(CONCATENATE($B165,S$5),TBCA,10,FALSE)/1000)</f>
        <v>0</v>
      </c>
      <c r="T173" s="93">
        <f t="shared" si="742"/>
        <v>0</v>
      </c>
      <c r="U173" s="93">
        <f t="shared" si="742"/>
        <v>0</v>
      </c>
      <c r="V173" s="93">
        <f t="shared" si="742"/>
        <v>0</v>
      </c>
      <c r="W173" s="93">
        <f t="shared" si="742"/>
        <v>0</v>
      </c>
      <c r="X173" s="93">
        <f t="shared" si="742"/>
        <v>0</v>
      </c>
      <c r="Y173" s="93">
        <f t="shared" si="742"/>
        <v>0</v>
      </c>
      <c r="Z173" s="93">
        <f t="shared" si="742"/>
        <v>0</v>
      </c>
      <c r="AA173" s="93">
        <f t="shared" si="742"/>
        <v>0</v>
      </c>
      <c r="AB173" s="93">
        <f t="shared" si="742"/>
        <v>0</v>
      </c>
      <c r="AC173" s="93">
        <f t="shared" si="742"/>
        <v>0</v>
      </c>
      <c r="AD173" s="94">
        <f t="shared" si="742"/>
        <v>0</v>
      </c>
      <c r="AE173" s="92">
        <f>SUMIF($S$5:$AD$5,"&lt;="&amp;mois,S173:AD173)</f>
        <v>0</v>
      </c>
      <c r="AF173" s="291"/>
      <c r="AG173" s="101">
        <f t="shared" ref="AG173:AG174" si="743">AE173-AF173</f>
        <v>0</v>
      </c>
      <c r="AH173" s="101" t="e">
        <f>IF(EXCERCICE="PA",AE173-($CC173/12*(mois)),IF(EXCERCICE="LB1",AE173-($CF173/12*(mois)),AE173-($CK173/12*(mois))))</f>
        <v>#REF!</v>
      </c>
      <c r="AI173" s="176">
        <f>IF(ISERROR(AE173/Q173),0,AE173/Q173)</f>
        <v>0</v>
      </c>
      <c r="AJ173" s="176">
        <f>IF(ISERROR(IF(EXCERCICE="PA",AE173/$CC173,IF(EXCERCICE="LB1",AE173/$CF173,AE173/$CK173))),0,IF(EXCERCICE="PA",AE173/$CC173,IF(EXCERCICE="LB1",AE173/$CF173,AE173/$CK173)))</f>
        <v>0</v>
      </c>
      <c r="AK173" s="176" t="str">
        <f>IF(ISERROR(AE173/HLOOKUP(mois,$BQ$5:$CB$39,9,FALSE)),"",AE173/HLOOKUP(mois,$BQ$5:$CB$39,9,FALSE))</f>
        <v/>
      </c>
      <c r="AL173" s="52"/>
      <c r="AM173" s="54"/>
      <c r="AN173" s="242"/>
      <c r="AO173" s="92" t="e">
        <f>IF(mois+1&gt;12,AN173,+$AE173+AN173)</f>
        <v>#REF!</v>
      </c>
      <c r="AP173" s="291"/>
      <c r="AQ173" s="101" t="e">
        <f>AO173-AP173</f>
        <v>#REF!</v>
      </c>
      <c r="AR173" s="55" t="e">
        <f>IF(mois+1&gt;12,0,IF(mois=12,IF(EXCERCICE="PA",AO173-($CC173/12),IF(EXCERCICE="LB1",AO173-($CF173/12),AO173-($CK173/12))),IF(EXCERCICE="PA",AO173-($CC173/12*(mois+1)),IF(EXCERCICE="LB1",AO173-($CF173/12*(mois+1)),AO173-($CK173/12*(mois+1))))))</f>
        <v>#REF!</v>
      </c>
      <c r="AS173" s="176" t="e">
        <f>IF(AO173=0,0,IF(mois+1&gt;12,AO173/SUMPRODUCT((($S$6:$U$6)&lt;=mois+1)*$S173:$U173),AO173/SUMPRODUCT((($E$5:$P$5)&lt;=mois+1)*$E173:$P173)))</f>
        <v>#REF!</v>
      </c>
      <c r="AT173" s="176" t="e">
        <f>IF(mois+1&gt;12,0,IF(ISERROR(IF(EXCERCICE="PA",AO173/$CC173,IF(EXCERCICE="LB1",AO173/$CF173,AO173/$CK173))),0,IF(EXCERCICE="PA",AO173/$CC173,IF(EXCERCICE="LB1",AO173/$CF173,AO173/$CK173))))</f>
        <v>#REF!</v>
      </c>
      <c r="AU173" s="224" t="str">
        <f>IF(ISERROR(AO173/HLOOKUP(mois+1,$BQ$5:$CB$39,9,FALSE)),"",AO173/HLOOKUP(mois+1,$BQ$5:$CB$39,9,FALSE))</f>
        <v/>
      </c>
      <c r="AV173" s="11"/>
      <c r="AW173" s="54"/>
      <c r="AX173" s="242"/>
      <c r="AY173" s="92"/>
      <c r="AZ173" s="291"/>
      <c r="BA173" s="55" t="e">
        <f>IF(mois+2&gt;12,0,IF(mois=12,IF(EXCERCICE="PA",AY173-($CC173/12),IF(EXCERCICE="LB1",AY173-($CF173/12),AY173-($CK173/12))),IF(EXCERCICE="PA",AY173-($CC173/12*(mois+2)),IF(EXCERCICE="LB1",AY173-($CF173/12*(mois+2)),AY173-($CK173/12*(mois+2))))))</f>
        <v>#REF!</v>
      </c>
      <c r="BB173" s="176">
        <f>IF(AY173=0,0,IF(mois+1&gt;12,AY173/SUMPRODUCT((($S$6:$U$6)&lt;=mois+2)*$S173:$U173),AY173/SUMPRODUCT((($E$5:$P$5)&lt;=mois+2)*$E173:$P173)))</f>
        <v>0</v>
      </c>
      <c r="BC173" s="176" t="e">
        <f>IF(mois+2&gt;12,0,IF(ISERROR(IF(EXCERCICE="PA",AY173/$CC173,IF(EXCERCICE="LB1",AY173/$CF173,AY173/$CK173))),0,IF(EXCERCICE="PA",AY173/$CC173,IF(EXCERCICE="LB1",AY173/$CF173,AY173/$CK173))))</f>
        <v>#REF!</v>
      </c>
      <c r="BD173" s="224" t="str">
        <f>IF(ISERROR(AY173/HLOOKUP(mois+2,$BQ$5:$CB$39,9,FALSE)),"",AY173/HLOOKUP(mois+2,$BQ$5:$CB$39,9,FALSE))</f>
        <v/>
      </c>
      <c r="BE173" s="52"/>
      <c r="BF173" s="54"/>
      <c r="BG173" s="242"/>
      <c r="BH173" s="92" t="e">
        <f>IF(mois+3=13,BG173,IF(mois+3&gt;15,BG173,+$AY173+BG173))</f>
        <v>#REF!</v>
      </c>
      <c r="BI173" s="55" t="e">
        <f>IF(mois+3&gt;12,0,IF(mois=12,IF(EXCERCICE="PA",BH173-($CC173/12),IF(EXCERCICE="LB1",BH173-($CF173/12),BH173-($CK173/12))),IF(EXCERCICE="PA",BH173-($CC173/12*(mois+3)),IF(EXCERCICE="LB1",BH173-($CF173/12*(mois+3)),BH173-($CK173/12*(mois+3))))))</f>
        <v>#REF!</v>
      </c>
      <c r="BJ173" s="176" t="e">
        <f>IF(BH173=0,0,IF(mois+1&gt;12,BH173/SUMPRODUCT((($S$6:$U$6)&lt;=mois+3)*$S173:$U173),BH173/SUMPRODUCT((($E$5:$P$5)&lt;=mois+3)*$E173:$P173)))</f>
        <v>#REF!</v>
      </c>
      <c r="BK173" s="176" t="e">
        <f>IF(mois+3&gt;12,0,IF(ISERROR(IF(EXCERCICE="PA",BH173/$CC173,IF(EXCERCICE="LB1",BH173/$CF173,BH173/$CK173))),0,IF(EXCERCICE="PA",BH173/$CC173,IF(EXCERCICE="LB1",BH173/$CF173,BH173/$CK173))))</f>
        <v>#REF!</v>
      </c>
      <c r="BL173" s="224" t="str">
        <f>IF(ISERROR(BH173/HLOOKUP(mois+3,$BQ$5:$CB$39,9,FALSE)),"",BH173/HLOOKUP(mois+3,$BQ$5:$CB$39,9,FALSE))</f>
        <v/>
      </c>
      <c r="BM173" s="2"/>
      <c r="BN173" s="231" t="e">
        <f>IF(mois&gt;=12,IF(EXCERCICE="PA",CC173-AE173,IF(EXCERCICE="LB1",CF173-AE173,IF(EXCERCICE="LB2",$CK173-AE173))),
IF(mois+1&lt;=13,IF(EXCERCICE="PA",CC173-AO173,IF(EXCERCICE="LB1",CF173-AO173,IF(EXCERCICE="LB2",$CK173-AO173))),
IF(mois+2&lt;=14,IF(EXCERCICE="PA",CC173-AY173,IF(EXCERCICE="LB1",CF173-AY173,IF(EXCERCICE="LB2",$CK173-AY173))),
IF(mois+3&lt;=15,IF(EXCERCICE="PA",CC173-BH173,IF(EXCERCICE="LB1",CF173-BH173,IF(EXCERCICE="LB2",$CK173-BH173))),0))))</f>
        <v>#REF!</v>
      </c>
      <c r="BO173" s="231" t="e">
        <f>IF(BN173&lt;0,0,BN173/(12-mois))</f>
        <v>#REF!</v>
      </c>
      <c r="BP173" s="2"/>
      <c r="BQ173" s="196"/>
      <c r="BR173" s="196"/>
      <c r="BS173" s="196"/>
      <c r="BT173" s="196"/>
      <c r="BU173" s="196"/>
      <c r="BV173" s="196"/>
      <c r="BW173" s="196"/>
      <c r="BX173" s="196"/>
      <c r="BY173" s="196"/>
      <c r="BZ173" s="196"/>
      <c r="CA173" s="196"/>
      <c r="CB173" s="196"/>
      <c r="CC173" s="92"/>
      <c r="CD173" s="207"/>
      <c r="CE173" s="54"/>
      <c r="CF173" s="92"/>
      <c r="CG173" s="128"/>
      <c r="CH173" s="53"/>
      <c r="CI173" s="52"/>
      <c r="CJ173" s="54"/>
      <c r="CK173" s="92"/>
      <c r="CL173" s="128"/>
      <c r="CM173" s="55"/>
    </row>
    <row r="174" spans="2:91" x14ac:dyDescent="0.2">
      <c r="B174" s="56"/>
      <c r="C174" s="57" t="s">
        <v>60</v>
      </c>
      <c r="D174" s="2"/>
      <c r="E174" s="95">
        <f t="shared" ref="E174:P174" si="744">IF(ISERROR(VLOOKUP(CONCATENATE($B165,E$5),TBCHISTORIQUE,11,FALSE)/1000),0,VLOOKUP(CONCATENATE($B165,E$5),TBCHISTORIQUE,11,FALSE)/1000)</f>
        <v>0</v>
      </c>
      <c r="F174" s="167">
        <f t="shared" si="744"/>
        <v>0</v>
      </c>
      <c r="G174" s="167">
        <f t="shared" si="744"/>
        <v>0</v>
      </c>
      <c r="H174" s="167">
        <f t="shared" si="744"/>
        <v>0</v>
      </c>
      <c r="I174" s="167">
        <f t="shared" si="744"/>
        <v>0</v>
      </c>
      <c r="J174" s="167">
        <f t="shared" si="744"/>
        <v>0</v>
      </c>
      <c r="K174" s="167">
        <f t="shared" si="744"/>
        <v>0</v>
      </c>
      <c r="L174" s="167">
        <f t="shared" si="744"/>
        <v>0</v>
      </c>
      <c r="M174" s="167">
        <f t="shared" si="744"/>
        <v>0</v>
      </c>
      <c r="N174" s="167">
        <f t="shared" si="744"/>
        <v>0</v>
      </c>
      <c r="O174" s="167">
        <f t="shared" si="744"/>
        <v>0</v>
      </c>
      <c r="P174" s="168">
        <f t="shared" si="744"/>
        <v>0</v>
      </c>
      <c r="Q174" s="185">
        <f>SUMIF($E$5:$P$5,"&lt;="&amp;mois,E174:P174)</f>
        <v>0</v>
      </c>
      <c r="R174" s="2"/>
      <c r="S174" s="95">
        <f t="shared" ref="S174:AD174" si="745">IF(ISERROR(VLOOKUP(CONCATENATE($B165,S$5),TBCA,11,FALSE)/1000),0,VLOOKUP(CONCATENATE($B165,S$5),TBCA,11,FALSE)/1000)</f>
        <v>0</v>
      </c>
      <c r="T174" s="167">
        <f t="shared" si="745"/>
        <v>0</v>
      </c>
      <c r="U174" s="167">
        <f t="shared" si="745"/>
        <v>0</v>
      </c>
      <c r="V174" s="167">
        <f t="shared" si="745"/>
        <v>0</v>
      </c>
      <c r="W174" s="167">
        <f t="shared" si="745"/>
        <v>0</v>
      </c>
      <c r="X174" s="167">
        <f t="shared" si="745"/>
        <v>0</v>
      </c>
      <c r="Y174" s="167">
        <f t="shared" si="745"/>
        <v>0</v>
      </c>
      <c r="Z174" s="167">
        <f t="shared" si="745"/>
        <v>0</v>
      </c>
      <c r="AA174" s="167">
        <f t="shared" si="745"/>
        <v>0</v>
      </c>
      <c r="AB174" s="167">
        <f t="shared" si="745"/>
        <v>0</v>
      </c>
      <c r="AC174" s="167">
        <f t="shared" si="745"/>
        <v>0</v>
      </c>
      <c r="AD174" s="168">
        <f t="shared" si="745"/>
        <v>0</v>
      </c>
      <c r="AE174" s="95">
        <f>SUMIF($S$5:$AD$5,"&lt;="&amp;mois,S174:AD174)</f>
        <v>0</v>
      </c>
      <c r="AF174" s="292"/>
      <c r="AG174" s="102">
        <f t="shared" si="743"/>
        <v>0</v>
      </c>
      <c r="AH174" s="102" t="e">
        <f>IF(EXCERCICE="PA",AE174-($CC174/12*(mois)),IF(EXCERCICE="LB1",AE174-($CF174/12*(mois)),AE174-($CK174/12*(mois))))</f>
        <v>#REF!</v>
      </c>
      <c r="AI174" s="102"/>
      <c r="AJ174" s="212">
        <f>IF(ISERROR(IF(EXCERCICE="PA",AE174/$CC174,IF(EXCERCICE="LB1",AE174/$CF174,AE174/$CK174))),0,IF(EXCERCICE="PA",AE174/$CC174,IF(EXCERCICE="LB1",AE174/$CF174,AE174/$CK174)))</f>
        <v>0</v>
      </c>
      <c r="AK174" s="212"/>
      <c r="AL174" s="58"/>
      <c r="AM174" s="11"/>
      <c r="AN174" s="243"/>
      <c r="AO174" s="95" t="e">
        <f>IF(mois+1&gt;12,AN174,+$AE174+AN174)</f>
        <v>#REF!</v>
      </c>
      <c r="AP174" s="292"/>
      <c r="AQ174" s="102" t="e">
        <f>AO174-AP174</f>
        <v>#REF!</v>
      </c>
      <c r="AR174" s="17" t="e">
        <f>IF(mois+1&gt;12,0,IF(mois=12,IF(EXCERCICE="PA",AO174-($CC174/12),IF(EXCERCICE="LB1",AO174-($CF174/12),AO174-($CK174/12))),IF(EXCERCICE="PA",AO174-($CC174/12*(mois+1)),IF(EXCERCICE="LB1",AO174-($CF174/12*(mois+1)),AO174-($CK174/12*(mois+1))))))</f>
        <v>#REF!</v>
      </c>
      <c r="AS174" s="179"/>
      <c r="AT174" s="212" t="e">
        <f>IF(mois+1&gt;12,0,IF(ISERROR(IF(EXCERCICE="PA",AO174/$CC174,IF(EXCERCICE="LB1",AO174/$CF174,AO174/$CK174))),0,IF(EXCERCICE="PA",AO174/$CC174,IF(EXCERCICE="LB1",AO174/$CF174,AO174/$CK174))))</f>
        <v>#REF!</v>
      </c>
      <c r="AU174" s="221"/>
      <c r="AV174" s="11"/>
      <c r="AW174" s="11"/>
      <c r="AX174" s="243"/>
      <c r="AY174" s="95"/>
      <c r="AZ174" s="292"/>
      <c r="BA174" s="17" t="e">
        <f>IF(mois+2&gt;12,0,IF(mois=12,IF(EXCERCICE="PA",AY174-($CC174/12),IF(EXCERCICE="LB1",AY174-($CF174/12),AY174-($CK174/12))),IF(EXCERCICE="PA",AY174-($CC174/12*(mois+2)),IF(EXCERCICE="LB1",AY174-($CF174/12*(mois+2)),AY174-($CK174/12*(mois+2))))))</f>
        <v>#REF!</v>
      </c>
      <c r="BB174" s="179"/>
      <c r="BC174" s="212" t="e">
        <f>IF(mois+2&gt;12,0,IF(ISERROR(IF(EXCERCICE="PA",AY174/$CC174,IF(EXCERCICE="LB1",AY174/$CF174,AY174/$CK174))),0,IF(EXCERCICE="PA",AY174/$CC174,IF(EXCERCICE="LB1",AY174/$CF174,AY174/$CK174))))</f>
        <v>#REF!</v>
      </c>
      <c r="BD174" s="221"/>
      <c r="BE174" s="58"/>
      <c r="BF174" s="11"/>
      <c r="BG174" s="243"/>
      <c r="BH174" s="95" t="e">
        <f>IF(mois+3=13,BG174,IF(mois+3&gt;15,BG174,+$AY174+BG174))</f>
        <v>#REF!</v>
      </c>
      <c r="BI174" s="17" t="e">
        <f>IF(mois+3&gt;12,0,IF(mois=12,IF(EXCERCICE="PA",BH174-($CC174/12),IF(EXCERCICE="LB1",BH174-($CF174/12),BH174-($CK174/12))),IF(EXCERCICE="PA",BH174-($CC174/12*(mois+3)),IF(EXCERCICE="LB1",BH174-($CF174/12*(mois+3)),BH174-($CK174/12*(mois+3))))))</f>
        <v>#REF!</v>
      </c>
      <c r="BJ174" s="17"/>
      <c r="BK174" s="212" t="e">
        <f>IF(mois+3&gt;12,0,IF(ISERROR(IF(EXCERCICE="PA",BH174/$CC174,IF(EXCERCICE="LB1",BH174/$CF174,BH174/$CK174))),0,IF(EXCERCICE="PA",BH174/$CC174,IF(EXCERCICE="LB1",BH174/$CF174,BH174/$CK174))))</f>
        <v>#REF!</v>
      </c>
      <c r="BL174" s="221"/>
      <c r="BM174" s="2"/>
      <c r="BN174" s="123" t="e">
        <f>IF(mois&gt;=12,IF(EXCERCICE="PA",CC174-AE174,IF(EXCERCICE="LB1",CF174-AE174,IF(EXCERCICE="LB2",$CK174-AE174))),
IF(mois+1&lt;=13,IF(EXCERCICE="PA",CC174-AO174,IF(EXCERCICE="LB1",CF174-AO174,IF(EXCERCICE="LB2",$CK174-AO174))),
IF(mois+2&lt;=14,IF(EXCERCICE="PA",CC174-AY174,IF(EXCERCICE="LB1",CF174-AY174,IF(EXCERCICE="LB2",$CK174-AY174))),
IF(mois+3&lt;=15,IF(EXCERCICE="PA",CC174-BH174,IF(EXCERCICE="LB1",CF174-BH174,IF(EXCERCICE="LB2",$CK174-BH174))),0))))</f>
        <v>#REF!</v>
      </c>
      <c r="BO174" s="123" t="e">
        <f>IF(BN174&lt;0,0,BN174/(12-mois))</f>
        <v>#REF!</v>
      </c>
      <c r="BP174" s="2"/>
      <c r="BQ174" s="173"/>
      <c r="BR174" s="173"/>
      <c r="BS174" s="173"/>
      <c r="BT174" s="173"/>
      <c r="BU174" s="173"/>
      <c r="BV174" s="173"/>
      <c r="BW174" s="173"/>
      <c r="BX174" s="173"/>
      <c r="BY174" s="173"/>
      <c r="BZ174" s="173"/>
      <c r="CA174" s="173"/>
      <c r="CB174" s="173"/>
      <c r="CC174" s="95"/>
      <c r="CD174" s="203"/>
      <c r="CE174" s="11"/>
      <c r="CF174" s="95"/>
      <c r="CG174" s="125"/>
      <c r="CH174" s="59"/>
      <c r="CI174" s="58"/>
      <c r="CJ174" s="11"/>
      <c r="CK174" s="95"/>
      <c r="CL174" s="125"/>
      <c r="CM174" s="17"/>
    </row>
    <row r="175" spans="2:91" x14ac:dyDescent="0.2">
      <c r="B175" s="56"/>
      <c r="C175" s="142" t="s">
        <v>63</v>
      </c>
      <c r="D175" s="2"/>
      <c r="E175" s="69" t="str">
        <f>IF(E173=0,"-",E174/E173)</f>
        <v>-</v>
      </c>
      <c r="F175" s="9" t="str">
        <f t="shared" ref="F175" si="746">IF(F173=0,"-",F174/F173)</f>
        <v>-</v>
      </c>
      <c r="G175" s="9" t="str">
        <f t="shared" ref="G175" si="747">IF(G173=0,"-",G174/G173)</f>
        <v>-</v>
      </c>
      <c r="H175" s="9" t="str">
        <f t="shared" ref="H175" si="748">IF(H173=0,"-",H174/H173)</f>
        <v>-</v>
      </c>
      <c r="I175" s="9" t="str">
        <f t="shared" ref="I175" si="749">IF(I173=0,"-",I174/I173)</f>
        <v>-</v>
      </c>
      <c r="J175" s="9" t="str">
        <f t="shared" ref="J175" si="750">IF(J173=0,"-",J174/J173)</f>
        <v>-</v>
      </c>
      <c r="K175" s="9" t="str">
        <f t="shared" ref="K175" si="751">IF(K173=0,"-",K174/K173)</f>
        <v>-</v>
      </c>
      <c r="L175" s="9" t="str">
        <f t="shared" ref="L175" si="752">IF(L173=0,"-",L174/L173)</f>
        <v>-</v>
      </c>
      <c r="M175" s="9" t="str">
        <f t="shared" ref="M175" si="753">IF(M173=0,"-",M174/M173)</f>
        <v>-</v>
      </c>
      <c r="N175" s="9" t="str">
        <f t="shared" ref="N175" si="754">IF(N173=0,"-",N174/N173)</f>
        <v>-</v>
      </c>
      <c r="O175" s="9" t="str">
        <f t="shared" ref="O175" si="755">IF(O173=0,"-",O174/O173)</f>
        <v>-</v>
      </c>
      <c r="P175" s="9" t="str">
        <f t="shared" ref="P175" si="756">IF(P173=0,"-",P174/P173)</f>
        <v>-</v>
      </c>
      <c r="Q175" s="188" t="str">
        <f t="shared" ref="Q175" si="757">IF(Q173=0,"-",Q174/Q173)</f>
        <v>-</v>
      </c>
      <c r="R175" s="2"/>
      <c r="S175" s="69" t="str">
        <f>IF(S173=0,"-",S174/S173)</f>
        <v>-</v>
      </c>
      <c r="T175" s="9" t="str">
        <f t="shared" ref="T175" si="758">IF(T173=0,"-",T174/T173)</f>
        <v>-</v>
      </c>
      <c r="U175" s="9" t="str">
        <f t="shared" ref="U175" si="759">IF(U173=0,"-",U174/U173)</f>
        <v>-</v>
      </c>
      <c r="V175" s="9" t="str">
        <f t="shared" ref="V175" si="760">IF(V173=0,"-",V174/V173)</f>
        <v>-</v>
      </c>
      <c r="W175" s="9" t="str">
        <f t="shared" ref="W175" si="761">IF(W173=0,"-",W174/W173)</f>
        <v>-</v>
      </c>
      <c r="X175" s="9" t="str">
        <f t="shared" ref="X175" si="762">IF(X173=0,"-",X174/X173)</f>
        <v>-</v>
      </c>
      <c r="Y175" s="9" t="str">
        <f t="shared" ref="Y175" si="763">IF(Y173=0,"-",Y174/Y173)</f>
        <v>-</v>
      </c>
      <c r="Z175" s="9" t="str">
        <f t="shared" ref="Z175" si="764">IF(Z173=0,"-",Z174/Z173)</f>
        <v>-</v>
      </c>
      <c r="AA175" s="9" t="str">
        <f t="shared" ref="AA175" si="765">IF(AA173=0,"-",AA174/AA173)</f>
        <v>-</v>
      </c>
      <c r="AB175" s="9" t="str">
        <f t="shared" ref="AB175" si="766">IF(AB173=0,"-",AB174/AB173)</f>
        <v>-</v>
      </c>
      <c r="AC175" s="9" t="str">
        <f t="shared" ref="AC175" si="767">IF(AC173=0,"-",AC174/AC173)</f>
        <v>-</v>
      </c>
      <c r="AD175" s="9" t="str">
        <f t="shared" ref="AD175" si="768">IF(AD173=0,"-",AD174/AD173)</f>
        <v>-</v>
      </c>
      <c r="AE175" s="69" t="str">
        <f>IF(AE173=0,"-",AE174/AE173)</f>
        <v>-</v>
      </c>
      <c r="AF175" s="295"/>
      <c r="AG175" s="105" t="str">
        <f t="shared" ref="AG175:AH175" si="769">IF(AG173=0,"-",AG174/AG173)</f>
        <v>-</v>
      </c>
      <c r="AH175" s="105" t="e">
        <f t="shared" si="769"/>
        <v>#REF!</v>
      </c>
      <c r="AI175" s="105"/>
      <c r="AJ175" s="212"/>
      <c r="AK175" s="212"/>
      <c r="AL175" s="58"/>
      <c r="AM175" s="11"/>
      <c r="AN175" s="244"/>
      <c r="AO175" s="69" t="e">
        <f t="shared" ref="AO175" si="770">IF(AO173=0,"-",AO174/AO173)</f>
        <v>#REF!</v>
      </c>
      <c r="AP175" s="295"/>
      <c r="AQ175" s="105" t="e">
        <f t="shared" ref="AQ175:AR175" si="771">IF(AQ173=0,"-",AQ174/AQ173)</f>
        <v>#REF!</v>
      </c>
      <c r="AR175" s="9" t="e">
        <f t="shared" si="771"/>
        <v>#REF!</v>
      </c>
      <c r="AS175" s="105"/>
      <c r="AT175" s="212"/>
      <c r="AU175" s="221"/>
      <c r="AV175" s="11"/>
      <c r="AW175" s="11"/>
      <c r="AX175" s="244"/>
      <c r="AY175" s="69"/>
      <c r="AZ175" s="295"/>
      <c r="BA175" s="9" t="e">
        <f t="shared" ref="BA175" si="772">IF(BA173=0,"-",BA174/BA173)</f>
        <v>#REF!</v>
      </c>
      <c r="BB175" s="105"/>
      <c r="BC175" s="212"/>
      <c r="BD175" s="221"/>
      <c r="BE175" s="58"/>
      <c r="BF175" s="11"/>
      <c r="BG175" s="244"/>
      <c r="BH175" s="69" t="e">
        <f t="shared" ref="BH175:BI175" si="773">IF(BH173=0,"-",BH174/BH173)</f>
        <v>#REF!</v>
      </c>
      <c r="BI175" s="9" t="e">
        <f t="shared" si="773"/>
        <v>#REF!</v>
      </c>
      <c r="BJ175" s="9"/>
      <c r="BK175" s="212"/>
      <c r="BL175" s="221"/>
      <c r="BM175" s="2"/>
      <c r="BN175" s="232"/>
      <c r="BO175" s="232"/>
      <c r="BP175" s="2"/>
      <c r="BQ175" s="173"/>
      <c r="BR175" s="173"/>
      <c r="BS175" s="173"/>
      <c r="BT175" s="173"/>
      <c r="BU175" s="173"/>
      <c r="BV175" s="173"/>
      <c r="BW175" s="173"/>
      <c r="BX175" s="173"/>
      <c r="BY175" s="173"/>
      <c r="BZ175" s="173"/>
      <c r="CA175" s="173"/>
      <c r="CB175" s="173"/>
      <c r="CC175" s="69"/>
      <c r="CD175" s="203"/>
      <c r="CE175" s="11"/>
      <c r="CF175" s="69"/>
      <c r="CG175" s="135"/>
      <c r="CH175" s="149"/>
      <c r="CI175" s="58"/>
      <c r="CJ175" s="11"/>
      <c r="CK175" s="69"/>
      <c r="CL175" s="135"/>
      <c r="CM175" s="10"/>
    </row>
    <row r="176" spans="2:91" x14ac:dyDescent="0.2">
      <c r="B176" s="56"/>
      <c r="C176" s="70"/>
      <c r="D176" s="2"/>
      <c r="E176" s="58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89"/>
      <c r="R176" s="2"/>
      <c r="S176" s="58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58"/>
      <c r="AF176" s="296"/>
      <c r="AG176" s="106"/>
      <c r="AH176" s="106"/>
      <c r="AI176" s="106"/>
      <c r="AJ176" s="198"/>
      <c r="AK176" s="198"/>
      <c r="AL176" s="58"/>
      <c r="AM176" s="11"/>
      <c r="AN176" s="245"/>
      <c r="AO176" s="58"/>
      <c r="AP176" s="296"/>
      <c r="AQ176" s="106"/>
      <c r="AR176" s="71"/>
      <c r="AS176" s="106"/>
      <c r="AT176" s="198"/>
      <c r="AU176" s="225"/>
      <c r="AV176" s="11"/>
      <c r="AW176" s="11"/>
      <c r="AX176" s="245"/>
      <c r="AY176" s="58"/>
      <c r="AZ176" s="296"/>
      <c r="BA176" s="71"/>
      <c r="BB176" s="106"/>
      <c r="BC176" s="198"/>
      <c r="BD176" s="225"/>
      <c r="BE176" s="58"/>
      <c r="BF176" s="11"/>
      <c r="BG176" s="245"/>
      <c r="BH176" s="58"/>
      <c r="BI176" s="11"/>
      <c r="BJ176" s="11"/>
      <c r="BK176" s="198"/>
      <c r="BL176" s="225"/>
      <c r="BM176" s="2"/>
      <c r="BN176" s="233"/>
      <c r="BO176" s="233"/>
      <c r="BP176" s="2"/>
      <c r="BQ176" s="173"/>
      <c r="BR176" s="173"/>
      <c r="BS176" s="173"/>
      <c r="BT176" s="173"/>
      <c r="BU176" s="173"/>
      <c r="BV176" s="173"/>
      <c r="BW176" s="173"/>
      <c r="BX176" s="173"/>
      <c r="BY176" s="173"/>
      <c r="BZ176" s="173"/>
      <c r="CA176" s="173"/>
      <c r="CB176" s="173"/>
      <c r="CC176" s="133"/>
      <c r="CD176" s="208"/>
      <c r="CE176" s="11"/>
      <c r="CF176" s="133"/>
      <c r="CG176" s="125"/>
      <c r="CH176" s="70"/>
      <c r="CI176" s="58"/>
      <c r="CJ176" s="11"/>
      <c r="CK176" s="133"/>
      <c r="CL176" s="125"/>
      <c r="CM176" s="71"/>
    </row>
    <row r="177" spans="2:91" x14ac:dyDescent="0.2">
      <c r="B177" s="72"/>
      <c r="C177" s="73" t="s">
        <v>9</v>
      </c>
      <c r="D177" s="74"/>
      <c r="E177" s="97">
        <f>IF(ISERROR(VLOOKUP(CONCATENATE($B165,E$5),TBCHISTORIQUE,12,FALSE)/1000),0,VLOOKUP(CONCATENATE($B165,E$5),TBCHISTORIQUE,12,FALSE)/1000)</f>
        <v>0</v>
      </c>
      <c r="F177" s="171">
        <f t="shared" ref="F177:P177" si="774">IF(ISERROR(VLOOKUP(CONCATENATE($B$50,F$5),TBCHISTORIQUE,12,FALSE)/1000),0,VLOOKUP(CONCATENATE($B$50,F$5),TBCHISTORIQUE,12,FALSE)/1000)</f>
        <v>0</v>
      </c>
      <c r="G177" s="171">
        <f t="shared" si="774"/>
        <v>0</v>
      </c>
      <c r="H177" s="171">
        <f t="shared" si="774"/>
        <v>0</v>
      </c>
      <c r="I177" s="171">
        <f t="shared" si="774"/>
        <v>0</v>
      </c>
      <c r="J177" s="171">
        <f t="shared" si="774"/>
        <v>0</v>
      </c>
      <c r="K177" s="171">
        <f t="shared" si="774"/>
        <v>0</v>
      </c>
      <c r="L177" s="171">
        <f t="shared" si="774"/>
        <v>0</v>
      </c>
      <c r="M177" s="171">
        <f t="shared" si="774"/>
        <v>0</v>
      </c>
      <c r="N177" s="171">
        <f t="shared" si="774"/>
        <v>0</v>
      </c>
      <c r="O177" s="171">
        <f t="shared" si="774"/>
        <v>0</v>
      </c>
      <c r="P177" s="172">
        <f t="shared" si="774"/>
        <v>0</v>
      </c>
      <c r="Q177" s="190">
        <f>SUMIF($E$5:$P$5,"&lt;="&amp;mois,E177:P177)</f>
        <v>0</v>
      </c>
      <c r="R177" s="74"/>
      <c r="S177" s="97">
        <f t="shared" ref="S177:AD177" si="775">IF(ISERROR(VLOOKUP(CONCATENATE($B165,S$5),TBCA,12,FALSE)/1000),0,VLOOKUP(CONCATENATE($B165,S$5),TBCA,12,FALSE)/1000)</f>
        <v>0</v>
      </c>
      <c r="T177" s="171">
        <f t="shared" si="775"/>
        <v>0</v>
      </c>
      <c r="U177" s="171">
        <f t="shared" si="775"/>
        <v>0</v>
      </c>
      <c r="V177" s="171">
        <f t="shared" si="775"/>
        <v>0</v>
      </c>
      <c r="W177" s="171">
        <f t="shared" si="775"/>
        <v>0</v>
      </c>
      <c r="X177" s="171">
        <f t="shared" si="775"/>
        <v>0</v>
      </c>
      <c r="Y177" s="171">
        <f t="shared" si="775"/>
        <v>0</v>
      </c>
      <c r="Z177" s="171">
        <f t="shared" si="775"/>
        <v>0</v>
      </c>
      <c r="AA177" s="171">
        <f t="shared" si="775"/>
        <v>0</v>
      </c>
      <c r="AB177" s="171">
        <f t="shared" si="775"/>
        <v>0</v>
      </c>
      <c r="AC177" s="171">
        <f t="shared" si="775"/>
        <v>0</v>
      </c>
      <c r="AD177" s="172">
        <f t="shared" si="775"/>
        <v>0</v>
      </c>
      <c r="AE177" s="97">
        <f>SUMIF($S$5:$AD$5,"&lt;="&amp;mois,S177:AD177)</f>
        <v>0</v>
      </c>
      <c r="AF177" s="292"/>
      <c r="AG177" s="107">
        <f>AE177-AF177</f>
        <v>0</v>
      </c>
      <c r="AH177" s="107" t="e">
        <f>IF(EXCERCICE="PA",AE177-($CC177/12*(mois)),IF(EXCERCICE="LB1",AE177-($CF177/12*(mois)),AE177-($CK177/12*(mois))))</f>
        <v>#REF!</v>
      </c>
      <c r="AI177" s="107"/>
      <c r="AJ177" s="215">
        <f>IF(ISERROR(IF(EXCERCICE="PA",AE177/$CC177,IF(EXCERCICE="LB1",AE177/$CF177,AE177/$CK177))),0,IF(EXCERCICE="PA",AE177/$CC177,IF(EXCERCICE="LB1",AE177/$CF177,AE177/$CK177)))</f>
        <v>0</v>
      </c>
      <c r="AK177" s="215"/>
      <c r="AL177" s="75"/>
      <c r="AM177" s="77"/>
      <c r="AN177" s="246"/>
      <c r="AO177" s="97" t="e">
        <f>IF(mois+1&gt;12,AN177,+$AE177+AN177)</f>
        <v>#REF!</v>
      </c>
      <c r="AP177" s="292"/>
      <c r="AQ177" s="107" t="e">
        <f>AO177-AP177</f>
        <v>#REF!</v>
      </c>
      <c r="AR177" s="78" t="e">
        <f>IF(mois+1&gt;12,0,IF(mois=12,IF(EXCERCICE="PA",AO177-($CC177/12),IF(EXCERCICE="LB1",AO177-($CF177/12),AO177-($CK177/12))),IF(EXCERCICE="PA",AO177-($CC177/12*(mois+1)),IF(EXCERCICE="LB1",AO177-($CF177/12*(mois+1)),AO177-($CK177/12*(mois+1))))))</f>
        <v>#REF!</v>
      </c>
      <c r="AS177" s="180"/>
      <c r="AT177" s="215" t="e">
        <f>IF(mois+1&gt;12,0,IF(ISERROR(IF(EXCERCICE="PA",AO177/$CC177,IF(EXCERCICE="LB1",AO177/$CF177,AO177/$CK177))),0,IF(EXCERCICE="PA",AO177/$CC177,IF(EXCERCICE="LB1",AO177/$CF177,AO177/$CK177))))</f>
        <v>#REF!</v>
      </c>
      <c r="AU177" s="226"/>
      <c r="AV177" s="11"/>
      <c r="AW177" s="77"/>
      <c r="AX177" s="246"/>
      <c r="AY177" s="97"/>
      <c r="AZ177" s="292"/>
      <c r="BA177" s="78" t="e">
        <f>IF(mois+2&gt;12,0,IF(mois=12,IF(EXCERCICE="PA",AY177-($CC177/12),IF(EXCERCICE="LB1",AY177-($CF177/12),AY177-($CK177/12))),IF(EXCERCICE="PA",AY177-($CC177/12*(mois+2)),IF(EXCERCICE="LB1",AY177-($CF177/12*(mois+2)),AY177-($CK177/12*(mois+2))))))</f>
        <v>#REF!</v>
      </c>
      <c r="BB177" s="180"/>
      <c r="BC177" s="215" t="e">
        <f>IF(mois+2&gt;12,0,IF(ISERROR(IF(EXCERCICE="PA",AY177/$CC177,IF(EXCERCICE="LB1",AY177/$CF177,AY177/$CK177))),0,IF(EXCERCICE="PA",AY177/$CC177,IF(EXCERCICE="LB1",AY177/$CF177,AY177/$CK177))))</f>
        <v>#REF!</v>
      </c>
      <c r="BD177" s="226"/>
      <c r="BE177" s="75"/>
      <c r="BF177" s="77"/>
      <c r="BG177" s="246"/>
      <c r="BH177" s="97" t="e">
        <f>IF(mois+3=13,BG177,IF(mois+3&gt;15,BG177,+$AY177+BG177))</f>
        <v>#REF!</v>
      </c>
      <c r="BI177" s="78" t="e">
        <f>IF(mois+3&gt;12,0,IF(mois=12,IF(EXCERCICE="PA",BH177-($CC177/12),IF(EXCERCICE="LB1",BH177-($CF177/12),BH177-($CK177/12))),IF(EXCERCICE="PA",BH177-($CC177/12*(mois+3)),IF(EXCERCICE="LB1",BH177-($CF177/12*(mois+3)),BH177-($CK177/12*(mois+3))))))</f>
        <v>#REF!</v>
      </c>
      <c r="BJ177" s="78"/>
      <c r="BK177" s="215" t="e">
        <f>IF(mois+3&gt;12,0,IF(ISERROR(IF(EXCERCICE="PA",BH177/$CC177,IF(EXCERCICE="LB1",BH177/$CF177,BH177/$CK177))),0,IF(EXCERCICE="PA",BH177/$CC177,IF(EXCERCICE="LB1",BH177/$CF177,BH177/$CK177))))</f>
        <v>#REF!</v>
      </c>
      <c r="BL177" s="226"/>
      <c r="BM177" s="2"/>
      <c r="BN177" s="123" t="e">
        <f>IF(mois&gt;=12,IF(EXCERCICE="PA",CC177-AE177,IF(EXCERCICE="LB1",CF177-AE177,IF(EXCERCICE="LB2",$CK177-AE177))),
IF(mois+1&lt;=13,IF(EXCERCICE="PA",CC177-AO177,IF(EXCERCICE="LB1",CF177-AO177,IF(EXCERCICE="LB2",$CK177-AO177))),
IF(mois+2&lt;=14,IF(EXCERCICE="PA",CC177-AY177,IF(EXCERCICE="LB1",CF177-AY177,IF(EXCERCICE="LB2",$CK177-AY177))),
IF(mois+3&lt;=15,IF(EXCERCICE="PA",CC177-BH177,IF(EXCERCICE="LB1",CF177-BH177,IF(EXCERCICE="LB2",$CK177-BH177))),0))))</f>
        <v>#REF!</v>
      </c>
      <c r="BO177" s="123" t="e">
        <f>IF(BN177&lt;0,0,BN177/(12-mois))</f>
        <v>#REF!</v>
      </c>
      <c r="BP177" s="2"/>
      <c r="BQ177" s="173"/>
      <c r="BR177" s="173"/>
      <c r="BS177" s="173"/>
      <c r="BT177" s="173"/>
      <c r="BU177" s="173"/>
      <c r="BV177" s="173"/>
      <c r="BW177" s="173"/>
      <c r="BX177" s="173"/>
      <c r="BY177" s="173"/>
      <c r="BZ177" s="173"/>
      <c r="CA177" s="173"/>
      <c r="CB177" s="173"/>
      <c r="CC177" s="97"/>
      <c r="CD177" s="209"/>
      <c r="CE177" s="77"/>
      <c r="CF177" s="97"/>
      <c r="CG177" s="136"/>
      <c r="CH177" s="76"/>
      <c r="CI177" s="75"/>
      <c r="CJ177" s="77"/>
      <c r="CK177" s="97"/>
      <c r="CL177" s="136"/>
      <c r="CM177" s="78"/>
    </row>
    <row r="178" spans="2:91" x14ac:dyDescent="0.2">
      <c r="B178" s="72"/>
      <c r="C178" s="73" t="s">
        <v>10</v>
      </c>
      <c r="D178" s="74"/>
      <c r="E178" s="97">
        <f>IF(ISERROR(VLOOKUP(CONCATENATE($B165,E$5),TBCHISTORIQUE,13,FALSE)/1000),0,VLOOKUP(CONCATENATE($B165,E$5),TBCHISTORIQUE,13,FALSE)/1000)</f>
        <v>0</v>
      </c>
      <c r="F178" s="171">
        <f t="shared" ref="F178:P178" si="776">IF(ISERROR(VLOOKUP(CONCATENATE($B$50,F$5),TBCHISTORIQUE,13,FALSE)/1000),0,VLOOKUP(CONCATENATE($B$50,F$5),TBCHISTORIQUE,13,FALSE)/1000)</f>
        <v>0</v>
      </c>
      <c r="G178" s="171">
        <f t="shared" si="776"/>
        <v>0</v>
      </c>
      <c r="H178" s="171">
        <f t="shared" si="776"/>
        <v>0</v>
      </c>
      <c r="I178" s="171">
        <f t="shared" si="776"/>
        <v>0</v>
      </c>
      <c r="J178" s="171">
        <f t="shared" si="776"/>
        <v>0</v>
      </c>
      <c r="K178" s="171">
        <f t="shared" si="776"/>
        <v>0</v>
      </c>
      <c r="L178" s="171">
        <f t="shared" si="776"/>
        <v>0</v>
      </c>
      <c r="M178" s="171">
        <f t="shared" si="776"/>
        <v>0</v>
      </c>
      <c r="N178" s="171">
        <f t="shared" si="776"/>
        <v>0</v>
      </c>
      <c r="O178" s="171">
        <f t="shared" si="776"/>
        <v>0</v>
      </c>
      <c r="P178" s="172">
        <f t="shared" si="776"/>
        <v>0</v>
      </c>
      <c r="Q178" s="190">
        <f>SUMIF($E$5:$P$5,"&lt;="&amp;mois,E178:P178)</f>
        <v>0</v>
      </c>
      <c r="R178" s="74"/>
      <c r="S178" s="97">
        <f t="shared" ref="S178:AD178" si="777">IF(ISERROR(VLOOKUP(CONCATENATE($B165,S$5),TBCA,13,FALSE)/1000),0,VLOOKUP(CONCATENATE($B165,S$5),TBCA,13,FALSE)/1000)</f>
        <v>0</v>
      </c>
      <c r="T178" s="171">
        <f t="shared" si="777"/>
        <v>0</v>
      </c>
      <c r="U178" s="171">
        <f t="shared" si="777"/>
        <v>0</v>
      </c>
      <c r="V178" s="171">
        <f t="shared" si="777"/>
        <v>0</v>
      </c>
      <c r="W178" s="171">
        <f t="shared" si="777"/>
        <v>0</v>
      </c>
      <c r="X178" s="171">
        <f t="shared" si="777"/>
        <v>0</v>
      </c>
      <c r="Y178" s="171">
        <f t="shared" si="777"/>
        <v>0</v>
      </c>
      <c r="Z178" s="171">
        <f t="shared" si="777"/>
        <v>0</v>
      </c>
      <c r="AA178" s="171">
        <f t="shared" si="777"/>
        <v>0</v>
      </c>
      <c r="AB178" s="171">
        <f t="shared" si="777"/>
        <v>0</v>
      </c>
      <c r="AC178" s="171">
        <f t="shared" si="777"/>
        <v>0</v>
      </c>
      <c r="AD178" s="172">
        <f t="shared" si="777"/>
        <v>0</v>
      </c>
      <c r="AE178" s="97">
        <f>SUMIF($S$5:$AD$5,"&lt;="&amp;mois,S178:AD178)</f>
        <v>0</v>
      </c>
      <c r="AF178" s="292"/>
      <c r="AG178" s="107">
        <f>AE178-AF178</f>
        <v>0</v>
      </c>
      <c r="AH178" s="107" t="e">
        <f>IF(EXCERCICE="PA",AE178-($CC178/12*(mois)),IF(EXCERCICE="LB1",AE178-($CF178/12*(mois)),AE178-($CK178/12*(mois))))</f>
        <v>#REF!</v>
      </c>
      <c r="AI178" s="107"/>
      <c r="AJ178" s="215">
        <f>IF(ISERROR(IF(EXCERCICE="PA",AE178/$CC178,IF(EXCERCICE="LB1",AE178/$CF178,AE178/$CK178))),0,IF(EXCERCICE="PA",AE178/$CC178,IF(EXCERCICE="LB1",AE178/$CF178,AE178/$CK178)))</f>
        <v>0</v>
      </c>
      <c r="AK178" s="215"/>
      <c r="AL178" s="75"/>
      <c r="AM178" s="77"/>
      <c r="AN178" s="246"/>
      <c r="AO178" s="97" t="e">
        <f>IF(mois+1&gt;12,AN178,+$AE178+AN178)</f>
        <v>#REF!</v>
      </c>
      <c r="AP178" s="292"/>
      <c r="AQ178" s="107" t="e">
        <f>AO178-AP178</f>
        <v>#REF!</v>
      </c>
      <c r="AR178" s="78" t="e">
        <f>IF(mois+1&gt;12,0,IF(mois=12,IF(EXCERCICE="PA",AO178-($CC178/12),IF(EXCERCICE="LB1",AO178-($CF178/12),AO178-($CK178/12))),IF(EXCERCICE="PA",AO178-($CC178/12*(mois+1)),IF(EXCERCICE="LB1",AO178-($CF178/12*(mois+1)),AO178-($CK178/12*(mois+1))))))</f>
        <v>#REF!</v>
      </c>
      <c r="AS178" s="180"/>
      <c r="AT178" s="215" t="e">
        <f>IF(mois+1&gt;12,0,IF(ISERROR(IF(EXCERCICE="PA",AO178/$CC178,IF(EXCERCICE="LB1",AO178/$CF178,AO178/$CK178))),0,IF(EXCERCICE="PA",AO178/$CC178,IF(EXCERCICE="LB1",AO178/$CF178,AO178/$CK178))))</f>
        <v>#REF!</v>
      </c>
      <c r="AU178" s="226"/>
      <c r="AV178" s="11"/>
      <c r="AW178" s="77"/>
      <c r="AX178" s="246"/>
      <c r="AY178" s="97"/>
      <c r="AZ178" s="292"/>
      <c r="BA178" s="78" t="e">
        <f>IF(mois+2&gt;12,0,IF(mois=12,IF(EXCERCICE="PA",AY178-($CC178/12),IF(EXCERCICE="LB1",AY178-($CF178/12),AY178-($CK178/12))),IF(EXCERCICE="PA",AY178-($CC178/12*(mois+2)),IF(EXCERCICE="LB1",AY178-($CF178/12*(mois+2)),AY178-($CK178/12*(mois+2))))))</f>
        <v>#REF!</v>
      </c>
      <c r="BB178" s="180"/>
      <c r="BC178" s="215" t="e">
        <f>IF(mois+2&gt;12,0,IF(ISERROR(IF(EXCERCICE="PA",AY178/$CC178,IF(EXCERCICE="LB1",AY178/$CF178,AY178/$CK178))),0,IF(EXCERCICE="PA",AY178/$CC178,IF(EXCERCICE="LB1",AY178/$CF178,AY178/$CK178))))</f>
        <v>#REF!</v>
      </c>
      <c r="BD178" s="226"/>
      <c r="BE178" s="75"/>
      <c r="BF178" s="77"/>
      <c r="BG178" s="246"/>
      <c r="BH178" s="97" t="e">
        <f>IF(mois+3=13,BG178,IF(mois+3&gt;15,BG178,+$AY178+BG178))</f>
        <v>#REF!</v>
      </c>
      <c r="BI178" s="78" t="e">
        <f>IF(mois+3&gt;12,0,IF(mois=12,IF(EXCERCICE="PA",BH178-($CC178/12),IF(EXCERCICE="LB1",BH178-($CF178/12),BH178-($CK178/12))),IF(EXCERCICE="PA",BH178-($CC178/12*(mois+3)),IF(EXCERCICE="LB1",BH178-($CF178/12*(mois+3)),BH178-($CK178/12*(mois+3))))))</f>
        <v>#REF!</v>
      </c>
      <c r="BJ178" s="78"/>
      <c r="BK178" s="215" t="e">
        <f>IF(mois+3&gt;12,0,IF(ISERROR(IF(EXCERCICE="PA",BH178/$CC178,IF(EXCERCICE="LB1",BH178/$CF178,BH178/$CK178))),0,IF(EXCERCICE="PA",BH178/$CC178,IF(EXCERCICE="LB1",BH178/$CF178,BH178/$CK178))))</f>
        <v>#REF!</v>
      </c>
      <c r="BL178" s="226"/>
      <c r="BM178" s="2"/>
      <c r="BN178" s="123" t="e">
        <f>IF(mois&gt;=12,IF(EXCERCICE="PA",CC178-AE178,IF(EXCERCICE="LB1",CF178-AE178,IF(EXCERCICE="LB2",$CK178-AE178))),
IF(mois+1&lt;=13,IF(EXCERCICE="PA",CC178-AO178,IF(EXCERCICE="LB1",CF178-AO178,IF(EXCERCICE="LB2",$CK178-AO178))),
IF(mois+2&lt;=14,IF(EXCERCICE="PA",CC178-AY178,IF(EXCERCICE="LB1",CF178-AY178,IF(EXCERCICE="LB2",$CK178-AY178))),
IF(mois+3&lt;=15,IF(EXCERCICE="PA",CC178-BH178,IF(EXCERCICE="LB1",CF178-BH178,IF(EXCERCICE="LB2",$CK178-BH178))),0))))</f>
        <v>#REF!</v>
      </c>
      <c r="BO178" s="123" t="e">
        <f>IF(BN178&lt;0,0,BN178/(12-mois))</f>
        <v>#REF!</v>
      </c>
      <c r="BP178" s="2"/>
      <c r="BQ178" s="173"/>
      <c r="BR178" s="173"/>
      <c r="BS178" s="173"/>
      <c r="BT178" s="173"/>
      <c r="BU178" s="173"/>
      <c r="BV178" s="173"/>
      <c r="BW178" s="173"/>
      <c r="BX178" s="173"/>
      <c r="BY178" s="173"/>
      <c r="BZ178" s="173"/>
      <c r="CA178" s="173"/>
      <c r="CB178" s="173"/>
      <c r="CC178" s="97"/>
      <c r="CD178" s="209"/>
      <c r="CE178" s="77"/>
      <c r="CF178" s="97"/>
      <c r="CG178" s="136"/>
      <c r="CH178" s="76"/>
      <c r="CI178" s="75"/>
      <c r="CJ178" s="77"/>
      <c r="CK178" s="97"/>
      <c r="CL178" s="136"/>
      <c r="CM178" s="78"/>
    </row>
    <row r="179" spans="2:91" x14ac:dyDescent="0.2">
      <c r="B179" s="56"/>
      <c r="C179" s="79" t="s">
        <v>64</v>
      </c>
      <c r="D179" s="51"/>
      <c r="E179" s="98">
        <f>E174+SUM(E177:E178)</f>
        <v>0</v>
      </c>
      <c r="F179" s="14">
        <f t="shared" ref="F179" si="778">F174+SUM(F177:F178)</f>
        <v>0</v>
      </c>
      <c r="G179" s="14">
        <f t="shared" ref="G179" si="779">G174+SUM(G177:G178)</f>
        <v>0</v>
      </c>
      <c r="H179" s="14">
        <f t="shared" ref="H179" si="780">H174+SUM(H177:H178)</f>
        <v>0</v>
      </c>
      <c r="I179" s="14">
        <f t="shared" ref="I179" si="781">I174+SUM(I177:I178)</f>
        <v>0</v>
      </c>
      <c r="J179" s="14">
        <f t="shared" ref="J179" si="782">J174+SUM(J177:J178)</f>
        <v>0</v>
      </c>
      <c r="K179" s="14">
        <f t="shared" ref="K179" si="783">K174+SUM(K177:K178)</f>
        <v>0</v>
      </c>
      <c r="L179" s="14">
        <f t="shared" ref="L179" si="784">L174+SUM(L177:L178)</f>
        <v>0</v>
      </c>
      <c r="M179" s="14">
        <f t="shared" ref="M179" si="785">M174+SUM(M177:M178)</f>
        <v>0</v>
      </c>
      <c r="N179" s="14">
        <f t="shared" ref="N179" si="786">N174+SUM(N177:N178)</f>
        <v>0</v>
      </c>
      <c r="O179" s="14">
        <f t="shared" ref="O179" si="787">O174+SUM(O177:O178)</f>
        <v>0</v>
      </c>
      <c r="P179" s="14">
        <f t="shared" ref="P179" si="788">P174+SUM(P177:P178)</f>
        <v>0</v>
      </c>
      <c r="Q179" s="191">
        <f>Q174+SUM(Q177:Q178)</f>
        <v>0</v>
      </c>
      <c r="R179" s="51"/>
      <c r="S179" s="98">
        <f>S174+SUM(S177:S178)</f>
        <v>0</v>
      </c>
      <c r="T179" s="14">
        <f t="shared" ref="T179" si="789">T174+SUM(T177:T178)</f>
        <v>0</v>
      </c>
      <c r="U179" s="14">
        <f t="shared" ref="U179" si="790">U174+SUM(U177:U178)</f>
        <v>0</v>
      </c>
      <c r="V179" s="14">
        <f t="shared" ref="V179" si="791">V174+SUM(V177:V178)</f>
        <v>0</v>
      </c>
      <c r="W179" s="14">
        <f t="shared" ref="W179" si="792">W174+SUM(W177:W178)</f>
        <v>0</v>
      </c>
      <c r="X179" s="14">
        <f t="shared" ref="X179" si="793">X174+SUM(X177:X178)</f>
        <v>0</v>
      </c>
      <c r="Y179" s="14">
        <f t="shared" ref="Y179" si="794">Y174+SUM(Y177:Y178)</f>
        <v>0</v>
      </c>
      <c r="Z179" s="14">
        <f t="shared" ref="Z179" si="795">Z174+SUM(Z177:Z178)</f>
        <v>0</v>
      </c>
      <c r="AA179" s="14">
        <f t="shared" ref="AA179" si="796">AA174+SUM(AA177:AA178)</f>
        <v>0</v>
      </c>
      <c r="AB179" s="14">
        <f t="shared" ref="AB179" si="797">AB174+SUM(AB177:AB178)</f>
        <v>0</v>
      </c>
      <c r="AC179" s="14">
        <f t="shared" ref="AC179" si="798">AC174+SUM(AC177:AC178)</f>
        <v>0</v>
      </c>
      <c r="AD179" s="14">
        <f t="shared" ref="AD179" si="799">AD174+SUM(AD177:AD178)</f>
        <v>0</v>
      </c>
      <c r="AE179" s="98">
        <f>AE174+SUM(AE177:AE178)</f>
        <v>0</v>
      </c>
      <c r="AF179" s="297"/>
      <c r="AG179" s="108">
        <f>AE179-AF179</f>
        <v>0</v>
      </c>
      <c r="AH179" s="108" t="e">
        <f>IF(EXCERCICE="PA",AE179-($CC179/12*(mois)),IF(EXCERCICE="LB1",AE179-($CF179/12*(mois)),AE179-($CK179/12*(mois))))</f>
        <v>#REF!</v>
      </c>
      <c r="AI179" s="108"/>
      <c r="AJ179" s="201">
        <f>IF(ISERROR(IF(EXCERCICE="PA",AE179/$CC179,IF(EXCERCICE="LB1",AE179/$CF179,AE179/$CK179))),0,IF(EXCERCICE="PA",AE179/$CC179,IF(EXCERCICE="LB1",AE179/$CF179,AE179/$CK179)))</f>
        <v>0</v>
      </c>
      <c r="AK179" s="201"/>
      <c r="AL179" s="52"/>
      <c r="AM179" s="54"/>
      <c r="AN179" s="247"/>
      <c r="AO179" s="98" t="e">
        <f>AO174+SUM(AO177:AO178)</f>
        <v>#REF!</v>
      </c>
      <c r="AP179" s="297"/>
      <c r="AQ179" s="108" t="e">
        <f>AO179-AP179</f>
        <v>#REF!</v>
      </c>
      <c r="AR179" s="14" t="e">
        <f>AR174+SUM(AR177:AR178)</f>
        <v>#REF!</v>
      </c>
      <c r="AS179" s="108"/>
      <c r="AT179" s="201" t="e">
        <f>IF(mois+1&gt;12,0,IF(ISERROR(IF(EXCERCICE="PA",AO179/$CC179,IF(EXCERCICE="LB1",AO179/$CF179,AO179/$CK179))),0,IF(EXCERCICE="PA",AO179/$CC179,IF(EXCERCICE="LB1",AO179/$CF179,AO179/$CK179))))</f>
        <v>#REF!</v>
      </c>
      <c r="AU179" s="227"/>
      <c r="AV179" s="11"/>
      <c r="AW179" s="54"/>
      <c r="AX179" s="247"/>
      <c r="AY179" s="98"/>
      <c r="AZ179" s="297"/>
      <c r="BA179" s="14" t="e">
        <f>BA174+SUM(BA177:BA178)</f>
        <v>#REF!</v>
      </c>
      <c r="BB179" s="108"/>
      <c r="BC179" s="201" t="e">
        <f>IF(mois+2&gt;12,0,IF(ISERROR(IF(EXCERCICE="PA",AY179/$CC179,IF(EXCERCICE="LB1",AY179/$CF179,AY179/$CK179))),0,IF(EXCERCICE="PA",AY179/$CC179,IF(EXCERCICE="LB1",AY179/$CF179,AY179/$CK179))))</f>
        <v>#REF!</v>
      </c>
      <c r="BD179" s="227"/>
      <c r="BE179" s="52"/>
      <c r="BF179" s="54"/>
      <c r="BG179" s="247"/>
      <c r="BH179" s="98" t="e">
        <f>BH174+SUM(BH177:BH178)</f>
        <v>#REF!</v>
      </c>
      <c r="BI179" s="14" t="e">
        <f>BI174+SUM(BI177:BI178)</f>
        <v>#REF!</v>
      </c>
      <c r="BJ179" s="14"/>
      <c r="BK179" s="201" t="e">
        <f>IF(mois+3&gt;12,0,IF(ISERROR(IF(EXCERCICE="PA",BH179/$CC179,IF(EXCERCICE="LB1",BH179/$CF179,BH179/$CK179))),0,IF(EXCERCICE="PA",BH179/$CC179,IF(EXCERCICE="LB1",BH179/$CF179,BH179/$CK179))))</f>
        <v>#REF!</v>
      </c>
      <c r="BL179" s="227"/>
      <c r="BM179" s="2"/>
      <c r="BN179" s="235" t="e">
        <f>IF(mois&gt;=12,IF(EXCERCICE="PA",CC179-AE179,IF(EXCERCICE="LB1",CF179-AE179,IF(EXCERCICE="LB2",$CK179-AE179))),
IF(mois+1&lt;=13,IF(EXCERCICE="PA",CC179-AO179,IF(EXCERCICE="LB1",CF179-AO179,IF(EXCERCICE="LB2",$CK179-AO179))),
IF(mois+2&lt;=14,IF(EXCERCICE="PA",CC179-AY179,IF(EXCERCICE="LB1",CF179-AY179,IF(EXCERCICE="LB2",$CK179-AY179))),
IF(mois+3&lt;=15,IF(EXCERCICE="PA",CC179-BH179,IF(EXCERCICE="LB1",CF179-BH179,IF(EXCERCICE="LB2",$CK179-BH179))),0))))</f>
        <v>#REF!</v>
      </c>
      <c r="BO179" s="235" t="e">
        <f>IF(BN179&lt;0,0,BN179/(12-mois))</f>
        <v>#REF!</v>
      </c>
      <c r="BP179" s="2"/>
      <c r="BQ179" s="173"/>
      <c r="BR179" s="173"/>
      <c r="BS179" s="173"/>
      <c r="BT179" s="173"/>
      <c r="BU179" s="173"/>
      <c r="BV179" s="173"/>
      <c r="BW179" s="173"/>
      <c r="BX179" s="173"/>
      <c r="BY179" s="173"/>
      <c r="BZ179" s="173"/>
      <c r="CA179" s="173"/>
      <c r="CB179" s="173"/>
      <c r="CC179" s="98"/>
      <c r="CD179" s="210"/>
      <c r="CE179" s="54"/>
      <c r="CF179" s="98"/>
      <c r="CG179" s="127"/>
      <c r="CH179" s="80"/>
      <c r="CI179" s="52"/>
      <c r="CJ179" s="54"/>
      <c r="CK179" s="98"/>
      <c r="CL179" s="127"/>
      <c r="CM179" s="14"/>
    </row>
    <row r="180" spans="2:91" x14ac:dyDescent="0.2">
      <c r="B180" s="60"/>
      <c r="C180" s="257" t="s">
        <v>65</v>
      </c>
      <c r="E180" s="61" t="str">
        <f>IF(E173=0,"-",E179/E173)</f>
        <v>-</v>
      </c>
      <c r="F180" s="7" t="str">
        <f t="shared" ref="F180" si="800">IF(F173=0,"-",F179/F173)</f>
        <v>-</v>
      </c>
      <c r="G180" s="7" t="str">
        <f t="shared" ref="G180" si="801">IF(G173=0,"-",G179/G173)</f>
        <v>-</v>
      </c>
      <c r="H180" s="7" t="str">
        <f t="shared" ref="H180" si="802">IF(H173=0,"-",H179/H173)</f>
        <v>-</v>
      </c>
      <c r="I180" s="7" t="str">
        <f t="shared" ref="I180" si="803">IF(I173=0,"-",I179/I173)</f>
        <v>-</v>
      </c>
      <c r="J180" s="7" t="str">
        <f t="shared" ref="J180" si="804">IF(J173=0,"-",J179/J173)</f>
        <v>-</v>
      </c>
      <c r="K180" s="7" t="str">
        <f t="shared" ref="K180" si="805">IF(K173=0,"-",K179/K173)</f>
        <v>-</v>
      </c>
      <c r="L180" s="7" t="str">
        <f t="shared" ref="L180" si="806">IF(L173=0,"-",L179/L173)</f>
        <v>-</v>
      </c>
      <c r="M180" s="7" t="str">
        <f t="shared" ref="M180" si="807">IF(M173=0,"-",M179/M173)</f>
        <v>-</v>
      </c>
      <c r="N180" s="7" t="str">
        <f t="shared" ref="N180" si="808">IF(N173=0,"-",N179/N173)</f>
        <v>-</v>
      </c>
      <c r="O180" s="7" t="str">
        <f t="shared" ref="O180" si="809">IF(O173=0,"-",O179/O173)</f>
        <v>-</v>
      </c>
      <c r="P180" s="7" t="str">
        <f t="shared" ref="P180" si="810">IF(P173=0,"-",P179/P173)</f>
        <v>-</v>
      </c>
      <c r="Q180" s="186" t="str">
        <f t="shared" ref="Q180" si="811">IF(Q173=0,"-",Q179/Q173)</f>
        <v>-</v>
      </c>
      <c r="S180" s="61" t="str">
        <f>IF(S173=0,"-",S179/S173)</f>
        <v>-</v>
      </c>
      <c r="T180" s="7" t="str">
        <f t="shared" ref="T180" si="812">IF(T173=0,"-",T179/T173)</f>
        <v>-</v>
      </c>
      <c r="U180" s="7" t="str">
        <f t="shared" ref="U180" si="813">IF(U173=0,"-",U179/U173)</f>
        <v>-</v>
      </c>
      <c r="V180" s="7" t="str">
        <f t="shared" ref="V180" si="814">IF(V173=0,"-",V179/V173)</f>
        <v>-</v>
      </c>
      <c r="W180" s="7" t="str">
        <f t="shared" ref="W180" si="815">IF(W173=0,"-",W179/W173)</f>
        <v>-</v>
      </c>
      <c r="X180" s="7" t="str">
        <f t="shared" ref="X180" si="816">IF(X173=0,"-",X179/X173)</f>
        <v>-</v>
      </c>
      <c r="Y180" s="7" t="str">
        <f t="shared" ref="Y180" si="817">IF(Y173=0,"-",Y179/Y173)</f>
        <v>-</v>
      </c>
      <c r="Z180" s="7" t="str">
        <f t="shared" ref="Z180" si="818">IF(Z173=0,"-",Z179/Z173)</f>
        <v>-</v>
      </c>
      <c r="AA180" s="7" t="str">
        <f t="shared" ref="AA180" si="819">IF(AA173=0,"-",AA179/AA173)</f>
        <v>-</v>
      </c>
      <c r="AB180" s="7" t="str">
        <f t="shared" ref="AB180" si="820">IF(AB173=0,"-",AB179/AB173)</f>
        <v>-</v>
      </c>
      <c r="AC180" s="7" t="str">
        <f t="shared" ref="AC180" si="821">IF(AC173=0,"-",AC179/AC173)</f>
        <v>-</v>
      </c>
      <c r="AD180" s="62" t="str">
        <f t="shared" ref="AD180:AE180" si="822">IF(AD173=0,"-",AD179/AD173)</f>
        <v>-</v>
      </c>
      <c r="AE180" s="61" t="str">
        <f t="shared" si="822"/>
        <v>-</v>
      </c>
      <c r="AF180" s="293"/>
      <c r="AG180" s="103" t="str">
        <f t="shared" ref="AG180:AH180" si="823">IF(AG173=0,"-",AG179/AG173)</f>
        <v>-</v>
      </c>
      <c r="AH180" s="103" t="e">
        <f t="shared" si="823"/>
        <v>#REF!</v>
      </c>
      <c r="AI180" s="103"/>
      <c r="AJ180" s="197"/>
      <c r="AK180" s="197"/>
      <c r="AL180" s="58"/>
      <c r="AM180" s="11"/>
      <c r="AN180" s="249"/>
      <c r="AO180" s="61" t="e">
        <f t="shared" ref="AO180" si="824">IF(AO173=0,"-",AO179/AO173)</f>
        <v>#REF!</v>
      </c>
      <c r="AP180" s="293"/>
      <c r="AQ180" s="103" t="e">
        <f t="shared" ref="AQ180" si="825">IF(AQ173=0,"-",AQ179/AQ173)</f>
        <v>#REF!</v>
      </c>
      <c r="AR180" s="7"/>
      <c r="AS180" s="103"/>
      <c r="AT180" s="197"/>
      <c r="AU180" s="222"/>
      <c r="AV180" s="11"/>
      <c r="AW180" s="11"/>
      <c r="AX180" s="249"/>
      <c r="AY180" s="61"/>
      <c r="AZ180" s="293"/>
      <c r="BA180" s="7" t="e">
        <f t="shared" ref="BA180" si="826">IF(BA173=0,"-",BA179/BA173)</f>
        <v>#REF!</v>
      </c>
      <c r="BB180" s="103"/>
      <c r="BC180" s="197"/>
      <c r="BD180" s="222"/>
      <c r="BE180" s="58"/>
      <c r="BF180" s="11"/>
      <c r="BG180" s="249"/>
      <c r="BH180" s="61" t="e">
        <f t="shared" ref="BH180:BI180" si="827">IF(BH173=0,"-",BH179/BH173)</f>
        <v>#REF!</v>
      </c>
      <c r="BI180" s="7" t="e">
        <f t="shared" si="827"/>
        <v>#REF!</v>
      </c>
      <c r="BJ180" s="7"/>
      <c r="BK180" s="197"/>
      <c r="BL180" s="222"/>
      <c r="BM180" s="2"/>
      <c r="BN180" s="63"/>
      <c r="BO180" s="63"/>
      <c r="BP180" s="2"/>
      <c r="BQ180" s="173"/>
      <c r="BR180" s="173"/>
      <c r="BS180" s="173"/>
      <c r="BT180" s="173"/>
      <c r="BU180" s="173"/>
      <c r="BV180" s="173"/>
      <c r="BW180" s="173"/>
      <c r="BX180" s="173"/>
      <c r="BY180" s="173"/>
      <c r="BZ180" s="173"/>
      <c r="CA180" s="173"/>
      <c r="CB180" s="173"/>
      <c r="CC180" s="61"/>
      <c r="CD180" s="204"/>
      <c r="CE180" s="11"/>
      <c r="CF180" s="61"/>
      <c r="CG180" s="134"/>
      <c r="CH180" s="61"/>
      <c r="CI180" s="58"/>
      <c r="CJ180" s="11"/>
      <c r="CK180" s="61"/>
      <c r="CL180" s="134"/>
      <c r="CM180" s="145"/>
    </row>
    <row r="181" spans="2:91" x14ac:dyDescent="0.2">
      <c r="AE181" s="2"/>
    </row>
    <row r="182" spans="2:91" x14ac:dyDescent="0.2">
      <c r="AE182" s="2"/>
    </row>
    <row r="183" spans="2:91" x14ac:dyDescent="0.2">
      <c r="AE183" s="2"/>
    </row>
    <row r="184" spans="2:91" x14ac:dyDescent="0.2">
      <c r="AE184" s="2"/>
    </row>
    <row r="185" spans="2:91" x14ac:dyDescent="0.2">
      <c r="B185" s="251"/>
      <c r="C185" s="252"/>
      <c r="AE185" s="2"/>
    </row>
    <row r="186" spans="2:91" x14ac:dyDescent="0.2">
      <c r="AE186" s="2"/>
    </row>
    <row r="187" spans="2:91" x14ac:dyDescent="0.2">
      <c r="B187" s="49"/>
      <c r="C187" s="50" t="s">
        <v>57</v>
      </c>
      <c r="D187" s="51"/>
      <c r="E187" s="92">
        <f t="shared" ref="E187:P187" si="828">IF(ISERROR(VLOOKUP(CONCATENATE($B185,E$5),TBCHISTORIQUE,7,FALSE)/1000),0,VLOOKUP(CONCATENATE($B185,E$5),TBCHISTORIQUE,7,FALSE)/1000)</f>
        <v>0</v>
      </c>
      <c r="F187" s="93">
        <f t="shared" si="828"/>
        <v>0</v>
      </c>
      <c r="G187" s="93">
        <f t="shared" si="828"/>
        <v>0</v>
      </c>
      <c r="H187" s="93">
        <f t="shared" si="828"/>
        <v>0</v>
      </c>
      <c r="I187" s="93">
        <f t="shared" si="828"/>
        <v>0</v>
      </c>
      <c r="J187" s="93">
        <f t="shared" si="828"/>
        <v>0</v>
      </c>
      <c r="K187" s="93">
        <f t="shared" si="828"/>
        <v>0</v>
      </c>
      <c r="L187" s="93">
        <f t="shared" si="828"/>
        <v>0</v>
      </c>
      <c r="M187" s="93">
        <f t="shared" si="828"/>
        <v>0</v>
      </c>
      <c r="N187" s="93">
        <f t="shared" si="828"/>
        <v>0</v>
      </c>
      <c r="O187" s="93">
        <f t="shared" si="828"/>
        <v>0</v>
      </c>
      <c r="P187" s="94">
        <f t="shared" si="828"/>
        <v>0</v>
      </c>
      <c r="Q187" s="184">
        <f>SUMIF($E$5:$P$5,"&lt;="&amp;mois,E187:P187)</f>
        <v>0</v>
      </c>
      <c r="R187" s="51"/>
      <c r="S187" s="92">
        <f>IF(ISERROR(VLOOKUP(CONCATENATE($B185,S$5),TBCA,7,FALSE)/1000),0,VLOOKUP(CONCATENATE($B185,S$5),TBCA,7,FALSE)/1000)</f>
        <v>0</v>
      </c>
      <c r="T187" s="93">
        <f t="shared" ref="T187:AD187" si="829">IF(ISERROR(VLOOKUP(CONCATENATE($B$85,T$5),TBCA,7,FALSE)/1000),0,VLOOKUP(CONCATENATE($B$85,T$5),TBCA,7,FALSE)/1000)</f>
        <v>0</v>
      </c>
      <c r="U187" s="93">
        <f t="shared" si="829"/>
        <v>0</v>
      </c>
      <c r="V187" s="93">
        <f t="shared" si="829"/>
        <v>0</v>
      </c>
      <c r="W187" s="93">
        <f t="shared" si="829"/>
        <v>0</v>
      </c>
      <c r="X187" s="93">
        <f t="shared" si="829"/>
        <v>0</v>
      </c>
      <c r="Y187" s="93">
        <f t="shared" si="829"/>
        <v>0</v>
      </c>
      <c r="Z187" s="93">
        <f t="shared" si="829"/>
        <v>0</v>
      </c>
      <c r="AA187" s="93">
        <f t="shared" si="829"/>
        <v>0</v>
      </c>
      <c r="AB187" s="93">
        <f t="shared" si="829"/>
        <v>0</v>
      </c>
      <c r="AC187" s="93">
        <f t="shared" si="829"/>
        <v>0</v>
      </c>
      <c r="AD187" s="94">
        <f t="shared" si="829"/>
        <v>0</v>
      </c>
      <c r="AE187" s="92">
        <f>SUMIF($S$5:$AD$5,"&lt;="&amp;mois,S187:AD187)</f>
        <v>0</v>
      </c>
      <c r="AF187" s="291"/>
      <c r="AG187" s="101">
        <f>AE187-AF187</f>
        <v>0</v>
      </c>
      <c r="AH187" s="101" t="e">
        <f>IF(EXCERCICE="PA",AE187-($CC187/12*(mois)),IF(EXCERCICE="LB1",AE187-($CF187/12*(mois)),AE187-($CK187/12*(mois))))</f>
        <v>#REF!</v>
      </c>
      <c r="AI187" s="174">
        <f>IF(ISERROR(AE187/Q187),0,AE187/Q187)</f>
        <v>0</v>
      </c>
      <c r="AJ187" s="213">
        <f>IF(ISERROR(IF(EXCERCICE="PA",AE187/$CC187,IF(EXCERCICE="LB1",AE187/$CF187,AE187/$CK187))),0,IF(EXCERCICE="PA",AE187/$CC187,IF(EXCERCICE="LB1",AE187/$CF187,AE187/$CK187)))</f>
        <v>0</v>
      </c>
      <c r="AK187" s="213" t="str">
        <f>IF(ISERROR(AE187/HLOOKUP(mois,$BQ$5:$CB$39,3,FALSE)),"",AE187/HLOOKUP(mois,$BQ$5:$CB$39,3,FALSE))</f>
        <v/>
      </c>
      <c r="AL187" s="52"/>
      <c r="AM187" s="54"/>
      <c r="AN187" s="242"/>
      <c r="AO187" s="92" t="e">
        <f>IF(mois+1&gt;12,AN187,+$AE187+AN187)</f>
        <v>#REF!</v>
      </c>
      <c r="AP187" s="291"/>
      <c r="AQ187" s="101" t="e">
        <f>AO187-AP187</f>
        <v>#REF!</v>
      </c>
      <c r="AR187" s="55" t="e">
        <f>IF(mois+1&gt;12,0,IF(mois=12,IF(EXCERCICE="PA",AO187-($CC187/12),IF(EXCERCICE="LB1",AO187-($CF187/12),AO187-($CK187/12))),IF(EXCERCICE="PA",AO187-($CC187/12*(mois+1)),IF(EXCERCICE="LB1",AO187-($CF187/12*(mois+1)),AO187-($CK187/12*(mois+1))))))</f>
        <v>#REF!</v>
      </c>
      <c r="AS187" s="174" t="e">
        <f>IF(AO187=0,0,IF(mois+1&gt;12,AO187/SUMPRODUCT((($S$6:$U$6)&lt;=mois+1)*$S187:$U187),AO187/SUMPRODUCT((($E$5:$P$5)&lt;=mois+1)*$E187:$P187)))</f>
        <v>#REF!</v>
      </c>
      <c r="AT187" s="213" t="e">
        <f>IF(mois+1&gt;12,0,IF(ISERROR(IF(EXCERCICE="PA",AO187/$CC187,IF(EXCERCICE="LB1",AO187/$CF187,AO187/$CK187))),0,IF(EXCERCICE="PA",AO187/$CC187,IF(EXCERCICE="LB1",AO187/$CF187,AO187/$CK187))))</f>
        <v>#REF!</v>
      </c>
      <c r="AU187" s="220" t="str">
        <f>IF(ISERROR(AO187/HLOOKUP(mois+1,$BQ$5:$CB$39,3,FALSE)),"",AO187/HLOOKUP(mois+1,$BQ$5:$CB$39,3,FALSE))</f>
        <v/>
      </c>
      <c r="AV187" s="11"/>
      <c r="AW187" s="54"/>
      <c r="AX187" s="242"/>
      <c r="AY187" s="92"/>
      <c r="AZ187" s="291"/>
      <c r="BA187" s="55" t="e">
        <f>IF(mois+2&gt;12,0,IF(mois=12,IF(EXCERCICE="PA",AY187-($CC187/12),IF(EXCERCICE="LB1",AY187-($CF187/12),AY187-($CK187/12))),IF(EXCERCICE="PA",AY187-($CC187/12*(mois+2)),IF(EXCERCICE="LB1",AY187-($CF187/12*(mois+2)),AY187-($CK187/12*(mois+2))))))</f>
        <v>#REF!</v>
      </c>
      <c r="BB187" s="176">
        <f>IF(AY187=0,0,IF(mois+1&gt;12,AY187/SUMPRODUCT((($S$6:$U$6)&lt;=mois+2)*$S187:$U187),AY187/SUMPRODUCT((($E$5:$P$5)&lt;=mois+2)*$E187:$P187)))</f>
        <v>0</v>
      </c>
      <c r="BC187" s="213" t="e">
        <f>IF(mois+2&gt;12,0,IF(ISERROR(IF(EXCERCICE="PA",AY187/$CC187,IF(EXCERCICE="LB1",AY187/$CF187,AY187/$CK187))),0,IF(EXCERCICE="PA",AY187/$CC187,IF(EXCERCICE="LB1",AY187/$CF187,AY187/$CK187))))</f>
        <v>#REF!</v>
      </c>
      <c r="BD187" s="220" t="str">
        <f>IF(ISERROR(AY187/HLOOKUP(mois+2,$BQ$5:$CB$39,3,FALSE)),"",AY187/HLOOKUP(mois+2,$BQ$5:$CB$39,3,FALSE))</f>
        <v/>
      </c>
      <c r="BE187" s="52"/>
      <c r="BF187" s="54"/>
      <c r="BG187" s="242"/>
      <c r="BH187" s="92" t="e">
        <f>IF(mois+3=13,BG187,IF(mois+3&gt;15,BG187,+$AY187+BG187))</f>
        <v>#REF!</v>
      </c>
      <c r="BI187" s="55" t="e">
        <f>IF(mois+3&gt;12,0,IF(mois=12,IF(EXCERCICE="PA",BH187-($CC187/12),IF(EXCERCICE="LB1",BH187-($CF187/12),BH187-($CK187/12))),IF(EXCERCICE="PA",BH187-($CC187/12*(mois+3)),IF(EXCERCICE="LB1",BH187-($CF187/12*(mois+3)),BH187-($CK187/12*(mois+3))))))</f>
        <v>#REF!</v>
      </c>
      <c r="BJ187" s="176" t="e">
        <f>IF(BH187=0,0,IF(mois+1&gt;12,BH187/SUMPRODUCT((($S$6:$U$6)&lt;=mois+3)*$S187:$U187),BH187/SUMPRODUCT((($E$5:$P$5)&lt;=mois+3)*$E187:$P187)))</f>
        <v>#REF!</v>
      </c>
      <c r="BK187" s="213" t="e">
        <f>IF(mois+3&gt;12,0,IF(ISERROR(IF(EXCERCICE="PA",BH187/$CC187,IF(EXCERCICE="LB1",BH187/$CF187,BH187/$CK187))),0,IF(EXCERCICE="PA",BH187/$CC187,IF(EXCERCICE="LB1",BH187/$CF187,BH187/$CK187))))</f>
        <v>#REF!</v>
      </c>
      <c r="BL187" s="220" t="str">
        <f>IF(ISERROR(BH187/HLOOKUP(mois+3,$BQ$5:$CB$39,3,FALSE)),"",BH187/HLOOKUP(mois+3,$BQ$5:$CB$39,3,FALSE))</f>
        <v/>
      </c>
      <c r="BM187" s="2"/>
      <c r="BN187" s="130" t="e">
        <f>IF(mois&gt;=12,IF(EXCERCICE="PA",CC187-AE187,IF(EXCERCICE="LB1",CF187-AE187,IF(EXCERCICE="LB2",$CK187-AE187))),
IF(mois+1&lt;=13,IF(EXCERCICE="PA",CC187-AO187,IF(EXCERCICE="LB1",CF187-AO187,IF(EXCERCICE="LB2",$CK187-AO187))),
IF(mois+2&lt;=14,IF(EXCERCICE="PA",CC187-AY187,IF(EXCERCICE="LB1",CF187-AY187,IF(EXCERCICE="LB2",$CK187-AY187))),
IF(mois+3&lt;=15,IF(EXCERCICE="PA",CC187-BH187,IF(EXCERCICE="LB1",CF187-BH187,IF(EXCERCICE="LB2",$CK187-BH187))),0))))</f>
        <v>#REF!</v>
      </c>
      <c r="BO187" s="231" t="e">
        <f>IF(BN187&lt;0,0,BN187/(12-mois))</f>
        <v>#REF!</v>
      </c>
      <c r="BQ187" s="196"/>
      <c r="BR187" s="196"/>
      <c r="BS187" s="196"/>
      <c r="BT187" s="196"/>
      <c r="BU187" s="196"/>
      <c r="BV187" s="196"/>
      <c r="BW187" s="196"/>
      <c r="BX187" s="196"/>
      <c r="BY187" s="196"/>
      <c r="BZ187" s="196"/>
      <c r="CA187" s="196"/>
      <c r="CB187" s="196"/>
      <c r="CC187" s="130"/>
      <c r="CD187" s="237"/>
      <c r="CE187" s="54"/>
      <c r="CF187" s="130"/>
      <c r="CG187" s="126"/>
      <c r="CH187" s="55"/>
      <c r="CI187" s="52"/>
      <c r="CJ187" s="54"/>
      <c r="CK187" s="130"/>
      <c r="CL187" s="126"/>
      <c r="CM187" s="55"/>
    </row>
    <row r="188" spans="2:91" x14ac:dyDescent="0.2">
      <c r="B188" s="56"/>
      <c r="C188" s="57" t="s">
        <v>61</v>
      </c>
      <c r="D188" s="2"/>
      <c r="E188" s="95">
        <f t="shared" ref="E188:P188" si="830">IF(ISERROR(VLOOKUP(CONCATENATE($B185,E$5),TBCHISTORIQUE,8,FALSE)/1000),0,VLOOKUP(CONCATENATE($B185,E$5),TBCHISTORIQUE,8,FALSE)/1000)</f>
        <v>0</v>
      </c>
      <c r="F188" s="167">
        <f t="shared" si="830"/>
        <v>0</v>
      </c>
      <c r="G188" s="167">
        <f t="shared" si="830"/>
        <v>0</v>
      </c>
      <c r="H188" s="167">
        <f t="shared" si="830"/>
        <v>0</v>
      </c>
      <c r="I188" s="167">
        <f t="shared" si="830"/>
        <v>0</v>
      </c>
      <c r="J188" s="167">
        <f t="shared" si="830"/>
        <v>0</v>
      </c>
      <c r="K188" s="167">
        <f t="shared" si="830"/>
        <v>0</v>
      </c>
      <c r="L188" s="167">
        <f t="shared" si="830"/>
        <v>0</v>
      </c>
      <c r="M188" s="167">
        <f t="shared" si="830"/>
        <v>0</v>
      </c>
      <c r="N188" s="167">
        <f t="shared" si="830"/>
        <v>0</v>
      </c>
      <c r="O188" s="167">
        <f t="shared" si="830"/>
        <v>0</v>
      </c>
      <c r="P188" s="168">
        <f t="shared" si="830"/>
        <v>0</v>
      </c>
      <c r="Q188" s="185">
        <f>SUMIF($E$5:$P$5,"&lt;="&amp;mois,E188:P188)</f>
        <v>0</v>
      </c>
      <c r="R188" s="2"/>
      <c r="S188" s="95">
        <f t="shared" ref="S188:AD188" si="831">IF(ISERROR(VLOOKUP(CONCATENATE($B185,S$5),TBCA,8,FALSE)/1000),0,VLOOKUP(CONCATENATE($B185,S$5),TBCA,8,FALSE)/1000)</f>
        <v>0</v>
      </c>
      <c r="T188" s="167">
        <f t="shared" si="831"/>
        <v>0</v>
      </c>
      <c r="U188" s="167">
        <f t="shared" si="831"/>
        <v>0</v>
      </c>
      <c r="V188" s="167">
        <f t="shared" si="831"/>
        <v>0</v>
      </c>
      <c r="W188" s="167">
        <f t="shared" si="831"/>
        <v>0</v>
      </c>
      <c r="X188" s="167">
        <f t="shared" si="831"/>
        <v>0</v>
      </c>
      <c r="Y188" s="167">
        <f t="shared" si="831"/>
        <v>0</v>
      </c>
      <c r="Z188" s="167">
        <f t="shared" si="831"/>
        <v>0</v>
      </c>
      <c r="AA188" s="167">
        <f t="shared" si="831"/>
        <v>0</v>
      </c>
      <c r="AB188" s="167">
        <f t="shared" si="831"/>
        <v>0</v>
      </c>
      <c r="AC188" s="167">
        <f t="shared" si="831"/>
        <v>0</v>
      </c>
      <c r="AD188" s="168">
        <f t="shared" si="831"/>
        <v>0</v>
      </c>
      <c r="AE188" s="95">
        <f>SUMIF($S$5:$AD$5,"&lt;="&amp;mois,S188:AD188)</f>
        <v>0</v>
      </c>
      <c r="AF188" s="292"/>
      <c r="AG188" s="102">
        <f>AE188-AF188</f>
        <v>0</v>
      </c>
      <c r="AH188" s="102" t="e">
        <f>IF(EXCERCICE="PA",AE188-($CC188/12*(mois)),IF(EXCERCICE="LB1",AE188-($CF188/12*(mois)),AE188-($CK188/12*(mois))))</f>
        <v>#REF!</v>
      </c>
      <c r="AI188" s="102"/>
      <c r="AJ188" s="212">
        <f>IF(ISERROR(IF(EXCERCICE="PA",AE188/$CC188,IF(EXCERCICE="LB1",AE188/$CF188,AE188/$CK188))),0,IF(EXCERCICE="PA",AE188/$CC188,IF(EXCERCICE="LB1",AE188/$CF188,AE188/$CK188)))</f>
        <v>0</v>
      </c>
      <c r="AK188" s="212"/>
      <c r="AL188" s="58"/>
      <c r="AM188" s="11"/>
      <c r="AN188" s="243"/>
      <c r="AO188" s="95" t="e">
        <f>IF(mois+1&gt;12,AN188,+$AE188+AN188)</f>
        <v>#REF!</v>
      </c>
      <c r="AP188" s="292"/>
      <c r="AQ188" s="102" t="e">
        <f>AO188-AP188</f>
        <v>#REF!</v>
      </c>
      <c r="AR188" s="17" t="e">
        <f>IF(mois+1&gt;12,0,IF(mois=12,IF(EXCERCICE="PA",AO188-($CC188/12),IF(EXCERCICE="LB1",AO188-($CF188/12),AO188-($CK188/12))),IF(EXCERCICE="PA",AO188-($CC188/12*(mois+1)),IF(EXCERCICE="LB1",AO188-($CF188/12*(mois+1)),AO188-($CK188/12*(mois+1))))))</f>
        <v>#REF!</v>
      </c>
      <c r="AS188" s="199"/>
      <c r="AT188" s="212" t="e">
        <f>IF(mois+1&gt;12,0,IF(ISERROR(IF(EXCERCICE="PA",AO188/$CC188,IF(EXCERCICE="LB1",AO188/$CF188,AO188/$CK188))),0,IF(EXCERCICE="PA",AO188/$CC188,IF(EXCERCICE="LB1",AO188/$CF188,AO188/$CK188))))</f>
        <v>#REF!</v>
      </c>
      <c r="AU188" s="221"/>
      <c r="AV188" s="11"/>
      <c r="AW188" s="11"/>
      <c r="AX188" s="243"/>
      <c r="AY188" s="95"/>
      <c r="AZ188" s="292"/>
      <c r="BA188" s="17" t="e">
        <f>IF(mois+2&gt;12,0,IF(mois=12,IF(EXCERCICE="PA",AY188-($CC188/12),IF(EXCERCICE="LB1",AY188-($CF188/12),AY188-($CK188/12))),IF(EXCERCICE="PA",AY188-($CC188/12*(mois+2)),IF(EXCERCICE="LB1",AY188-($CF188/12*(mois+2)),AY188-($CK188/12*(mois+2))))))</f>
        <v>#REF!</v>
      </c>
      <c r="BB188" s="179"/>
      <c r="BC188" s="212" t="e">
        <f>IF(mois+2&gt;12,0,IF(ISERROR(IF(EXCERCICE="PA",AY188/$CC188,IF(EXCERCICE="LB1",AY188/$CF188,AY188/$CK188))),0,IF(EXCERCICE="PA",AY188/$CC188,IF(EXCERCICE="LB1",AY188/$CF188,AY188/$CK188))))</f>
        <v>#REF!</v>
      </c>
      <c r="BD188" s="221"/>
      <c r="BE188" s="58"/>
      <c r="BF188" s="11"/>
      <c r="BG188" s="243"/>
      <c r="BH188" s="95" t="e">
        <f>IF(mois+3=13,BG188,IF(mois+3&gt;15,BG188,+$AY188+BG188))</f>
        <v>#REF!</v>
      </c>
      <c r="BI188" s="17" t="e">
        <f>IF(mois+3&gt;12,0,IF(mois=12,IF(EXCERCICE="PA",BH188-($CC188/12),IF(EXCERCICE="LB1",BH188-($CF188/12),BH188-($CK188/12))),IF(EXCERCICE="PA",BH188-($CC188/12*(mois+3)),IF(EXCERCICE="LB1",BH188-($CF188/12*(mois+3)),BH188-($CK188/12*(mois+3))))))</f>
        <v>#REF!</v>
      </c>
      <c r="BJ188" s="17"/>
      <c r="BK188" s="212" t="e">
        <f>IF(mois+3&gt;12,0,IF(ISERROR(IF(EXCERCICE="PA",BH188/$CC188,IF(EXCERCICE="LB1",BH188/$CF188,BH188/$CK188))),0,IF(EXCERCICE="PA",BH188/$CC188,IF(EXCERCICE="LB1",BH188/$CF188,BH188/$CK188))))</f>
        <v>#REF!</v>
      </c>
      <c r="BL188" s="221"/>
      <c r="BM188" s="2"/>
      <c r="BN188" s="123" t="e">
        <f>IF(mois&gt;=12,IF(EXCERCICE="PA",CC188-AE188,IF(EXCERCICE="LB1",CF188-AE188,IF(EXCERCICE="LB2",$CK188-AE188))),
IF(mois+1&lt;=13,IF(EXCERCICE="PA",CC188-AO188,IF(EXCERCICE="LB1",CF188-AO188,IF(EXCERCICE="LB2",$CK188-AO188))),
IF(mois+2&lt;=14,IF(EXCERCICE="PA",CC188-AY188,IF(EXCERCICE="LB1",CF188-AY188,IF(EXCERCICE="LB2",$CK188-AY188))),
IF(mois+3&lt;=15,IF(EXCERCICE="PA",CC188-BH188,IF(EXCERCICE="LB1",CF188-BH188,IF(EXCERCICE="LB2",$CK188-BH188))),0))))</f>
        <v>#REF!</v>
      </c>
      <c r="BO188" s="123" t="e">
        <f>IF(BN188&lt;0,0,BN188/(12-mois))</f>
        <v>#REF!</v>
      </c>
      <c r="BQ188" s="173"/>
      <c r="BR188" s="173"/>
      <c r="BS188" s="173"/>
      <c r="BT188" s="173"/>
      <c r="BU188" s="173"/>
      <c r="BV188" s="173"/>
      <c r="BW188" s="173"/>
      <c r="BX188" s="173"/>
      <c r="BY188" s="173"/>
      <c r="BZ188" s="173"/>
      <c r="CA188" s="173"/>
      <c r="CB188" s="173"/>
      <c r="CC188" s="123"/>
      <c r="CD188" s="203"/>
      <c r="CE188" s="11"/>
      <c r="CF188" s="95"/>
      <c r="CG188" s="125"/>
      <c r="CH188" s="17"/>
      <c r="CI188" s="58"/>
      <c r="CJ188" s="11"/>
      <c r="CK188" s="95"/>
      <c r="CL188" s="125"/>
      <c r="CM188" s="17"/>
    </row>
    <row r="189" spans="2:91" x14ac:dyDescent="0.2">
      <c r="B189" s="60"/>
      <c r="C189" s="143" t="s">
        <v>62</v>
      </c>
      <c r="D189" s="2"/>
      <c r="E189" s="61" t="str">
        <f>IF(E187=0,"-",E188/E187)</f>
        <v>-</v>
      </c>
      <c r="F189" s="7" t="str">
        <f t="shared" ref="F189" si="832">IF(F187=0,"-",F188/F187)</f>
        <v>-</v>
      </c>
      <c r="G189" s="7" t="str">
        <f t="shared" ref="G189" si="833">IF(G187=0,"-",G188/G187)</f>
        <v>-</v>
      </c>
      <c r="H189" s="7" t="str">
        <f t="shared" ref="H189" si="834">IF(H187=0,"-",H188/H187)</f>
        <v>-</v>
      </c>
      <c r="I189" s="7" t="str">
        <f t="shared" ref="I189" si="835">IF(I187=0,"-",I188/I187)</f>
        <v>-</v>
      </c>
      <c r="J189" s="7" t="str">
        <f t="shared" ref="J189" si="836">IF(J187=0,"-",J188/J187)</f>
        <v>-</v>
      </c>
      <c r="K189" s="7" t="str">
        <f t="shared" ref="K189" si="837">IF(K187=0,"-",K188/K187)</f>
        <v>-</v>
      </c>
      <c r="L189" s="7" t="str">
        <f t="shared" ref="L189" si="838">IF(L187=0,"-",L188/L187)</f>
        <v>-</v>
      </c>
      <c r="M189" s="7" t="str">
        <f t="shared" ref="M189" si="839">IF(M187=0,"-",M188/M187)</f>
        <v>-</v>
      </c>
      <c r="N189" s="7" t="str">
        <f t="shared" ref="N189" si="840">IF(N187=0,"-",N188/N187)</f>
        <v>-</v>
      </c>
      <c r="O189" s="7" t="str">
        <f t="shared" ref="O189" si="841">IF(O187=0,"-",O188/O187)</f>
        <v>-</v>
      </c>
      <c r="P189" s="7" t="str">
        <f t="shared" ref="P189" si="842">IF(P187=0,"-",P188/P187)</f>
        <v>-</v>
      </c>
      <c r="Q189" s="186" t="str">
        <f t="shared" ref="Q189" si="843">IF(Q187=0,"-",Q188/Q187)</f>
        <v>-</v>
      </c>
      <c r="R189" s="2"/>
      <c r="S189" s="61" t="str">
        <f t="shared" ref="S189" si="844">IF(S187=0,"-",S188/S187)</f>
        <v>-</v>
      </c>
      <c r="T189" s="7" t="str">
        <f t="shared" ref="T189" si="845">IF(T187=0,"-",T188/T187)</f>
        <v>-</v>
      </c>
      <c r="U189" s="7" t="str">
        <f t="shared" ref="U189" si="846">IF(U187=0,"-",U188/U187)</f>
        <v>-</v>
      </c>
      <c r="V189" s="7" t="str">
        <f t="shared" ref="V189" si="847">IF(V187=0,"-",V188/V187)</f>
        <v>-</v>
      </c>
      <c r="W189" s="7" t="str">
        <f t="shared" ref="W189" si="848">IF(W187=0,"-",W188/W187)</f>
        <v>-</v>
      </c>
      <c r="X189" s="7" t="str">
        <f t="shared" ref="X189" si="849">IF(X187=0,"-",X188/X187)</f>
        <v>-</v>
      </c>
      <c r="Y189" s="7" t="str">
        <f t="shared" ref="Y189" si="850">IF(Y187=0,"-",Y188/Y187)</f>
        <v>-</v>
      </c>
      <c r="Z189" s="7" t="str">
        <f t="shared" ref="Z189" si="851">IF(Z187=0,"-",Z188/Z187)</f>
        <v>-</v>
      </c>
      <c r="AA189" s="7" t="str">
        <f t="shared" ref="AA189" si="852">IF(AA187=0,"-",AA188/AA187)</f>
        <v>-</v>
      </c>
      <c r="AB189" s="7" t="str">
        <f t="shared" ref="AB189" si="853">IF(AB187=0,"-",AB188/AB187)</f>
        <v>-</v>
      </c>
      <c r="AC189" s="7" t="str">
        <f t="shared" ref="AC189" si="854">IF(AC187=0,"-",AC188/AC187)</f>
        <v>-</v>
      </c>
      <c r="AD189" s="7" t="str">
        <f t="shared" ref="AD189" si="855">IF(AD187=0,"-",AD188/AD187)</f>
        <v>-</v>
      </c>
      <c r="AE189" s="61" t="str">
        <f>IF(AE187=0,"-",AE188/AE187)</f>
        <v>-</v>
      </c>
      <c r="AF189" s="293"/>
      <c r="AG189" s="103" t="str">
        <f t="shared" ref="AG189" si="856">IF(AG187=0,"-",AG188/AG187)</f>
        <v>-</v>
      </c>
      <c r="AH189" s="103" t="e">
        <f>IF(AH187=0,"-",AH188/AH187)</f>
        <v>#REF!</v>
      </c>
      <c r="AI189" s="103"/>
      <c r="AJ189" s="197"/>
      <c r="AK189" s="197"/>
      <c r="AL189" s="58"/>
      <c r="AM189" s="11"/>
      <c r="AN189" s="249"/>
      <c r="AO189" s="61" t="e">
        <f t="shared" ref="AO189" si="857">IF(AO187=0,"-",AO188/AO187)</f>
        <v>#REF!</v>
      </c>
      <c r="AP189" s="293"/>
      <c r="AQ189" s="103" t="e">
        <f>IF(AQ187=0,"-",AQ188/AQ187)</f>
        <v>#REF!</v>
      </c>
      <c r="AR189" s="7" t="e">
        <f>IF(AR187=0,"-",AR188/AR187)</f>
        <v>#REF!</v>
      </c>
      <c r="AS189" s="197"/>
      <c r="AT189" s="197"/>
      <c r="AU189" s="222"/>
      <c r="AV189" s="11"/>
      <c r="AW189" s="11"/>
      <c r="AX189" s="249"/>
      <c r="AY189" s="61"/>
      <c r="AZ189" s="293"/>
      <c r="BA189" s="7" t="e">
        <f>IF(BA187=0,"-",BA188/BA187)</f>
        <v>#REF!</v>
      </c>
      <c r="BB189" s="103"/>
      <c r="BC189" s="197"/>
      <c r="BD189" s="222"/>
      <c r="BE189" s="58"/>
      <c r="BF189" s="11"/>
      <c r="BG189" s="249"/>
      <c r="BH189" s="61" t="e">
        <f t="shared" ref="BH189:BI189" si="858">IF(BH187=0,"-",BH188/BH187)</f>
        <v>#REF!</v>
      </c>
      <c r="BI189" s="7" t="e">
        <f t="shared" si="858"/>
        <v>#REF!</v>
      </c>
      <c r="BJ189" s="7"/>
      <c r="BK189" s="197"/>
      <c r="BL189" s="222"/>
      <c r="BM189" s="2"/>
      <c r="BN189" s="63"/>
      <c r="BO189" s="63"/>
      <c r="BQ189" s="173"/>
      <c r="BR189" s="173"/>
      <c r="BS189" s="173"/>
      <c r="BT189" s="173"/>
      <c r="BU189" s="173"/>
      <c r="BV189" s="173"/>
      <c r="BW189" s="173"/>
      <c r="BX189" s="173"/>
      <c r="BY189" s="173"/>
      <c r="BZ189" s="173"/>
      <c r="CA189" s="173"/>
      <c r="CB189" s="173"/>
      <c r="CC189" s="63"/>
      <c r="CD189" s="204"/>
      <c r="CE189" s="11"/>
      <c r="CF189" s="61"/>
      <c r="CG189" s="134"/>
      <c r="CH189" s="8"/>
      <c r="CI189" s="58"/>
      <c r="CJ189" s="11"/>
      <c r="CK189" s="61"/>
      <c r="CL189" s="134"/>
      <c r="CM189" s="8"/>
    </row>
    <row r="190" spans="2:91" x14ac:dyDescent="0.2">
      <c r="B190" s="64"/>
      <c r="C190" s="6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194"/>
      <c r="AG190" s="100"/>
      <c r="AH190" s="100"/>
      <c r="AI190" s="100"/>
      <c r="AJ190" s="214"/>
      <c r="AK190" s="214"/>
      <c r="AL190" s="11"/>
      <c r="AM190" s="2"/>
      <c r="AN190" s="71"/>
      <c r="AO190" s="11"/>
      <c r="AP190" s="194"/>
      <c r="AQ190" s="100"/>
      <c r="AR190" s="65"/>
      <c r="AS190" s="2"/>
      <c r="AT190" s="214"/>
      <c r="AU190" s="214"/>
      <c r="AV190" s="11"/>
      <c r="AW190" s="2"/>
      <c r="AX190" s="71"/>
      <c r="AY190" s="11"/>
      <c r="AZ190" s="194"/>
      <c r="BA190" s="65"/>
      <c r="BB190" s="2"/>
      <c r="BC190" s="214"/>
      <c r="BD190" s="214"/>
      <c r="BE190" s="11"/>
      <c r="BF190" s="2"/>
      <c r="BG190" s="71"/>
      <c r="BH190" s="11"/>
      <c r="BI190" s="11"/>
      <c r="BJ190" s="11"/>
      <c r="BK190" s="214"/>
      <c r="BL190" s="214"/>
      <c r="BM190" s="2"/>
      <c r="BN190" s="11"/>
      <c r="BO190" s="11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65"/>
      <c r="CD190" s="205"/>
      <c r="CE190" s="11"/>
      <c r="CF190" s="71"/>
      <c r="CG190" s="137"/>
      <c r="CH190" s="65"/>
      <c r="CI190" s="11"/>
      <c r="CJ190" s="2"/>
      <c r="CK190" s="71"/>
      <c r="CL190" s="137"/>
      <c r="CM190" s="65"/>
    </row>
    <row r="191" spans="2:91" x14ac:dyDescent="0.2">
      <c r="B191" s="66"/>
      <c r="C191" s="67" t="s">
        <v>58</v>
      </c>
      <c r="D191" s="51"/>
      <c r="E191" s="96">
        <f t="shared" ref="E191:P191" si="859">IF(ISERROR(VLOOKUP(CONCATENATE($B185,E$5),TBCHISTORIQUE,9,FALSE)/1000),0,VLOOKUP(CONCATENATE($B185,E$5),TBCHISTORIQUE,9,FALSE)/1000)</f>
        <v>0</v>
      </c>
      <c r="F191" s="169">
        <f t="shared" si="859"/>
        <v>0</v>
      </c>
      <c r="G191" s="169">
        <f t="shared" si="859"/>
        <v>0</v>
      </c>
      <c r="H191" s="169">
        <f t="shared" si="859"/>
        <v>0</v>
      </c>
      <c r="I191" s="169">
        <f t="shared" si="859"/>
        <v>0</v>
      </c>
      <c r="J191" s="169">
        <f t="shared" si="859"/>
        <v>0</v>
      </c>
      <c r="K191" s="169">
        <f t="shared" si="859"/>
        <v>0</v>
      </c>
      <c r="L191" s="169">
        <f t="shared" si="859"/>
        <v>0</v>
      </c>
      <c r="M191" s="169">
        <f t="shared" si="859"/>
        <v>0</v>
      </c>
      <c r="N191" s="169">
        <f t="shared" si="859"/>
        <v>0</v>
      </c>
      <c r="O191" s="169">
        <f t="shared" si="859"/>
        <v>0</v>
      </c>
      <c r="P191" s="170">
        <f t="shared" si="859"/>
        <v>0</v>
      </c>
      <c r="Q191" s="187">
        <f>SUMIF($E$5:$P$5,"&lt;="&amp;mois,E191:P191)</f>
        <v>0</v>
      </c>
      <c r="R191" s="51"/>
      <c r="S191" s="96">
        <f t="shared" ref="S191:AD191" si="860">IF(ISERROR(VLOOKUP(CONCATENATE($B185,S$5),TBCA,9,FALSE)/1000),0,VLOOKUP(CONCATENATE($B185,S$5),TBCA,9,FALSE)/1000)</f>
        <v>0</v>
      </c>
      <c r="T191" s="169">
        <f t="shared" si="860"/>
        <v>0</v>
      </c>
      <c r="U191" s="169">
        <f t="shared" si="860"/>
        <v>0</v>
      </c>
      <c r="V191" s="169">
        <f t="shared" si="860"/>
        <v>0</v>
      </c>
      <c r="W191" s="169">
        <f t="shared" si="860"/>
        <v>0</v>
      </c>
      <c r="X191" s="169">
        <f t="shared" si="860"/>
        <v>0</v>
      </c>
      <c r="Y191" s="169">
        <f t="shared" si="860"/>
        <v>0</v>
      </c>
      <c r="Z191" s="169">
        <f t="shared" si="860"/>
        <v>0</v>
      </c>
      <c r="AA191" s="169">
        <f t="shared" si="860"/>
        <v>0</v>
      </c>
      <c r="AB191" s="169">
        <f t="shared" si="860"/>
        <v>0</v>
      </c>
      <c r="AC191" s="169">
        <f t="shared" si="860"/>
        <v>0</v>
      </c>
      <c r="AD191" s="170">
        <f t="shared" si="860"/>
        <v>0</v>
      </c>
      <c r="AE191" s="324">
        <f>SUMIF($S$5:$AD$5,"&lt;="&amp;mois,S191:AD191)</f>
        <v>0</v>
      </c>
      <c r="AF191" s="294"/>
      <c r="AG191" s="104">
        <f>AE191-AF191</f>
        <v>0</v>
      </c>
      <c r="AH191" s="104" t="e">
        <f>IF(EXCERCICE="PA",AE191-($CC191/12*(mois)),IF(EXCERCICE="LB1",AE191-($CF191/12*(mois)),AE191-($CK191/12*(mois))))</f>
        <v>#REF!</v>
      </c>
      <c r="AI191" s="175">
        <f>IF(ISERROR(AE191/Q191),0,AE191/Q191)</f>
        <v>0</v>
      </c>
      <c r="AJ191" s="175">
        <f>IF(ISERROR(IF(EXCERCICE="PA",AE191/$CC191,IF(EXCERCICE="LB1",AE191/$CF191,AE191/$CK191))),0,IF(EXCERCICE="PA",AE191/$CC191,IF(EXCERCICE="LB1",AE191/$CF191,AE191/$CK191)))</f>
        <v>0</v>
      </c>
      <c r="AK191" s="223" t="str">
        <f>IF(ISERROR(AE191/HLOOKUP(mois,$BQ$5:$CB$39,7,FALSE)),"",AE191/HLOOKUP(mois,$BQ$5:$CB$39,7,FALSE))</f>
        <v/>
      </c>
      <c r="AL191" s="54"/>
      <c r="AM191" s="54"/>
      <c r="AN191" s="250"/>
      <c r="AO191" s="96" t="e">
        <f>IF(mois+1&gt;12,AN191,+$AE191+AN191)</f>
        <v>#REF!</v>
      </c>
      <c r="AP191" s="294"/>
      <c r="AQ191" s="104" t="e">
        <f>AO191-AP191</f>
        <v>#REF!</v>
      </c>
      <c r="AR191" s="68" t="e">
        <f>IF(mois+1&gt;12,0,IF(mois=12,IF(EXCERCICE="PA",AO191-($CC191/12),IF(EXCERCICE="LB1",AO191-($CF191/12),AO191-($CK191/12))),IF(EXCERCICE="PA",AO191-($CC191/12*(mois+1)),IF(EXCERCICE="LB1",AO191-($CF191/12*(mois+1)),AO191-($CK191/12*(mois+1))))))</f>
        <v>#REF!</v>
      </c>
      <c r="AS191" s="200" t="e">
        <f>IF(AO191=0,0,IF(mois+1&gt;12,AO191/SUMPRODUCT((($S$6:$U$6)&lt;=mois+1)*$S191:$U191),AO191/SUMPRODUCT((($E$5:$P$5)&lt;=mois+1)*$E191:$P191)))</f>
        <v>#REF!</v>
      </c>
      <c r="AT191" s="175" t="e">
        <f>IF(mois+1&gt;12,0,IF(ISERROR(IF(EXCERCICE="PA",AO191/$CC191,IF(EXCERCICE="LB1",AO191/$CF191,AO191/$CK191))),0,IF(EXCERCICE="PA",AO191/$CC191,IF(EXCERCICE="LB1",AO191/$CF191,AO191/$CK191))))</f>
        <v>#REF!</v>
      </c>
      <c r="AU191" s="223" t="str">
        <f>IF(ISERROR(AO191/HLOOKUP(mois+1,$BQ$5:$CB$39,7,FALSE)),"",AO191/HLOOKUP(mois+1,$BQ$5:$CB$39,7,FALSE))</f>
        <v/>
      </c>
      <c r="AV191" s="11"/>
      <c r="AW191" s="54"/>
      <c r="AX191" s="250"/>
      <c r="AY191" s="96"/>
      <c r="AZ191" s="294"/>
      <c r="BA191" s="68" t="e">
        <f>IF(mois+2&gt;12,0,IF(mois=12,IF(EXCERCICE="PA",AY191-($CC191/12),IF(EXCERCICE="LB1",AY191-($CF191/12),AY191-($CK191/12))),IF(EXCERCICE="PA",AY191-($CC191/12*(mois+2)),IF(EXCERCICE="LB1",AY191-($CF191/12*(mois+2)),AY191-($CK191/12*(mois+2))))))</f>
        <v>#REF!</v>
      </c>
      <c r="BB191" s="200">
        <f>IF(AY191=0,0,IF(mois+1&gt;12,AY191/SUMPRODUCT((($S$6:$U$6)&lt;=mois+2)*$S191:$U191),AY191/SUMPRODUCT((($E$5:$P$5)&lt;=mois+2)*$E191:$P191)))</f>
        <v>0</v>
      </c>
      <c r="BC191" s="175" t="e">
        <f>IF(mois+2&gt;12,0,IF(ISERROR(IF(EXCERCICE="PA",AY191/$CC191,IF(EXCERCICE="LB1",AY191/$CF191,AY191/$CK191))),0,IF(EXCERCICE="PA",AY191/$CC191,IF(EXCERCICE="LB1",AY191/$CF191,AY191/$CK191))))</f>
        <v>#REF!</v>
      </c>
      <c r="BD191" s="223" t="str">
        <f>IF(ISERROR(AY191/HLOOKUP(mois+2,$BQ$5:$CB$39,7,FALSE)),"",AY191/HLOOKUP(mois+2,$BQ$5:$CB$39,7,FALSE))</f>
        <v/>
      </c>
      <c r="BE191" s="52"/>
      <c r="BF191" s="54"/>
      <c r="BG191" s="250"/>
      <c r="BH191" s="96" t="e">
        <f>IF(mois+3=13,BG191,IF(mois+3&gt;15,BG191,+$AY191+BG191))</f>
        <v>#REF!</v>
      </c>
      <c r="BI191" s="68" t="e">
        <f>IF(mois+3&gt;12,0,IF(mois=12,IF(EXCERCICE="PA",BH191-($CC191/12),IF(EXCERCICE="LB1",BH191-($CF191/12),BH191-($CK191/12))),IF(EXCERCICE="PA",BH191-($CC191/12*(mois+3)),IF(EXCERCICE="LB1",BH191-($CF191/12*(mois+3)),BH191-($CK191/12*(mois+3))))))</f>
        <v>#REF!</v>
      </c>
      <c r="BJ191" s="200" t="e">
        <f>IF(BH191=0,0,IF(mois+1&gt;12,BH191/SUMPRODUCT((($S$6:$U$6)&lt;=mois+3)*$S191:$U191),BH191/SUMPRODUCT((($E$5:$P$5)&lt;=mois+3)*$E191:$P191)))</f>
        <v>#REF!</v>
      </c>
      <c r="BK191" s="175" t="e">
        <f>IF(mois+3&gt;12,0,IF(ISERROR(IF(EXCERCICE="PA",BH191/$CC191,IF(EXCERCICE="LB1",BH191/$CF191,BH191/$CK191))),0,IF(EXCERCICE="PA",BH191/$CC191,IF(EXCERCICE="LB1",BH191/$CF191,BH191/$CK191))))</f>
        <v>#REF!</v>
      </c>
      <c r="BL191" s="223" t="str">
        <f>IF(ISERROR(BH191/HLOOKUP(mois+3,$BQ$5:$CB$39,7,FALSE)),"",BH191/HLOOKUP(mois+3,$BQ$5:$CB$39,7,FALSE))</f>
        <v/>
      </c>
      <c r="BM191" s="2"/>
      <c r="BN191" s="131" t="e">
        <f>IF(mois&gt;=12,IF(EXCERCICE="PA",CC191-AE191,IF(EXCERCICE="LB1",CF191-AE191,IF(EXCERCICE="LB2",$CK191-AE191))),
IF(mois+1&lt;=13,IF(EXCERCICE="PA",CC191-AO191,IF(EXCERCICE="LB1",CF191-AO191,IF(EXCERCICE="LB2",$CK191-AO191))),
IF(mois+2&lt;=14,IF(EXCERCICE="PA",CC191-AY191,IF(EXCERCICE="LB1",CF191-AY191,IF(EXCERCICE="LB2",$CK191-AY191))),
IF(mois+3&lt;=15,IF(EXCERCICE="PA",CC191-BH191,IF(EXCERCICE="LB1",CF191-BH191,IF(EXCERCICE="LB2",$CK191-BH191))),0))))</f>
        <v>#REF!</v>
      </c>
      <c r="BO191" s="131" t="e">
        <f>IF(BN191&lt;0,0,BN191/(12-mois))</f>
        <v>#REF!</v>
      </c>
      <c r="BQ191" s="196"/>
      <c r="BR191" s="196"/>
      <c r="BS191" s="196"/>
      <c r="BT191" s="196"/>
      <c r="BU191" s="196"/>
      <c r="BV191" s="196"/>
      <c r="BW191" s="196"/>
      <c r="BX191" s="196"/>
      <c r="BY191" s="196"/>
      <c r="BZ191" s="196"/>
      <c r="CA191" s="196"/>
      <c r="CB191" s="196"/>
      <c r="CC191" s="131"/>
      <c r="CD191" s="206"/>
      <c r="CE191" s="54"/>
      <c r="CF191" s="96"/>
      <c r="CG191" s="138"/>
      <c r="CH191" s="68"/>
      <c r="CI191" s="52"/>
      <c r="CJ191" s="54"/>
      <c r="CK191" s="96"/>
      <c r="CL191" s="138"/>
      <c r="CM191" s="68"/>
    </row>
    <row r="192" spans="2:91" x14ac:dyDescent="0.2">
      <c r="B192" s="64"/>
      <c r="C192" s="6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194"/>
      <c r="AG192" s="100"/>
      <c r="AH192" s="100"/>
      <c r="AI192" s="100"/>
      <c r="AJ192" s="214"/>
      <c r="AK192" s="214"/>
      <c r="AL192" s="11"/>
      <c r="AM192" s="2"/>
      <c r="AN192" s="71"/>
      <c r="AO192" s="11"/>
      <c r="AP192" s="194"/>
      <c r="AQ192" s="100"/>
      <c r="AR192" s="65"/>
      <c r="AS192" s="2"/>
      <c r="AT192" s="214"/>
      <c r="AU192" s="214"/>
      <c r="AV192" s="11"/>
      <c r="AW192" s="2"/>
      <c r="AX192" s="71"/>
      <c r="AY192" s="11"/>
      <c r="AZ192" s="194"/>
      <c r="BA192" s="65"/>
      <c r="BB192" s="2"/>
      <c r="BC192" s="214"/>
      <c r="BD192" s="214"/>
      <c r="BE192" s="11"/>
      <c r="BF192" s="2"/>
      <c r="BG192" s="71"/>
      <c r="BH192" s="11"/>
      <c r="BI192" s="11"/>
      <c r="BJ192" s="11"/>
      <c r="BK192" s="214"/>
      <c r="BL192" s="214"/>
      <c r="BM192" s="2"/>
      <c r="BN192" s="11"/>
      <c r="BO192" s="11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65"/>
      <c r="CD192" s="205"/>
      <c r="CE192" s="11"/>
      <c r="CF192" s="71"/>
      <c r="CG192" s="137"/>
      <c r="CH192" s="65"/>
      <c r="CI192" s="11"/>
      <c r="CJ192" s="2"/>
      <c r="CK192" s="71"/>
      <c r="CL192" s="137"/>
      <c r="CM192" s="65"/>
    </row>
    <row r="193" spans="2:91" x14ac:dyDescent="0.2">
      <c r="B193" s="49"/>
      <c r="C193" s="50" t="s">
        <v>59</v>
      </c>
      <c r="D193" s="51"/>
      <c r="E193" s="92">
        <f t="shared" ref="E193:P193" si="861">IF(ISERROR(VLOOKUP(CONCATENATE($B185,E$5),TBCHISTORIQUE,10,FALSE)/1000),0,VLOOKUP(CONCATENATE($B185,E$5),TBCHISTORIQUE,10,FALSE)/1000)</f>
        <v>0</v>
      </c>
      <c r="F193" s="93">
        <f t="shared" si="861"/>
        <v>0</v>
      </c>
      <c r="G193" s="93">
        <f t="shared" si="861"/>
        <v>0</v>
      </c>
      <c r="H193" s="93">
        <f t="shared" si="861"/>
        <v>0</v>
      </c>
      <c r="I193" s="93">
        <f t="shared" si="861"/>
        <v>0</v>
      </c>
      <c r="J193" s="93">
        <f t="shared" si="861"/>
        <v>0</v>
      </c>
      <c r="K193" s="93">
        <f t="shared" si="861"/>
        <v>0</v>
      </c>
      <c r="L193" s="93">
        <f t="shared" si="861"/>
        <v>0</v>
      </c>
      <c r="M193" s="93">
        <f t="shared" si="861"/>
        <v>0</v>
      </c>
      <c r="N193" s="93">
        <f t="shared" si="861"/>
        <v>0</v>
      </c>
      <c r="O193" s="93">
        <f t="shared" si="861"/>
        <v>0</v>
      </c>
      <c r="P193" s="94">
        <f t="shared" si="861"/>
        <v>0</v>
      </c>
      <c r="Q193" s="184">
        <f>SUMIF($E$5:$P$5,"&lt;="&amp;mois,E193:P193)</f>
        <v>0</v>
      </c>
      <c r="R193" s="51"/>
      <c r="S193" s="92">
        <f t="shared" ref="S193:AD193" si="862">IF(ISERROR(VLOOKUP(CONCATENATE($B185,S$5),TBCA,10,FALSE)/1000),0,VLOOKUP(CONCATENATE($B185,S$5),TBCA,10,FALSE)/1000)</f>
        <v>0</v>
      </c>
      <c r="T193" s="93">
        <f t="shared" si="862"/>
        <v>0</v>
      </c>
      <c r="U193" s="93">
        <f t="shared" si="862"/>
        <v>0</v>
      </c>
      <c r="V193" s="93">
        <f t="shared" si="862"/>
        <v>0</v>
      </c>
      <c r="W193" s="93">
        <f t="shared" si="862"/>
        <v>0</v>
      </c>
      <c r="X193" s="93">
        <f t="shared" si="862"/>
        <v>0</v>
      </c>
      <c r="Y193" s="93">
        <f t="shared" si="862"/>
        <v>0</v>
      </c>
      <c r="Z193" s="93">
        <f t="shared" si="862"/>
        <v>0</v>
      </c>
      <c r="AA193" s="93">
        <f t="shared" si="862"/>
        <v>0</v>
      </c>
      <c r="AB193" s="93">
        <f t="shared" si="862"/>
        <v>0</v>
      </c>
      <c r="AC193" s="93">
        <f t="shared" si="862"/>
        <v>0</v>
      </c>
      <c r="AD193" s="94">
        <f t="shared" si="862"/>
        <v>0</v>
      </c>
      <c r="AE193" s="92">
        <f>SUMIF($S$5:$AD$5,"&lt;="&amp;mois,S193:AD193)</f>
        <v>0</v>
      </c>
      <c r="AF193" s="291"/>
      <c r="AG193" s="101">
        <f t="shared" ref="AG193:AG194" si="863">AE193-AF193</f>
        <v>0</v>
      </c>
      <c r="AH193" s="101" t="e">
        <f>IF(EXCERCICE="PA",AE193-($CC193/12*(mois)),IF(EXCERCICE="LB1",AE193-($CF193/12*(mois)),AE193-($CK193/12*(mois))))</f>
        <v>#REF!</v>
      </c>
      <c r="AI193" s="176">
        <f>IF(ISERROR(AE193/Q193),0,AE193/Q193)</f>
        <v>0</v>
      </c>
      <c r="AJ193" s="176">
        <f>IF(ISERROR(IF(EXCERCICE="PA",AE193/$CC193,IF(EXCERCICE="LB1",AE193/$CF193,AE193/$CK193))),0,IF(EXCERCICE="PA",AE193/$CC193,IF(EXCERCICE="LB1",AE193/$CF193,AE193/$CK193)))</f>
        <v>0</v>
      </c>
      <c r="AK193" s="176" t="str">
        <f>IF(ISERROR(AE193/HLOOKUP(mois,$BQ$5:$CB$39,9,FALSE)),"",AE193/HLOOKUP(mois,$BQ$5:$CB$39,9,FALSE))</f>
        <v/>
      </c>
      <c r="AL193" s="52"/>
      <c r="AM193" s="54"/>
      <c r="AN193" s="242"/>
      <c r="AO193" s="92" t="e">
        <f>IF(mois+1&gt;12,AN193,+$AE193+AN193)</f>
        <v>#REF!</v>
      </c>
      <c r="AP193" s="291"/>
      <c r="AQ193" s="101" t="e">
        <f>AO193-AP193</f>
        <v>#REF!</v>
      </c>
      <c r="AR193" s="55" t="e">
        <f>IF(mois+1&gt;12,0,IF(mois=12,IF(EXCERCICE="PA",AO193-($CC193/12),IF(EXCERCICE="LB1",AO193-($CF193/12),AO193-($CK193/12))),IF(EXCERCICE="PA",AO193-($CC193/12*(mois+1)),IF(EXCERCICE="LB1",AO193-($CF193/12*(mois+1)),AO193-($CK193/12*(mois+1))))))</f>
        <v>#REF!</v>
      </c>
      <c r="AS193" s="176" t="e">
        <f>IF(AO193=0,0,IF(mois+1&gt;12,AO193/SUMPRODUCT((($S$6:$U$6)&lt;=mois+1)*$S193:$U193),AO193/SUMPRODUCT((($E$5:$P$5)&lt;=mois+1)*$E193:$P193)))</f>
        <v>#REF!</v>
      </c>
      <c r="AT193" s="176" t="e">
        <f>IF(mois+1&gt;12,0,IF(ISERROR(IF(EXCERCICE="PA",AO193/$CC193,IF(EXCERCICE="LB1",AO193/$CF193,AO193/$CK193))),0,IF(EXCERCICE="PA",AO193/$CC193,IF(EXCERCICE="LB1",AO193/$CF193,AO193/$CK193))))</f>
        <v>#REF!</v>
      </c>
      <c r="AU193" s="224" t="str">
        <f>IF(ISERROR(AO193/HLOOKUP(mois+1,$BQ$5:$CB$39,9,FALSE)),"",AO193/HLOOKUP(mois+1,$BQ$5:$CB$39,9,FALSE))</f>
        <v/>
      </c>
      <c r="AV193" s="11"/>
      <c r="AW193" s="54"/>
      <c r="AX193" s="242"/>
      <c r="AY193" s="92"/>
      <c r="AZ193" s="291"/>
      <c r="BA193" s="55" t="e">
        <f>IF(mois+2&gt;12,0,IF(mois=12,IF(EXCERCICE="PA",AY193-($CC193/12),IF(EXCERCICE="LB1",AY193-($CF193/12),AY193-($CK193/12))),IF(EXCERCICE="PA",AY193-($CC193/12*(mois+2)),IF(EXCERCICE="LB1",AY193-($CF193/12*(mois+2)),AY193-($CK193/12*(mois+2))))))</f>
        <v>#REF!</v>
      </c>
      <c r="BB193" s="176">
        <f>IF(AY193=0,0,IF(mois+1&gt;12,AY193/SUMPRODUCT((($S$6:$U$6)&lt;=mois+2)*$S193:$U193),AY193/SUMPRODUCT((($E$5:$P$5)&lt;=mois+2)*$E193:$P193)))</f>
        <v>0</v>
      </c>
      <c r="BC193" s="176" t="e">
        <f>IF(mois+2&gt;12,0,IF(ISERROR(IF(EXCERCICE="PA",AY193/$CC193,IF(EXCERCICE="LB1",AY193/$CF193,AY193/$CK193))),0,IF(EXCERCICE="PA",AY193/$CC193,IF(EXCERCICE="LB1",AY193/$CF193,AY193/$CK193))))</f>
        <v>#REF!</v>
      </c>
      <c r="BD193" s="224" t="str">
        <f>IF(ISERROR(AY193/HLOOKUP(mois+2,$BQ$5:$CB$39,9,FALSE)),"",AY193/HLOOKUP(mois+2,$BQ$5:$CB$39,9,FALSE))</f>
        <v/>
      </c>
      <c r="BE193" s="52"/>
      <c r="BF193" s="54"/>
      <c r="BG193" s="242"/>
      <c r="BH193" s="92" t="e">
        <f>IF(mois+3=13,BG193,IF(mois+3&gt;15,BG193,+$AY193+BG193))</f>
        <v>#REF!</v>
      </c>
      <c r="BI193" s="55" t="e">
        <f>IF(mois+3&gt;12,0,IF(mois=12,IF(EXCERCICE="PA",BH193-($CC193/12),IF(EXCERCICE="LB1",BH193-($CF193/12),BH193-($CK193/12))),IF(EXCERCICE="PA",BH193-($CC193/12*(mois+3)),IF(EXCERCICE="LB1",BH193-($CF193/12*(mois+3)),BH193-($CK193/12*(mois+3))))))</f>
        <v>#REF!</v>
      </c>
      <c r="BJ193" s="176" t="e">
        <f>IF(BH193=0,0,IF(mois+1&gt;12,BH193/SUMPRODUCT((($S$6:$U$6)&lt;=mois+3)*$S193:$U193),BH193/SUMPRODUCT((($E$5:$P$5)&lt;=mois+3)*$E193:$P193)))</f>
        <v>#REF!</v>
      </c>
      <c r="BK193" s="176" t="e">
        <f>IF(mois+3&gt;12,0,IF(ISERROR(IF(EXCERCICE="PA",BH193/$CC193,IF(EXCERCICE="LB1",BH193/$CF193,BH193/$CK193))),0,IF(EXCERCICE="PA",BH193/$CC193,IF(EXCERCICE="LB1",BH193/$CF193,BH193/$CK193))))</f>
        <v>#REF!</v>
      </c>
      <c r="BL193" s="224" t="str">
        <f>IF(ISERROR(BH193/HLOOKUP(mois+3,$BQ$5:$CB$39,9,FALSE)),"",BH193/HLOOKUP(mois+3,$BQ$5:$CB$39,9,FALSE))</f>
        <v/>
      </c>
      <c r="BM193" s="2"/>
      <c r="BN193" s="231" t="e">
        <f>IF(mois&gt;=12,IF(EXCERCICE="PA",CC193-AE193,IF(EXCERCICE="LB1",CF193-AE193,IF(EXCERCICE="LB2",$CK193-AE193))),
IF(mois+1&lt;=13,IF(EXCERCICE="PA",CC193-AO193,IF(EXCERCICE="LB1",CF193-AO193,IF(EXCERCICE="LB2",$CK193-AO193))),
IF(mois+2&lt;=14,IF(EXCERCICE="PA",CC193-AY193,IF(EXCERCICE="LB1",CF193-AY193,IF(EXCERCICE="LB2",$CK193-AY193))),
IF(mois+3&lt;=15,IF(EXCERCICE="PA",CC193-BH193,IF(EXCERCICE="LB1",CF193-BH193,IF(EXCERCICE="LB2",$CK193-BH193))),0))))</f>
        <v>#REF!</v>
      </c>
      <c r="BO193" s="231" t="e">
        <f>IF(BN193&lt;0,0,BN193/(12-mois))</f>
        <v>#REF!</v>
      </c>
      <c r="BP193" s="2"/>
      <c r="BQ193" s="196"/>
      <c r="BR193" s="196"/>
      <c r="BS193" s="196"/>
      <c r="BT193" s="196"/>
      <c r="BU193" s="196"/>
      <c r="BV193" s="196"/>
      <c r="BW193" s="196"/>
      <c r="BX193" s="196"/>
      <c r="BY193" s="196"/>
      <c r="BZ193" s="196"/>
      <c r="CA193" s="196"/>
      <c r="CB193" s="196"/>
      <c r="CC193" s="92"/>
      <c r="CD193" s="207"/>
      <c r="CE193" s="54"/>
      <c r="CF193" s="92"/>
      <c r="CG193" s="128"/>
      <c r="CH193" s="53"/>
      <c r="CI193" s="52"/>
      <c r="CJ193" s="54"/>
      <c r="CK193" s="92"/>
      <c r="CL193" s="128"/>
      <c r="CM193" s="55"/>
    </row>
    <row r="194" spans="2:91" x14ac:dyDescent="0.2">
      <c r="B194" s="56"/>
      <c r="C194" s="57" t="s">
        <v>60</v>
      </c>
      <c r="D194" s="2"/>
      <c r="E194" s="95">
        <f t="shared" ref="E194:P194" si="864">IF(ISERROR(VLOOKUP(CONCATENATE($B185,E$5),TBCHISTORIQUE,11,FALSE)/1000),0,VLOOKUP(CONCATENATE($B185,E$5),TBCHISTORIQUE,11,FALSE)/1000)</f>
        <v>0</v>
      </c>
      <c r="F194" s="167">
        <f t="shared" si="864"/>
        <v>0</v>
      </c>
      <c r="G194" s="167">
        <f t="shared" si="864"/>
        <v>0</v>
      </c>
      <c r="H194" s="167">
        <f t="shared" si="864"/>
        <v>0</v>
      </c>
      <c r="I194" s="167">
        <f t="shared" si="864"/>
        <v>0</v>
      </c>
      <c r="J194" s="167">
        <f t="shared" si="864"/>
        <v>0</v>
      </c>
      <c r="K194" s="167">
        <f t="shared" si="864"/>
        <v>0</v>
      </c>
      <c r="L194" s="167">
        <f t="shared" si="864"/>
        <v>0</v>
      </c>
      <c r="M194" s="167">
        <f t="shared" si="864"/>
        <v>0</v>
      </c>
      <c r="N194" s="167">
        <f t="shared" si="864"/>
        <v>0</v>
      </c>
      <c r="O194" s="167">
        <f t="shared" si="864"/>
        <v>0</v>
      </c>
      <c r="P194" s="168">
        <f t="shared" si="864"/>
        <v>0</v>
      </c>
      <c r="Q194" s="185">
        <f>SUMIF($E$5:$P$5,"&lt;="&amp;mois,E194:P194)</f>
        <v>0</v>
      </c>
      <c r="R194" s="2"/>
      <c r="S194" s="95">
        <f t="shared" ref="S194:AD194" si="865">IF(ISERROR(VLOOKUP(CONCATENATE($B185,S$5),TBCA,11,FALSE)/1000),0,VLOOKUP(CONCATENATE($B185,S$5),TBCA,11,FALSE)/1000)</f>
        <v>0</v>
      </c>
      <c r="T194" s="167">
        <f t="shared" si="865"/>
        <v>0</v>
      </c>
      <c r="U194" s="167">
        <f t="shared" si="865"/>
        <v>0</v>
      </c>
      <c r="V194" s="167">
        <f t="shared" si="865"/>
        <v>0</v>
      </c>
      <c r="W194" s="167">
        <f t="shared" si="865"/>
        <v>0</v>
      </c>
      <c r="X194" s="167">
        <f t="shared" si="865"/>
        <v>0</v>
      </c>
      <c r="Y194" s="167">
        <f t="shared" si="865"/>
        <v>0</v>
      </c>
      <c r="Z194" s="167">
        <f t="shared" si="865"/>
        <v>0</v>
      </c>
      <c r="AA194" s="167">
        <f t="shared" si="865"/>
        <v>0</v>
      </c>
      <c r="AB194" s="167">
        <f t="shared" si="865"/>
        <v>0</v>
      </c>
      <c r="AC194" s="167">
        <f t="shared" si="865"/>
        <v>0</v>
      </c>
      <c r="AD194" s="168">
        <f t="shared" si="865"/>
        <v>0</v>
      </c>
      <c r="AE194" s="95">
        <f>SUMIF($S$5:$AD$5,"&lt;="&amp;mois,S194:AD194)</f>
        <v>0</v>
      </c>
      <c r="AF194" s="292"/>
      <c r="AG194" s="102">
        <f t="shared" si="863"/>
        <v>0</v>
      </c>
      <c r="AH194" s="102" t="e">
        <f>IF(EXCERCICE="PA",AE194-($CC194/12*(mois)),IF(EXCERCICE="LB1",AE194-($CF194/12*(mois)),AE194-($CK194/12*(mois))))</f>
        <v>#REF!</v>
      </c>
      <c r="AI194" s="102"/>
      <c r="AJ194" s="212">
        <f>IF(ISERROR(IF(EXCERCICE="PA",AE194/$CC194,IF(EXCERCICE="LB1",AE194/$CF194,AE194/$CK194))),0,IF(EXCERCICE="PA",AE194/$CC194,IF(EXCERCICE="LB1",AE194/$CF194,AE194/$CK194)))</f>
        <v>0</v>
      </c>
      <c r="AK194" s="212"/>
      <c r="AL194" s="58"/>
      <c r="AM194" s="11"/>
      <c r="AN194" s="243"/>
      <c r="AO194" s="95" t="e">
        <f>IF(mois+1&gt;12,AN194,+$AE194+AN194)</f>
        <v>#REF!</v>
      </c>
      <c r="AP194" s="292"/>
      <c r="AQ194" s="102" t="e">
        <f>AO194-AP194</f>
        <v>#REF!</v>
      </c>
      <c r="AR194" s="17" t="e">
        <f>IF(mois+1&gt;12,0,IF(mois=12,IF(EXCERCICE="PA",AO194-($CC194/12),IF(EXCERCICE="LB1",AO194-($CF194/12),AO194-($CK194/12))),IF(EXCERCICE="PA",AO194-($CC194/12*(mois+1)),IF(EXCERCICE="LB1",AO194-($CF194/12*(mois+1)),AO194-($CK194/12*(mois+1))))))</f>
        <v>#REF!</v>
      </c>
      <c r="AS194" s="179"/>
      <c r="AT194" s="212" t="e">
        <f>IF(mois+1&gt;12,0,IF(ISERROR(IF(EXCERCICE="PA",AO194/$CC194,IF(EXCERCICE="LB1",AO194/$CF194,AO194/$CK194))),0,IF(EXCERCICE="PA",AO194/$CC194,IF(EXCERCICE="LB1",AO194/$CF194,AO194/$CK194))))</f>
        <v>#REF!</v>
      </c>
      <c r="AU194" s="221"/>
      <c r="AV194" s="11"/>
      <c r="AW194" s="11"/>
      <c r="AX194" s="243"/>
      <c r="AY194" s="95"/>
      <c r="AZ194" s="292"/>
      <c r="BA194" s="17" t="e">
        <f>IF(mois+2&gt;12,0,IF(mois=12,IF(EXCERCICE="PA",AY194-($CC194/12),IF(EXCERCICE="LB1",AY194-($CF194/12),AY194-($CK194/12))),IF(EXCERCICE="PA",AY194-($CC194/12*(mois+2)),IF(EXCERCICE="LB1",AY194-($CF194/12*(mois+2)),AY194-($CK194/12*(mois+2))))))</f>
        <v>#REF!</v>
      </c>
      <c r="BB194" s="179"/>
      <c r="BC194" s="212" t="e">
        <f>IF(mois+2&gt;12,0,IF(ISERROR(IF(EXCERCICE="PA",AY194/$CC194,IF(EXCERCICE="LB1",AY194/$CF194,AY194/$CK194))),0,IF(EXCERCICE="PA",AY194/$CC194,IF(EXCERCICE="LB1",AY194/$CF194,AY194/$CK194))))</f>
        <v>#REF!</v>
      </c>
      <c r="BD194" s="221"/>
      <c r="BE194" s="58"/>
      <c r="BF194" s="11"/>
      <c r="BG194" s="243"/>
      <c r="BH194" s="95" t="e">
        <f>IF(mois+3=13,BG194,IF(mois+3&gt;15,BG194,+$AY194+BG194))</f>
        <v>#REF!</v>
      </c>
      <c r="BI194" s="17" t="e">
        <f>IF(mois+3&gt;12,0,IF(mois=12,IF(EXCERCICE="PA",BH194-($CC194/12),IF(EXCERCICE="LB1",BH194-($CF194/12),BH194-($CK194/12))),IF(EXCERCICE="PA",BH194-($CC194/12*(mois+3)),IF(EXCERCICE="LB1",BH194-($CF194/12*(mois+3)),BH194-($CK194/12*(mois+3))))))</f>
        <v>#REF!</v>
      </c>
      <c r="BJ194" s="17"/>
      <c r="BK194" s="212" t="e">
        <f>IF(mois+3&gt;12,0,IF(ISERROR(IF(EXCERCICE="PA",BH194/$CC194,IF(EXCERCICE="LB1",BH194/$CF194,BH194/$CK194))),0,IF(EXCERCICE="PA",BH194/$CC194,IF(EXCERCICE="LB1",BH194/$CF194,BH194/$CK194))))</f>
        <v>#REF!</v>
      </c>
      <c r="BL194" s="221"/>
      <c r="BM194" s="2"/>
      <c r="BN194" s="123" t="e">
        <f>IF(mois&gt;=12,IF(EXCERCICE="PA",CC194-AE194,IF(EXCERCICE="LB1",CF194-AE194,IF(EXCERCICE="LB2",$CK194-AE194))),
IF(mois+1&lt;=13,IF(EXCERCICE="PA",CC194-AO194,IF(EXCERCICE="LB1",CF194-AO194,IF(EXCERCICE="LB2",$CK194-AO194))),
IF(mois+2&lt;=14,IF(EXCERCICE="PA",CC194-AY194,IF(EXCERCICE="LB1",CF194-AY194,IF(EXCERCICE="LB2",$CK194-AY194))),
IF(mois+3&lt;=15,IF(EXCERCICE="PA",CC194-BH194,IF(EXCERCICE="LB1",CF194-BH194,IF(EXCERCICE="LB2",$CK194-BH194))),0))))</f>
        <v>#REF!</v>
      </c>
      <c r="BO194" s="123" t="e">
        <f>IF(BN194&lt;0,0,BN194/(12-mois))</f>
        <v>#REF!</v>
      </c>
      <c r="BP194" s="2"/>
      <c r="BQ194" s="173"/>
      <c r="BR194" s="173"/>
      <c r="BS194" s="173"/>
      <c r="BT194" s="173"/>
      <c r="BU194" s="173"/>
      <c r="BV194" s="173"/>
      <c r="BW194" s="173"/>
      <c r="BX194" s="173"/>
      <c r="BY194" s="173"/>
      <c r="BZ194" s="173"/>
      <c r="CA194" s="173"/>
      <c r="CB194" s="173"/>
      <c r="CC194" s="95"/>
      <c r="CD194" s="203"/>
      <c r="CE194" s="11"/>
      <c r="CF194" s="95"/>
      <c r="CG194" s="125"/>
      <c r="CH194" s="59"/>
      <c r="CI194" s="58"/>
      <c r="CJ194" s="11"/>
      <c r="CK194" s="95"/>
      <c r="CL194" s="125"/>
      <c r="CM194" s="17"/>
    </row>
    <row r="195" spans="2:91" x14ac:dyDescent="0.2">
      <c r="B195" s="56"/>
      <c r="C195" s="142" t="s">
        <v>63</v>
      </c>
      <c r="D195" s="2"/>
      <c r="E195" s="69" t="str">
        <f>IF(E193=0,"-",E194/E193)</f>
        <v>-</v>
      </c>
      <c r="F195" s="9" t="str">
        <f t="shared" ref="F195" si="866">IF(F193=0,"-",F194/F193)</f>
        <v>-</v>
      </c>
      <c r="G195" s="9" t="str">
        <f t="shared" ref="G195" si="867">IF(G193=0,"-",G194/G193)</f>
        <v>-</v>
      </c>
      <c r="H195" s="9" t="str">
        <f t="shared" ref="H195" si="868">IF(H193=0,"-",H194/H193)</f>
        <v>-</v>
      </c>
      <c r="I195" s="9" t="str">
        <f t="shared" ref="I195" si="869">IF(I193=0,"-",I194/I193)</f>
        <v>-</v>
      </c>
      <c r="J195" s="9" t="str">
        <f t="shared" ref="J195" si="870">IF(J193=0,"-",J194/J193)</f>
        <v>-</v>
      </c>
      <c r="K195" s="9" t="str">
        <f t="shared" ref="K195" si="871">IF(K193=0,"-",K194/K193)</f>
        <v>-</v>
      </c>
      <c r="L195" s="9" t="str">
        <f t="shared" ref="L195" si="872">IF(L193=0,"-",L194/L193)</f>
        <v>-</v>
      </c>
      <c r="M195" s="9" t="str">
        <f t="shared" ref="M195" si="873">IF(M193=0,"-",M194/M193)</f>
        <v>-</v>
      </c>
      <c r="N195" s="9" t="str">
        <f t="shared" ref="N195" si="874">IF(N193=0,"-",N194/N193)</f>
        <v>-</v>
      </c>
      <c r="O195" s="9" t="str">
        <f t="shared" ref="O195" si="875">IF(O193=0,"-",O194/O193)</f>
        <v>-</v>
      </c>
      <c r="P195" s="9" t="str">
        <f t="shared" ref="P195" si="876">IF(P193=0,"-",P194/P193)</f>
        <v>-</v>
      </c>
      <c r="Q195" s="188" t="str">
        <f t="shared" ref="Q195" si="877">IF(Q193=0,"-",Q194/Q193)</f>
        <v>-</v>
      </c>
      <c r="R195" s="2"/>
      <c r="S195" s="69" t="str">
        <f>IF(S193=0,"-",S194/S193)</f>
        <v>-</v>
      </c>
      <c r="T195" s="9" t="str">
        <f t="shared" ref="T195" si="878">IF(T193=0,"-",T194/T193)</f>
        <v>-</v>
      </c>
      <c r="U195" s="9" t="str">
        <f t="shared" ref="U195" si="879">IF(U193=0,"-",U194/U193)</f>
        <v>-</v>
      </c>
      <c r="V195" s="9" t="str">
        <f t="shared" ref="V195" si="880">IF(V193=0,"-",V194/V193)</f>
        <v>-</v>
      </c>
      <c r="W195" s="9" t="str">
        <f t="shared" ref="W195" si="881">IF(W193=0,"-",W194/W193)</f>
        <v>-</v>
      </c>
      <c r="X195" s="9" t="str">
        <f t="shared" ref="X195" si="882">IF(X193=0,"-",X194/X193)</f>
        <v>-</v>
      </c>
      <c r="Y195" s="9" t="str">
        <f t="shared" ref="Y195" si="883">IF(Y193=0,"-",Y194/Y193)</f>
        <v>-</v>
      </c>
      <c r="Z195" s="9" t="str">
        <f t="shared" ref="Z195" si="884">IF(Z193=0,"-",Z194/Z193)</f>
        <v>-</v>
      </c>
      <c r="AA195" s="9" t="str">
        <f t="shared" ref="AA195" si="885">IF(AA193=0,"-",AA194/AA193)</f>
        <v>-</v>
      </c>
      <c r="AB195" s="9" t="str">
        <f t="shared" ref="AB195" si="886">IF(AB193=0,"-",AB194/AB193)</f>
        <v>-</v>
      </c>
      <c r="AC195" s="9" t="str">
        <f t="shared" ref="AC195" si="887">IF(AC193=0,"-",AC194/AC193)</f>
        <v>-</v>
      </c>
      <c r="AD195" s="9" t="str">
        <f t="shared" ref="AD195" si="888">IF(AD193=0,"-",AD194/AD193)</f>
        <v>-</v>
      </c>
      <c r="AE195" s="69" t="str">
        <f>IF(AE193=0,"-",AE194/AE193)</f>
        <v>-</v>
      </c>
      <c r="AF195" s="295"/>
      <c r="AG195" s="105" t="str">
        <f t="shared" ref="AG195:AH195" si="889">IF(AG193=0,"-",AG194/AG193)</f>
        <v>-</v>
      </c>
      <c r="AH195" s="105" t="e">
        <f t="shared" si="889"/>
        <v>#REF!</v>
      </c>
      <c r="AI195" s="105"/>
      <c r="AJ195" s="212"/>
      <c r="AK195" s="212"/>
      <c r="AL195" s="58"/>
      <c r="AM195" s="11"/>
      <c r="AN195" s="244"/>
      <c r="AO195" s="69" t="e">
        <f t="shared" ref="AO195" si="890">IF(AO193=0,"-",AO194/AO193)</f>
        <v>#REF!</v>
      </c>
      <c r="AP195" s="295"/>
      <c r="AQ195" s="105" t="e">
        <f t="shared" ref="AQ195:AR195" si="891">IF(AQ193=0,"-",AQ194/AQ193)</f>
        <v>#REF!</v>
      </c>
      <c r="AR195" s="9" t="e">
        <f t="shared" si="891"/>
        <v>#REF!</v>
      </c>
      <c r="AS195" s="105"/>
      <c r="AT195" s="212"/>
      <c r="AU195" s="221"/>
      <c r="AV195" s="11"/>
      <c r="AW195" s="11"/>
      <c r="AX195" s="244"/>
      <c r="AY195" s="69"/>
      <c r="AZ195" s="295"/>
      <c r="BA195" s="9" t="e">
        <f t="shared" ref="BA195" si="892">IF(BA193=0,"-",BA194/BA193)</f>
        <v>#REF!</v>
      </c>
      <c r="BB195" s="105"/>
      <c r="BC195" s="212"/>
      <c r="BD195" s="221"/>
      <c r="BE195" s="58"/>
      <c r="BF195" s="11"/>
      <c r="BG195" s="244"/>
      <c r="BH195" s="69" t="e">
        <f t="shared" ref="BH195:BI195" si="893">IF(BH193=0,"-",BH194/BH193)</f>
        <v>#REF!</v>
      </c>
      <c r="BI195" s="9" t="e">
        <f t="shared" si="893"/>
        <v>#REF!</v>
      </c>
      <c r="BJ195" s="9"/>
      <c r="BK195" s="212"/>
      <c r="BL195" s="221"/>
      <c r="BM195" s="2"/>
      <c r="BN195" s="232"/>
      <c r="BO195" s="232"/>
      <c r="BP195" s="2"/>
      <c r="BQ195" s="173"/>
      <c r="BR195" s="173"/>
      <c r="BS195" s="173"/>
      <c r="BT195" s="173"/>
      <c r="BU195" s="173"/>
      <c r="BV195" s="173"/>
      <c r="BW195" s="173"/>
      <c r="BX195" s="173"/>
      <c r="BY195" s="173"/>
      <c r="BZ195" s="173"/>
      <c r="CA195" s="173"/>
      <c r="CB195" s="173"/>
      <c r="CC195" s="69"/>
      <c r="CD195" s="203"/>
      <c r="CE195" s="11"/>
      <c r="CF195" s="69"/>
      <c r="CG195" s="135"/>
      <c r="CH195" s="149"/>
      <c r="CI195" s="58"/>
      <c r="CJ195" s="11"/>
      <c r="CK195" s="69"/>
      <c r="CL195" s="135"/>
      <c r="CM195" s="10"/>
    </row>
    <row r="196" spans="2:91" x14ac:dyDescent="0.2">
      <c r="B196" s="56"/>
      <c r="C196" s="70"/>
      <c r="D196" s="2"/>
      <c r="E196" s="58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89"/>
      <c r="R196" s="2"/>
      <c r="S196" s="58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58"/>
      <c r="AF196" s="296"/>
      <c r="AG196" s="106"/>
      <c r="AH196" s="106"/>
      <c r="AI196" s="106"/>
      <c r="AJ196" s="198"/>
      <c r="AK196" s="198"/>
      <c r="AL196" s="58"/>
      <c r="AM196" s="11"/>
      <c r="AN196" s="245"/>
      <c r="AO196" s="58"/>
      <c r="AP196" s="296"/>
      <c r="AQ196" s="106"/>
      <c r="AR196" s="71"/>
      <c r="AS196" s="106"/>
      <c r="AT196" s="198"/>
      <c r="AU196" s="225"/>
      <c r="AV196" s="11"/>
      <c r="AW196" s="11"/>
      <c r="AX196" s="245"/>
      <c r="AY196" s="58"/>
      <c r="AZ196" s="296"/>
      <c r="BA196" s="71"/>
      <c r="BB196" s="106"/>
      <c r="BC196" s="198"/>
      <c r="BD196" s="225"/>
      <c r="BE196" s="58"/>
      <c r="BF196" s="11"/>
      <c r="BG196" s="245"/>
      <c r="BH196" s="58"/>
      <c r="BI196" s="11"/>
      <c r="BJ196" s="11"/>
      <c r="BK196" s="198"/>
      <c r="BL196" s="225"/>
      <c r="BM196" s="2"/>
      <c r="BN196" s="233"/>
      <c r="BO196" s="233"/>
      <c r="BP196" s="2"/>
      <c r="BQ196" s="173"/>
      <c r="BR196" s="173"/>
      <c r="BS196" s="173"/>
      <c r="BT196" s="173"/>
      <c r="BU196" s="173"/>
      <c r="BV196" s="173"/>
      <c r="BW196" s="173"/>
      <c r="BX196" s="173"/>
      <c r="BY196" s="173"/>
      <c r="BZ196" s="173"/>
      <c r="CA196" s="173"/>
      <c r="CB196" s="173"/>
      <c r="CC196" s="133"/>
      <c r="CD196" s="208"/>
      <c r="CE196" s="11"/>
      <c r="CF196" s="133"/>
      <c r="CG196" s="125"/>
      <c r="CH196" s="70"/>
      <c r="CI196" s="58"/>
      <c r="CJ196" s="11"/>
      <c r="CK196" s="133"/>
      <c r="CL196" s="125"/>
      <c r="CM196" s="71"/>
    </row>
    <row r="197" spans="2:91" x14ac:dyDescent="0.2">
      <c r="B197" s="72"/>
      <c r="C197" s="73" t="s">
        <v>9</v>
      </c>
      <c r="D197" s="74"/>
      <c r="E197" s="97">
        <f>IF(ISERROR(VLOOKUP(CONCATENATE($B185,E$5),TBCHISTORIQUE,12,FALSE)/1000),0,VLOOKUP(CONCATENATE($B185,E$5),TBCHISTORIQUE,12,FALSE)/1000)</f>
        <v>0</v>
      </c>
      <c r="F197" s="171">
        <f t="shared" ref="F197:P197" si="894">IF(ISERROR(VLOOKUP(CONCATENATE($B$50,F$5),TBCHISTORIQUE,12,FALSE)/1000),0,VLOOKUP(CONCATENATE($B$50,F$5),TBCHISTORIQUE,12,FALSE)/1000)</f>
        <v>0</v>
      </c>
      <c r="G197" s="171">
        <f t="shared" si="894"/>
        <v>0</v>
      </c>
      <c r="H197" s="171">
        <f t="shared" si="894"/>
        <v>0</v>
      </c>
      <c r="I197" s="171">
        <f t="shared" si="894"/>
        <v>0</v>
      </c>
      <c r="J197" s="171">
        <f t="shared" si="894"/>
        <v>0</v>
      </c>
      <c r="K197" s="171">
        <f t="shared" si="894"/>
        <v>0</v>
      </c>
      <c r="L197" s="171">
        <f t="shared" si="894"/>
        <v>0</v>
      </c>
      <c r="M197" s="171">
        <f t="shared" si="894"/>
        <v>0</v>
      </c>
      <c r="N197" s="171">
        <f t="shared" si="894"/>
        <v>0</v>
      </c>
      <c r="O197" s="171">
        <f t="shared" si="894"/>
        <v>0</v>
      </c>
      <c r="P197" s="172">
        <f t="shared" si="894"/>
        <v>0</v>
      </c>
      <c r="Q197" s="190">
        <f>SUMIF($E$5:$P$5,"&lt;="&amp;mois,E197:P197)</f>
        <v>0</v>
      </c>
      <c r="R197" s="74"/>
      <c r="S197" s="97">
        <f t="shared" ref="S197:AD197" si="895">IF(ISERROR(VLOOKUP(CONCATENATE($B185,S$5),TBCA,12,FALSE)/1000),0,VLOOKUP(CONCATENATE($B185,S$5),TBCA,12,FALSE)/1000)</f>
        <v>0</v>
      </c>
      <c r="T197" s="171">
        <f t="shared" si="895"/>
        <v>0</v>
      </c>
      <c r="U197" s="171">
        <f t="shared" si="895"/>
        <v>0</v>
      </c>
      <c r="V197" s="171">
        <f t="shared" si="895"/>
        <v>0</v>
      </c>
      <c r="W197" s="171">
        <f t="shared" si="895"/>
        <v>0</v>
      </c>
      <c r="X197" s="171">
        <f t="shared" si="895"/>
        <v>0</v>
      </c>
      <c r="Y197" s="171">
        <f t="shared" si="895"/>
        <v>0</v>
      </c>
      <c r="Z197" s="171">
        <f t="shared" si="895"/>
        <v>0</v>
      </c>
      <c r="AA197" s="171">
        <f t="shared" si="895"/>
        <v>0</v>
      </c>
      <c r="AB197" s="171">
        <f t="shared" si="895"/>
        <v>0</v>
      </c>
      <c r="AC197" s="171">
        <f t="shared" si="895"/>
        <v>0</v>
      </c>
      <c r="AD197" s="172">
        <f t="shared" si="895"/>
        <v>0</v>
      </c>
      <c r="AE197" s="97">
        <f>SUMIF($S$5:$AD$5,"&lt;="&amp;mois,S197:AD197)</f>
        <v>0</v>
      </c>
      <c r="AF197" s="292"/>
      <c r="AG197" s="107">
        <f>AE197-AF197</f>
        <v>0</v>
      </c>
      <c r="AH197" s="107" t="e">
        <f>IF(EXCERCICE="PA",AE197-($CC197/12*(mois)),IF(EXCERCICE="LB1",AE197-($CF197/12*(mois)),AE197-($CK197/12*(mois))))</f>
        <v>#REF!</v>
      </c>
      <c r="AI197" s="107"/>
      <c r="AJ197" s="215">
        <f>IF(ISERROR(IF(EXCERCICE="PA",AE197/$CC197,IF(EXCERCICE="LB1",AE197/$CF197,AE197/$CK197))),0,IF(EXCERCICE="PA",AE197/$CC197,IF(EXCERCICE="LB1",AE197/$CF197,AE197/$CK197)))</f>
        <v>0</v>
      </c>
      <c r="AK197" s="215"/>
      <c r="AL197" s="75"/>
      <c r="AM197" s="77"/>
      <c r="AN197" s="246"/>
      <c r="AO197" s="97" t="e">
        <f>IF(mois+1&gt;12,AN197,+$AE197+AN197)</f>
        <v>#REF!</v>
      </c>
      <c r="AP197" s="292"/>
      <c r="AQ197" s="107" t="e">
        <f>AO197-AP197</f>
        <v>#REF!</v>
      </c>
      <c r="AR197" s="78" t="e">
        <f>IF(mois+1&gt;12,0,IF(mois=12,IF(EXCERCICE="PA",AO197-($CC197/12),IF(EXCERCICE="LB1",AO197-($CF197/12),AO197-($CK197/12))),IF(EXCERCICE="PA",AO197-($CC197/12*(mois+1)),IF(EXCERCICE="LB1",AO197-($CF197/12*(mois+1)),AO197-($CK197/12*(mois+1))))))</f>
        <v>#REF!</v>
      </c>
      <c r="AS197" s="180"/>
      <c r="AT197" s="215" t="e">
        <f>IF(mois+1&gt;12,0,IF(ISERROR(IF(EXCERCICE="PA",AO197/$CC197,IF(EXCERCICE="LB1",AO197/$CF197,AO197/$CK197))),0,IF(EXCERCICE="PA",AO197/$CC197,IF(EXCERCICE="LB1",AO197/$CF197,AO197/$CK197))))</f>
        <v>#REF!</v>
      </c>
      <c r="AU197" s="226"/>
      <c r="AV197" s="11"/>
      <c r="AW197" s="77"/>
      <c r="AX197" s="246"/>
      <c r="AY197" s="97"/>
      <c r="AZ197" s="292"/>
      <c r="BA197" s="78" t="e">
        <f>IF(mois+2&gt;12,0,IF(mois=12,IF(EXCERCICE="PA",AY197-($CC197/12),IF(EXCERCICE="LB1",AY197-($CF197/12),AY197-($CK197/12))),IF(EXCERCICE="PA",AY197-($CC197/12*(mois+2)),IF(EXCERCICE="LB1",AY197-($CF197/12*(mois+2)),AY197-($CK197/12*(mois+2))))))</f>
        <v>#REF!</v>
      </c>
      <c r="BB197" s="180"/>
      <c r="BC197" s="215" t="e">
        <f>IF(mois+2&gt;12,0,IF(ISERROR(IF(EXCERCICE="PA",AY197/$CC197,IF(EXCERCICE="LB1",AY197/$CF197,AY197/$CK197))),0,IF(EXCERCICE="PA",AY197/$CC197,IF(EXCERCICE="LB1",AY197/$CF197,AY197/$CK197))))</f>
        <v>#REF!</v>
      </c>
      <c r="BD197" s="226"/>
      <c r="BE197" s="75"/>
      <c r="BF197" s="77"/>
      <c r="BG197" s="246"/>
      <c r="BH197" s="97" t="e">
        <f>IF(mois+3=13,BG197,IF(mois+3&gt;15,BG197,+$AY197+BG197))</f>
        <v>#REF!</v>
      </c>
      <c r="BI197" s="78" t="e">
        <f>IF(mois+3&gt;12,0,IF(mois=12,IF(EXCERCICE="PA",BH197-($CC197/12),IF(EXCERCICE="LB1",BH197-($CF197/12),BH197-($CK197/12))),IF(EXCERCICE="PA",BH197-($CC197/12*(mois+3)),IF(EXCERCICE="LB1",BH197-($CF197/12*(mois+3)),BH197-($CK197/12*(mois+3))))))</f>
        <v>#REF!</v>
      </c>
      <c r="BJ197" s="78"/>
      <c r="BK197" s="215" t="e">
        <f>IF(mois+3&gt;12,0,IF(ISERROR(IF(EXCERCICE="PA",BH197/$CC197,IF(EXCERCICE="LB1",BH197/$CF197,BH197/$CK197))),0,IF(EXCERCICE="PA",BH197/$CC197,IF(EXCERCICE="LB1",BH197/$CF197,BH197/$CK197))))</f>
        <v>#REF!</v>
      </c>
      <c r="BL197" s="226"/>
      <c r="BM197" s="2"/>
      <c r="BN197" s="123" t="e">
        <f>IF(mois&gt;=12,IF(EXCERCICE="PA",CC197-AE197,IF(EXCERCICE="LB1",CF197-AE197,IF(EXCERCICE="LB2",$CK197-AE197))),
IF(mois+1&lt;=13,IF(EXCERCICE="PA",CC197-AO197,IF(EXCERCICE="LB1",CF197-AO197,IF(EXCERCICE="LB2",$CK197-AO197))),
IF(mois+2&lt;=14,IF(EXCERCICE="PA",CC197-AY197,IF(EXCERCICE="LB1",CF197-AY197,IF(EXCERCICE="LB2",$CK197-AY197))),
IF(mois+3&lt;=15,IF(EXCERCICE="PA",CC197-BH197,IF(EXCERCICE="LB1",CF197-BH197,IF(EXCERCICE="LB2",$CK197-BH197))),0))))</f>
        <v>#REF!</v>
      </c>
      <c r="BO197" s="123" t="e">
        <f>IF(BN197&lt;0,0,BN197/(12-mois))</f>
        <v>#REF!</v>
      </c>
      <c r="BP197" s="2"/>
      <c r="BQ197" s="173"/>
      <c r="BR197" s="173"/>
      <c r="BS197" s="173"/>
      <c r="BT197" s="173"/>
      <c r="BU197" s="173"/>
      <c r="BV197" s="173"/>
      <c r="BW197" s="173"/>
      <c r="BX197" s="173"/>
      <c r="BY197" s="173"/>
      <c r="BZ197" s="173"/>
      <c r="CA197" s="173"/>
      <c r="CB197" s="173"/>
      <c r="CC197" s="97"/>
      <c r="CD197" s="209"/>
      <c r="CE197" s="77"/>
      <c r="CF197" s="97"/>
      <c r="CG197" s="136"/>
      <c r="CH197" s="76"/>
      <c r="CI197" s="75"/>
      <c r="CJ197" s="77"/>
      <c r="CK197" s="97"/>
      <c r="CL197" s="136"/>
      <c r="CM197" s="78"/>
    </row>
    <row r="198" spans="2:91" x14ac:dyDescent="0.2">
      <c r="B198" s="72"/>
      <c r="C198" s="73" t="s">
        <v>10</v>
      </c>
      <c r="D198" s="74"/>
      <c r="E198" s="97">
        <f>IF(ISERROR(VLOOKUP(CONCATENATE($B185,E$5),TBCHISTORIQUE,13,FALSE)/1000),0,VLOOKUP(CONCATENATE($B185,E$5),TBCHISTORIQUE,13,FALSE)/1000)</f>
        <v>0</v>
      </c>
      <c r="F198" s="171">
        <f t="shared" ref="F198:P198" si="896">IF(ISERROR(VLOOKUP(CONCATENATE($B$50,F$5),TBCHISTORIQUE,13,FALSE)/1000),0,VLOOKUP(CONCATENATE($B$50,F$5),TBCHISTORIQUE,13,FALSE)/1000)</f>
        <v>0</v>
      </c>
      <c r="G198" s="171">
        <f t="shared" si="896"/>
        <v>0</v>
      </c>
      <c r="H198" s="171">
        <f t="shared" si="896"/>
        <v>0</v>
      </c>
      <c r="I198" s="171">
        <f t="shared" si="896"/>
        <v>0</v>
      </c>
      <c r="J198" s="171">
        <f t="shared" si="896"/>
        <v>0</v>
      </c>
      <c r="K198" s="171">
        <f t="shared" si="896"/>
        <v>0</v>
      </c>
      <c r="L198" s="171">
        <f t="shared" si="896"/>
        <v>0</v>
      </c>
      <c r="M198" s="171">
        <f t="shared" si="896"/>
        <v>0</v>
      </c>
      <c r="N198" s="171">
        <f t="shared" si="896"/>
        <v>0</v>
      </c>
      <c r="O198" s="171">
        <f t="shared" si="896"/>
        <v>0</v>
      </c>
      <c r="P198" s="172">
        <f t="shared" si="896"/>
        <v>0</v>
      </c>
      <c r="Q198" s="190">
        <f>SUMIF($E$5:$P$5,"&lt;="&amp;mois,E198:P198)</f>
        <v>0</v>
      </c>
      <c r="R198" s="74"/>
      <c r="S198" s="97">
        <f t="shared" ref="S198:AD198" si="897">IF(ISERROR(VLOOKUP(CONCATENATE($B185,S$5),TBCA,13,FALSE)/1000),0,VLOOKUP(CONCATENATE($B185,S$5),TBCA,13,FALSE)/1000)</f>
        <v>0</v>
      </c>
      <c r="T198" s="171">
        <f t="shared" si="897"/>
        <v>0</v>
      </c>
      <c r="U198" s="171">
        <f t="shared" si="897"/>
        <v>0</v>
      </c>
      <c r="V198" s="171">
        <f t="shared" si="897"/>
        <v>0</v>
      </c>
      <c r="W198" s="171">
        <f t="shared" si="897"/>
        <v>0</v>
      </c>
      <c r="X198" s="171">
        <f t="shared" si="897"/>
        <v>0</v>
      </c>
      <c r="Y198" s="171">
        <f t="shared" si="897"/>
        <v>0</v>
      </c>
      <c r="Z198" s="171">
        <f t="shared" si="897"/>
        <v>0</v>
      </c>
      <c r="AA198" s="171">
        <f t="shared" si="897"/>
        <v>0</v>
      </c>
      <c r="AB198" s="171">
        <f t="shared" si="897"/>
        <v>0</v>
      </c>
      <c r="AC198" s="171">
        <f t="shared" si="897"/>
        <v>0</v>
      </c>
      <c r="AD198" s="172">
        <f t="shared" si="897"/>
        <v>0</v>
      </c>
      <c r="AE198" s="97">
        <f>SUMIF($S$5:$AD$5,"&lt;="&amp;mois,S198:AD198)</f>
        <v>0</v>
      </c>
      <c r="AF198" s="292"/>
      <c r="AG198" s="107">
        <f>AE198-AF198</f>
        <v>0</v>
      </c>
      <c r="AH198" s="107" t="e">
        <f>IF(EXCERCICE="PA",AE198-($CC198/12*(mois)),IF(EXCERCICE="LB1",AE198-($CF198/12*(mois)),AE198-($CK198/12*(mois))))</f>
        <v>#REF!</v>
      </c>
      <c r="AI198" s="107"/>
      <c r="AJ198" s="215">
        <f>IF(ISERROR(IF(EXCERCICE="PA",AE198/$CC198,IF(EXCERCICE="LB1",AE198/$CF198,AE198/$CK198))),0,IF(EXCERCICE="PA",AE198/$CC198,IF(EXCERCICE="LB1",AE198/$CF198,AE198/$CK198)))</f>
        <v>0</v>
      </c>
      <c r="AK198" s="215"/>
      <c r="AL198" s="75"/>
      <c r="AM198" s="77"/>
      <c r="AN198" s="246"/>
      <c r="AO198" s="97" t="e">
        <f>IF(mois+1&gt;12,AN198,+$AE198+AN198)</f>
        <v>#REF!</v>
      </c>
      <c r="AP198" s="292"/>
      <c r="AQ198" s="107" t="e">
        <f>AO198-AP198</f>
        <v>#REF!</v>
      </c>
      <c r="AR198" s="78" t="e">
        <f>IF(mois+1&gt;12,0,IF(mois=12,IF(EXCERCICE="PA",AO198-($CC198/12),IF(EXCERCICE="LB1",AO198-($CF198/12),AO198-($CK198/12))),IF(EXCERCICE="PA",AO198-($CC198/12*(mois+1)),IF(EXCERCICE="LB1",AO198-($CF198/12*(mois+1)),AO198-($CK198/12*(mois+1))))))</f>
        <v>#REF!</v>
      </c>
      <c r="AS198" s="180"/>
      <c r="AT198" s="215" t="e">
        <f>IF(mois+1&gt;12,0,IF(ISERROR(IF(EXCERCICE="PA",AO198/$CC198,IF(EXCERCICE="LB1",AO198/$CF198,AO198/$CK198))),0,IF(EXCERCICE="PA",AO198/$CC198,IF(EXCERCICE="LB1",AO198/$CF198,AO198/$CK198))))</f>
        <v>#REF!</v>
      </c>
      <c r="AU198" s="226"/>
      <c r="AV198" s="11"/>
      <c r="AW198" s="77"/>
      <c r="AX198" s="246"/>
      <c r="AY198" s="97"/>
      <c r="AZ198" s="292"/>
      <c r="BA198" s="78" t="e">
        <f>IF(mois+2&gt;12,0,IF(mois=12,IF(EXCERCICE="PA",AY198-($CC198/12),IF(EXCERCICE="LB1",AY198-($CF198/12),AY198-($CK198/12))),IF(EXCERCICE="PA",AY198-($CC198/12*(mois+2)),IF(EXCERCICE="LB1",AY198-($CF198/12*(mois+2)),AY198-($CK198/12*(mois+2))))))</f>
        <v>#REF!</v>
      </c>
      <c r="BB198" s="180"/>
      <c r="BC198" s="215" t="e">
        <f>IF(mois+2&gt;12,0,IF(ISERROR(IF(EXCERCICE="PA",AY198/$CC198,IF(EXCERCICE="LB1",AY198/$CF198,AY198/$CK198))),0,IF(EXCERCICE="PA",AY198/$CC198,IF(EXCERCICE="LB1",AY198/$CF198,AY198/$CK198))))</f>
        <v>#REF!</v>
      </c>
      <c r="BD198" s="226"/>
      <c r="BE198" s="75"/>
      <c r="BF198" s="77"/>
      <c r="BG198" s="246"/>
      <c r="BH198" s="97" t="e">
        <f>IF(mois+3=13,BG198,IF(mois+3&gt;15,BG198,+$AY198+BG198))</f>
        <v>#REF!</v>
      </c>
      <c r="BI198" s="78" t="e">
        <f>IF(mois+3&gt;12,0,IF(mois=12,IF(EXCERCICE="PA",BH198-($CC198/12),IF(EXCERCICE="LB1",BH198-($CF198/12),BH198-($CK198/12))),IF(EXCERCICE="PA",BH198-($CC198/12*(mois+3)),IF(EXCERCICE="LB1",BH198-($CF198/12*(mois+3)),BH198-($CK198/12*(mois+3))))))</f>
        <v>#REF!</v>
      </c>
      <c r="BJ198" s="78"/>
      <c r="BK198" s="215" t="e">
        <f>IF(mois+3&gt;12,0,IF(ISERROR(IF(EXCERCICE="PA",BH198/$CC198,IF(EXCERCICE="LB1",BH198/$CF198,BH198/$CK198))),0,IF(EXCERCICE="PA",BH198/$CC198,IF(EXCERCICE="LB1",BH198/$CF198,BH198/$CK198))))</f>
        <v>#REF!</v>
      </c>
      <c r="BL198" s="226"/>
      <c r="BM198" s="2"/>
      <c r="BN198" s="123" t="e">
        <f>IF(mois&gt;=12,IF(EXCERCICE="PA",CC198-AE198,IF(EXCERCICE="LB1",CF198-AE198,IF(EXCERCICE="LB2",$CK198-AE198))),
IF(mois+1&lt;=13,IF(EXCERCICE="PA",CC198-AO198,IF(EXCERCICE="LB1",CF198-AO198,IF(EXCERCICE="LB2",$CK198-AO198))),
IF(mois+2&lt;=14,IF(EXCERCICE="PA",CC198-AY198,IF(EXCERCICE="LB1",CF198-AY198,IF(EXCERCICE="LB2",$CK198-AY198))),
IF(mois+3&lt;=15,IF(EXCERCICE="PA",CC198-BH198,IF(EXCERCICE="LB1",CF198-BH198,IF(EXCERCICE="LB2",$CK198-BH198))),0))))</f>
        <v>#REF!</v>
      </c>
      <c r="BO198" s="123" t="e">
        <f>IF(BN198&lt;0,0,BN198/(12-mois))</f>
        <v>#REF!</v>
      </c>
      <c r="BP198" s="2"/>
      <c r="BQ198" s="173"/>
      <c r="BR198" s="173"/>
      <c r="BS198" s="173"/>
      <c r="BT198" s="173"/>
      <c r="BU198" s="173"/>
      <c r="BV198" s="173"/>
      <c r="BW198" s="173"/>
      <c r="BX198" s="173"/>
      <c r="BY198" s="173"/>
      <c r="BZ198" s="173"/>
      <c r="CA198" s="173"/>
      <c r="CB198" s="173"/>
      <c r="CC198" s="97"/>
      <c r="CD198" s="209"/>
      <c r="CE198" s="77"/>
      <c r="CF198" s="97"/>
      <c r="CG198" s="136"/>
      <c r="CH198" s="76"/>
      <c r="CI198" s="75"/>
      <c r="CJ198" s="77"/>
      <c r="CK198" s="97"/>
      <c r="CL198" s="136"/>
      <c r="CM198" s="78"/>
    </row>
    <row r="199" spans="2:91" x14ac:dyDescent="0.2">
      <c r="B199" s="56"/>
      <c r="C199" s="79" t="s">
        <v>64</v>
      </c>
      <c r="D199" s="51"/>
      <c r="E199" s="98">
        <f>E194+SUM(E197:E198)</f>
        <v>0</v>
      </c>
      <c r="F199" s="14">
        <f t="shared" ref="F199" si="898">F194+SUM(F197:F198)</f>
        <v>0</v>
      </c>
      <c r="G199" s="14">
        <f t="shared" ref="G199" si="899">G194+SUM(G197:G198)</f>
        <v>0</v>
      </c>
      <c r="H199" s="14">
        <f t="shared" ref="H199" si="900">H194+SUM(H197:H198)</f>
        <v>0</v>
      </c>
      <c r="I199" s="14">
        <f t="shared" ref="I199" si="901">I194+SUM(I197:I198)</f>
        <v>0</v>
      </c>
      <c r="J199" s="14">
        <f t="shared" ref="J199" si="902">J194+SUM(J197:J198)</f>
        <v>0</v>
      </c>
      <c r="K199" s="14">
        <f t="shared" ref="K199" si="903">K194+SUM(K197:K198)</f>
        <v>0</v>
      </c>
      <c r="L199" s="14">
        <f t="shared" ref="L199" si="904">L194+SUM(L197:L198)</f>
        <v>0</v>
      </c>
      <c r="M199" s="14">
        <f t="shared" ref="M199" si="905">M194+SUM(M197:M198)</f>
        <v>0</v>
      </c>
      <c r="N199" s="14">
        <f t="shared" ref="N199" si="906">N194+SUM(N197:N198)</f>
        <v>0</v>
      </c>
      <c r="O199" s="14">
        <f t="shared" ref="O199" si="907">O194+SUM(O197:O198)</f>
        <v>0</v>
      </c>
      <c r="P199" s="14">
        <f t="shared" ref="P199" si="908">P194+SUM(P197:P198)</f>
        <v>0</v>
      </c>
      <c r="Q199" s="191">
        <f>Q194+SUM(Q197:Q198)</f>
        <v>0</v>
      </c>
      <c r="R199" s="51"/>
      <c r="S199" s="98">
        <f>S194+SUM(S197:S198)</f>
        <v>0</v>
      </c>
      <c r="T199" s="14">
        <f t="shared" ref="T199" si="909">T194+SUM(T197:T198)</f>
        <v>0</v>
      </c>
      <c r="U199" s="14">
        <f t="shared" ref="U199" si="910">U194+SUM(U197:U198)</f>
        <v>0</v>
      </c>
      <c r="V199" s="14">
        <f t="shared" ref="V199" si="911">V194+SUM(V197:V198)</f>
        <v>0</v>
      </c>
      <c r="W199" s="14">
        <f t="shared" ref="W199" si="912">W194+SUM(W197:W198)</f>
        <v>0</v>
      </c>
      <c r="X199" s="14">
        <f t="shared" ref="X199" si="913">X194+SUM(X197:X198)</f>
        <v>0</v>
      </c>
      <c r="Y199" s="14">
        <f t="shared" ref="Y199" si="914">Y194+SUM(Y197:Y198)</f>
        <v>0</v>
      </c>
      <c r="Z199" s="14">
        <f t="shared" ref="Z199" si="915">Z194+SUM(Z197:Z198)</f>
        <v>0</v>
      </c>
      <c r="AA199" s="14">
        <f t="shared" ref="AA199" si="916">AA194+SUM(AA197:AA198)</f>
        <v>0</v>
      </c>
      <c r="AB199" s="14">
        <f t="shared" ref="AB199" si="917">AB194+SUM(AB197:AB198)</f>
        <v>0</v>
      </c>
      <c r="AC199" s="14">
        <f t="shared" ref="AC199" si="918">AC194+SUM(AC197:AC198)</f>
        <v>0</v>
      </c>
      <c r="AD199" s="14">
        <f t="shared" ref="AD199" si="919">AD194+SUM(AD197:AD198)</f>
        <v>0</v>
      </c>
      <c r="AE199" s="98">
        <f>AE194+SUM(AE197:AE198)</f>
        <v>0</v>
      </c>
      <c r="AF199" s="297"/>
      <c r="AG199" s="108">
        <f>AE199-AF199</f>
        <v>0</v>
      </c>
      <c r="AH199" s="108" t="e">
        <f>IF(EXCERCICE="PA",AE199-($CC199/12*(mois)),IF(EXCERCICE="LB1",AE199-($CF199/12*(mois)),AE199-($CK199/12*(mois))))</f>
        <v>#REF!</v>
      </c>
      <c r="AI199" s="108"/>
      <c r="AJ199" s="201">
        <f>IF(ISERROR(IF(EXCERCICE="PA",AE199/$CC199,IF(EXCERCICE="LB1",AE199/$CF199,AE199/$CK199))),0,IF(EXCERCICE="PA",AE199/$CC199,IF(EXCERCICE="LB1",AE199/$CF199,AE199/$CK199)))</f>
        <v>0</v>
      </c>
      <c r="AK199" s="201"/>
      <c r="AL199" s="52"/>
      <c r="AM199" s="54"/>
      <c r="AN199" s="247"/>
      <c r="AO199" s="98" t="e">
        <f>AO194+SUM(AO197:AO198)</f>
        <v>#REF!</v>
      </c>
      <c r="AP199" s="297"/>
      <c r="AQ199" s="108" t="e">
        <f>AO199-AP199</f>
        <v>#REF!</v>
      </c>
      <c r="AR199" s="14" t="e">
        <f>AR194+SUM(AR197:AR198)</f>
        <v>#REF!</v>
      </c>
      <c r="AS199" s="108"/>
      <c r="AT199" s="201" t="e">
        <f>IF(mois+1&gt;12,0,IF(ISERROR(IF(EXCERCICE="PA",AO199/$CC199,IF(EXCERCICE="LB1",AO199/$CF199,AO199/$CK199))),0,IF(EXCERCICE="PA",AO199/$CC199,IF(EXCERCICE="LB1",AO199/$CF199,AO199/$CK199))))</f>
        <v>#REF!</v>
      </c>
      <c r="AU199" s="227"/>
      <c r="AV199" s="11"/>
      <c r="AW199" s="54"/>
      <c r="AX199" s="247"/>
      <c r="AY199" s="98"/>
      <c r="AZ199" s="297"/>
      <c r="BA199" s="14" t="e">
        <f>BA194+SUM(BA197:BA198)</f>
        <v>#REF!</v>
      </c>
      <c r="BB199" s="108"/>
      <c r="BC199" s="201" t="e">
        <f>IF(mois+2&gt;12,0,IF(ISERROR(IF(EXCERCICE="PA",AY199/$CC199,IF(EXCERCICE="LB1",AY199/$CF199,AY199/$CK199))),0,IF(EXCERCICE="PA",AY199/$CC199,IF(EXCERCICE="LB1",AY199/$CF199,AY199/$CK199))))</f>
        <v>#REF!</v>
      </c>
      <c r="BD199" s="227"/>
      <c r="BE199" s="52"/>
      <c r="BF199" s="54"/>
      <c r="BG199" s="247"/>
      <c r="BH199" s="98" t="e">
        <f>BH194+SUM(BH197:BH198)</f>
        <v>#REF!</v>
      </c>
      <c r="BI199" s="14" t="e">
        <f>BI194+SUM(BI197:BI198)</f>
        <v>#REF!</v>
      </c>
      <c r="BJ199" s="14"/>
      <c r="BK199" s="201" t="e">
        <f>IF(mois+3&gt;12,0,IF(ISERROR(IF(EXCERCICE="PA",BH199/$CC199,IF(EXCERCICE="LB1",BH199/$CF199,BH199/$CK199))),0,IF(EXCERCICE="PA",BH199/$CC199,IF(EXCERCICE="LB1",BH199/$CF199,BH199/$CK199))))</f>
        <v>#REF!</v>
      </c>
      <c r="BL199" s="227"/>
      <c r="BM199" s="2"/>
      <c r="BN199" s="235" t="e">
        <f>IF(mois&gt;=12,IF(EXCERCICE="PA",CC199-AE199,IF(EXCERCICE="LB1",CF199-AE199,IF(EXCERCICE="LB2",$CK199-AE199))),
IF(mois+1&lt;=13,IF(EXCERCICE="PA",CC199-AO199,IF(EXCERCICE="LB1",CF199-AO199,IF(EXCERCICE="LB2",$CK199-AO199))),
IF(mois+2&lt;=14,IF(EXCERCICE="PA",CC199-AY199,IF(EXCERCICE="LB1",CF199-AY199,IF(EXCERCICE="LB2",$CK199-AY199))),
IF(mois+3&lt;=15,IF(EXCERCICE="PA",CC199-BH199,IF(EXCERCICE="LB1",CF199-BH199,IF(EXCERCICE="LB2",$CK199-BH199))),0))))</f>
        <v>#REF!</v>
      </c>
      <c r="BO199" s="235" t="e">
        <f>IF(BN199&lt;0,0,BN199/(12-mois))</f>
        <v>#REF!</v>
      </c>
      <c r="BP199" s="2"/>
      <c r="BQ199" s="173"/>
      <c r="BR199" s="173"/>
      <c r="BS199" s="173"/>
      <c r="BT199" s="173"/>
      <c r="BU199" s="173"/>
      <c r="BV199" s="173"/>
      <c r="BW199" s="173"/>
      <c r="BX199" s="173"/>
      <c r="BY199" s="173"/>
      <c r="BZ199" s="173"/>
      <c r="CA199" s="173"/>
      <c r="CB199" s="173"/>
      <c r="CC199" s="98"/>
      <c r="CD199" s="210"/>
      <c r="CE199" s="54"/>
      <c r="CF199" s="98"/>
      <c r="CG199" s="127"/>
      <c r="CH199" s="80"/>
      <c r="CI199" s="52"/>
      <c r="CJ199" s="54"/>
      <c r="CK199" s="98"/>
      <c r="CL199" s="127"/>
      <c r="CM199" s="14"/>
    </row>
    <row r="200" spans="2:91" x14ac:dyDescent="0.2">
      <c r="B200" s="60"/>
      <c r="C200" s="257" t="s">
        <v>65</v>
      </c>
      <c r="E200" s="61" t="str">
        <f>IF(E193=0,"-",E199/E193)</f>
        <v>-</v>
      </c>
      <c r="F200" s="7" t="str">
        <f t="shared" ref="F200" si="920">IF(F193=0,"-",F199/F193)</f>
        <v>-</v>
      </c>
      <c r="G200" s="7" t="str">
        <f t="shared" ref="G200" si="921">IF(G193=0,"-",G199/G193)</f>
        <v>-</v>
      </c>
      <c r="H200" s="7" t="str">
        <f t="shared" ref="H200" si="922">IF(H193=0,"-",H199/H193)</f>
        <v>-</v>
      </c>
      <c r="I200" s="7" t="str">
        <f t="shared" ref="I200" si="923">IF(I193=0,"-",I199/I193)</f>
        <v>-</v>
      </c>
      <c r="J200" s="7" t="str">
        <f t="shared" ref="J200" si="924">IF(J193=0,"-",J199/J193)</f>
        <v>-</v>
      </c>
      <c r="K200" s="7" t="str">
        <f t="shared" ref="K200" si="925">IF(K193=0,"-",K199/K193)</f>
        <v>-</v>
      </c>
      <c r="L200" s="7" t="str">
        <f t="shared" ref="L200" si="926">IF(L193=0,"-",L199/L193)</f>
        <v>-</v>
      </c>
      <c r="M200" s="7" t="str">
        <f t="shared" ref="M200" si="927">IF(M193=0,"-",M199/M193)</f>
        <v>-</v>
      </c>
      <c r="N200" s="7" t="str">
        <f t="shared" ref="N200" si="928">IF(N193=0,"-",N199/N193)</f>
        <v>-</v>
      </c>
      <c r="O200" s="7" t="str">
        <f t="shared" ref="O200" si="929">IF(O193=0,"-",O199/O193)</f>
        <v>-</v>
      </c>
      <c r="P200" s="7" t="str">
        <f t="shared" ref="P200" si="930">IF(P193=0,"-",P199/P193)</f>
        <v>-</v>
      </c>
      <c r="Q200" s="186" t="str">
        <f t="shared" ref="Q200" si="931">IF(Q193=0,"-",Q199/Q193)</f>
        <v>-</v>
      </c>
      <c r="S200" s="61" t="str">
        <f>IF(S193=0,"-",S199/S193)</f>
        <v>-</v>
      </c>
      <c r="T200" s="7" t="str">
        <f t="shared" ref="T200" si="932">IF(T193=0,"-",T199/T193)</f>
        <v>-</v>
      </c>
      <c r="U200" s="7" t="str">
        <f t="shared" ref="U200" si="933">IF(U193=0,"-",U199/U193)</f>
        <v>-</v>
      </c>
      <c r="V200" s="7" t="str">
        <f t="shared" ref="V200" si="934">IF(V193=0,"-",V199/V193)</f>
        <v>-</v>
      </c>
      <c r="W200" s="7" t="str">
        <f t="shared" ref="W200" si="935">IF(W193=0,"-",W199/W193)</f>
        <v>-</v>
      </c>
      <c r="X200" s="7" t="str">
        <f t="shared" ref="X200" si="936">IF(X193=0,"-",X199/X193)</f>
        <v>-</v>
      </c>
      <c r="Y200" s="7" t="str">
        <f t="shared" ref="Y200" si="937">IF(Y193=0,"-",Y199/Y193)</f>
        <v>-</v>
      </c>
      <c r="Z200" s="7" t="str">
        <f t="shared" ref="Z200" si="938">IF(Z193=0,"-",Z199/Z193)</f>
        <v>-</v>
      </c>
      <c r="AA200" s="7" t="str">
        <f t="shared" ref="AA200" si="939">IF(AA193=0,"-",AA199/AA193)</f>
        <v>-</v>
      </c>
      <c r="AB200" s="7" t="str">
        <f t="shared" ref="AB200" si="940">IF(AB193=0,"-",AB199/AB193)</f>
        <v>-</v>
      </c>
      <c r="AC200" s="7" t="str">
        <f t="shared" ref="AC200" si="941">IF(AC193=0,"-",AC199/AC193)</f>
        <v>-</v>
      </c>
      <c r="AD200" s="62" t="str">
        <f t="shared" ref="AD200:AE200" si="942">IF(AD193=0,"-",AD199/AD193)</f>
        <v>-</v>
      </c>
      <c r="AE200" s="61" t="str">
        <f t="shared" si="942"/>
        <v>-</v>
      </c>
      <c r="AF200" s="293"/>
      <c r="AG200" s="103" t="str">
        <f t="shared" ref="AG200:AH200" si="943">IF(AG193=0,"-",AG199/AG193)</f>
        <v>-</v>
      </c>
      <c r="AH200" s="103" t="e">
        <f t="shared" si="943"/>
        <v>#REF!</v>
      </c>
      <c r="AI200" s="103"/>
      <c r="AJ200" s="197"/>
      <c r="AK200" s="197"/>
      <c r="AL200" s="58"/>
      <c r="AM200" s="11"/>
      <c r="AN200" s="249"/>
      <c r="AO200" s="61" t="e">
        <f t="shared" ref="AO200" si="944">IF(AO193=0,"-",AO199/AO193)</f>
        <v>#REF!</v>
      </c>
      <c r="AP200" s="293"/>
      <c r="AQ200" s="103" t="e">
        <f t="shared" ref="AQ200" si="945">IF(AQ193=0,"-",AQ199/AQ193)</f>
        <v>#REF!</v>
      </c>
      <c r="AR200" s="7"/>
      <c r="AS200" s="103"/>
      <c r="AT200" s="197"/>
      <c r="AU200" s="222"/>
      <c r="AV200" s="11"/>
      <c r="AW200" s="11"/>
      <c r="AX200" s="249"/>
      <c r="AY200" s="61"/>
      <c r="AZ200" s="293"/>
      <c r="BA200" s="7" t="e">
        <f t="shared" ref="BA200" si="946">IF(BA193=0,"-",BA199/BA193)</f>
        <v>#REF!</v>
      </c>
      <c r="BB200" s="103"/>
      <c r="BC200" s="197"/>
      <c r="BD200" s="222"/>
      <c r="BE200" s="58"/>
      <c r="BF200" s="11"/>
      <c r="BG200" s="249"/>
      <c r="BH200" s="61" t="e">
        <f t="shared" ref="BH200:BI200" si="947">IF(BH193=0,"-",BH199/BH193)</f>
        <v>#REF!</v>
      </c>
      <c r="BI200" s="7" t="e">
        <f t="shared" si="947"/>
        <v>#REF!</v>
      </c>
      <c r="BJ200" s="7"/>
      <c r="BK200" s="197"/>
      <c r="BL200" s="222"/>
      <c r="BM200" s="2"/>
      <c r="BN200" s="63"/>
      <c r="BO200" s="63"/>
      <c r="BP200" s="2"/>
      <c r="BQ200" s="173"/>
      <c r="BR200" s="173"/>
      <c r="BS200" s="173"/>
      <c r="BT200" s="173"/>
      <c r="BU200" s="173"/>
      <c r="BV200" s="173"/>
      <c r="BW200" s="173"/>
      <c r="BX200" s="173"/>
      <c r="BY200" s="173"/>
      <c r="BZ200" s="173"/>
      <c r="CA200" s="173"/>
      <c r="CB200" s="173"/>
      <c r="CC200" s="61"/>
      <c r="CD200" s="204"/>
      <c r="CE200" s="11"/>
      <c r="CF200" s="61"/>
      <c r="CG200" s="134"/>
      <c r="CH200" s="61"/>
      <c r="CI200" s="58"/>
      <c r="CJ200" s="11"/>
      <c r="CK200" s="61"/>
      <c r="CL200" s="134"/>
      <c r="CM200" s="145"/>
    </row>
    <row r="201" spans="2:91" x14ac:dyDescent="0.2">
      <c r="AE201" s="2"/>
    </row>
    <row r="202" spans="2:91" x14ac:dyDescent="0.2">
      <c r="AE202" s="2"/>
    </row>
    <row r="203" spans="2:91" x14ac:dyDescent="0.2">
      <c r="AE203" s="2"/>
    </row>
    <row r="204" spans="2:91" x14ac:dyDescent="0.2">
      <c r="AE204" s="2"/>
    </row>
    <row r="205" spans="2:91" x14ac:dyDescent="0.2">
      <c r="B205" s="258" t="s">
        <v>88</v>
      </c>
      <c r="C205" s="259"/>
      <c r="AE205" s="2"/>
    </row>
    <row r="206" spans="2:91" x14ac:dyDescent="0.2">
      <c r="AE206" s="2"/>
    </row>
    <row r="207" spans="2:91" x14ac:dyDescent="0.2">
      <c r="B207" s="49"/>
      <c r="C207" s="50" t="s">
        <v>57</v>
      </c>
      <c r="D207" s="51"/>
      <c r="E207" s="92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4"/>
      <c r="Q207" s="184"/>
      <c r="R207" s="51"/>
      <c r="S207" s="92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4"/>
      <c r="AE207" s="92"/>
      <c r="AF207" s="291"/>
      <c r="AG207" s="101"/>
      <c r="AH207" s="101"/>
      <c r="AI207" s="174"/>
      <c r="AJ207" s="213"/>
      <c r="AK207" s="213"/>
      <c r="AL207" s="52"/>
      <c r="AM207" s="54"/>
      <c r="AN207" s="242"/>
      <c r="AO207" s="92"/>
      <c r="AP207" s="291"/>
      <c r="AQ207" s="101"/>
      <c r="AR207" s="55"/>
      <c r="AS207" s="174"/>
      <c r="AT207" s="213"/>
      <c r="AU207" s="220"/>
      <c r="AV207" s="11"/>
      <c r="AW207" s="54"/>
      <c r="AX207" s="242"/>
      <c r="AY207" s="92"/>
      <c r="AZ207" s="291"/>
      <c r="BA207" s="55"/>
      <c r="BB207" s="176"/>
      <c r="BC207" s="213"/>
      <c r="BD207" s="220"/>
      <c r="BE207" s="52"/>
      <c r="BF207" s="54"/>
      <c r="BG207" s="242"/>
      <c r="BH207" s="92"/>
      <c r="BI207" s="55"/>
      <c r="BJ207" s="176"/>
      <c r="BK207" s="213"/>
      <c r="BL207" s="220"/>
      <c r="BM207" s="2"/>
      <c r="BN207" s="130"/>
      <c r="BO207" s="231"/>
      <c r="BQ207" s="196"/>
      <c r="BR207" s="196"/>
      <c r="BS207" s="196"/>
      <c r="BT207" s="196"/>
      <c r="BU207" s="196"/>
      <c r="BV207" s="196"/>
      <c r="BW207" s="196"/>
      <c r="BX207" s="196"/>
      <c r="BY207" s="196"/>
      <c r="BZ207" s="196"/>
      <c r="CA207" s="196"/>
      <c r="CB207" s="196"/>
      <c r="CC207" s="130"/>
      <c r="CD207" s="237"/>
      <c r="CE207" s="54"/>
      <c r="CF207" s="130"/>
      <c r="CG207" s="126"/>
      <c r="CH207" s="55"/>
      <c r="CI207" s="52"/>
      <c r="CJ207" s="54"/>
      <c r="CK207" s="130"/>
      <c r="CL207" s="126"/>
      <c r="CM207" s="55"/>
    </row>
    <row r="208" spans="2:91" x14ac:dyDescent="0.2">
      <c r="B208" s="56"/>
      <c r="C208" s="57" t="s">
        <v>61</v>
      </c>
      <c r="D208" s="2"/>
      <c r="E208" s="95"/>
      <c r="F208" s="167"/>
      <c r="G208" s="167"/>
      <c r="H208" s="167"/>
      <c r="I208" s="167"/>
      <c r="J208" s="167"/>
      <c r="K208" s="167"/>
      <c r="L208" s="167"/>
      <c r="M208" s="167"/>
      <c r="N208" s="167"/>
      <c r="O208" s="167"/>
      <c r="P208" s="168"/>
      <c r="Q208" s="185"/>
      <c r="R208" s="2"/>
      <c r="S208" s="95"/>
      <c r="T208" s="167"/>
      <c r="U208" s="167"/>
      <c r="V208" s="167"/>
      <c r="W208" s="167"/>
      <c r="X208" s="167"/>
      <c r="Y208" s="167"/>
      <c r="Z208" s="167"/>
      <c r="AA208" s="167"/>
      <c r="AB208" s="167"/>
      <c r="AC208" s="167"/>
      <c r="AD208" s="168"/>
      <c r="AE208" s="95"/>
      <c r="AF208" s="292"/>
      <c r="AG208" s="102"/>
      <c r="AH208" s="102"/>
      <c r="AI208" s="102"/>
      <c r="AJ208" s="212"/>
      <c r="AK208" s="212"/>
      <c r="AL208" s="58"/>
      <c r="AM208" s="11"/>
      <c r="AN208" s="243"/>
      <c r="AO208" s="95"/>
      <c r="AP208" s="292"/>
      <c r="AQ208" s="102"/>
      <c r="AR208" s="17"/>
      <c r="AS208" s="199"/>
      <c r="AT208" s="212"/>
      <c r="AU208" s="221"/>
      <c r="AV208" s="11"/>
      <c r="AW208" s="11"/>
      <c r="AX208" s="243"/>
      <c r="AY208" s="95"/>
      <c r="AZ208" s="292"/>
      <c r="BA208" s="17"/>
      <c r="BB208" s="179"/>
      <c r="BC208" s="212"/>
      <c r="BD208" s="221"/>
      <c r="BE208" s="58"/>
      <c r="BF208" s="11"/>
      <c r="BG208" s="243"/>
      <c r="BH208" s="95"/>
      <c r="BI208" s="17"/>
      <c r="BJ208" s="17"/>
      <c r="BK208" s="212"/>
      <c r="BL208" s="221"/>
      <c r="BM208" s="2"/>
      <c r="BN208" s="123"/>
      <c r="BO208" s="123"/>
      <c r="BQ208" s="173"/>
      <c r="BR208" s="173"/>
      <c r="BS208" s="173"/>
      <c r="BT208" s="173"/>
      <c r="BU208" s="173"/>
      <c r="BV208" s="173"/>
      <c r="BW208" s="173"/>
      <c r="BX208" s="173"/>
      <c r="BY208" s="173"/>
      <c r="BZ208" s="173"/>
      <c r="CA208" s="173"/>
      <c r="CB208" s="173"/>
      <c r="CC208" s="123"/>
      <c r="CD208" s="203"/>
      <c r="CE208" s="11"/>
      <c r="CF208" s="95"/>
      <c r="CG208" s="125"/>
      <c r="CH208" s="17"/>
      <c r="CI208" s="58"/>
      <c r="CJ208" s="11"/>
      <c r="CK208" s="95"/>
      <c r="CL208" s="125"/>
      <c r="CM208" s="17"/>
    </row>
    <row r="209" spans="2:91" x14ac:dyDescent="0.2">
      <c r="B209" s="60"/>
      <c r="C209" s="143" t="s">
        <v>62</v>
      </c>
      <c r="D209" s="2"/>
      <c r="E209" s="61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186"/>
      <c r="R209" s="2"/>
      <c r="S209" s="61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61"/>
      <c r="AF209" s="293"/>
      <c r="AG209" s="103"/>
      <c r="AH209" s="103"/>
      <c r="AI209" s="103"/>
      <c r="AJ209" s="197"/>
      <c r="AK209" s="197"/>
      <c r="AL209" s="58"/>
      <c r="AM209" s="11"/>
      <c r="AN209" s="249"/>
      <c r="AO209" s="61"/>
      <c r="AP209" s="293"/>
      <c r="AQ209" s="103"/>
      <c r="AR209" s="7"/>
      <c r="AS209" s="197"/>
      <c r="AT209" s="197"/>
      <c r="AU209" s="222"/>
      <c r="AV209" s="11"/>
      <c r="AW209" s="11"/>
      <c r="AX209" s="249"/>
      <c r="AY209" s="61"/>
      <c r="AZ209" s="293"/>
      <c r="BA209" s="7"/>
      <c r="BB209" s="103"/>
      <c r="BC209" s="197"/>
      <c r="BD209" s="222"/>
      <c r="BE209" s="58"/>
      <c r="BF209" s="11"/>
      <c r="BG209" s="249"/>
      <c r="BH209" s="61"/>
      <c r="BI209" s="7"/>
      <c r="BJ209" s="7"/>
      <c r="BK209" s="197"/>
      <c r="BL209" s="222"/>
      <c r="BM209" s="2"/>
      <c r="BN209" s="63"/>
      <c r="BO209" s="63"/>
      <c r="BQ209" s="173"/>
      <c r="BR209" s="173"/>
      <c r="BS209" s="173"/>
      <c r="BT209" s="173"/>
      <c r="BU209" s="173"/>
      <c r="BV209" s="173"/>
      <c r="BW209" s="173"/>
      <c r="BX209" s="173"/>
      <c r="BY209" s="173"/>
      <c r="BZ209" s="173"/>
      <c r="CA209" s="173"/>
      <c r="CB209" s="173"/>
      <c r="CC209" s="63"/>
      <c r="CD209" s="204"/>
      <c r="CE209" s="11"/>
      <c r="CF209" s="61"/>
      <c r="CG209" s="134"/>
      <c r="CH209" s="8"/>
      <c r="CI209" s="58"/>
      <c r="CJ209" s="11"/>
      <c r="CK209" s="61"/>
      <c r="CL209" s="134"/>
      <c r="CM209" s="8"/>
    </row>
    <row r="210" spans="2:91" x14ac:dyDescent="0.2">
      <c r="B210" s="64"/>
      <c r="C210" s="6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194"/>
      <c r="AG210" s="100"/>
      <c r="AH210" s="100"/>
      <c r="AI210" s="100"/>
      <c r="AJ210" s="214"/>
      <c r="AK210" s="214"/>
      <c r="AL210" s="11"/>
      <c r="AM210" s="2"/>
      <c r="AN210" s="71"/>
      <c r="AO210" s="11"/>
      <c r="AP210" s="194"/>
      <c r="AQ210" s="100"/>
      <c r="AR210" s="65"/>
      <c r="AS210" s="2"/>
      <c r="AT210" s="214"/>
      <c r="AU210" s="214"/>
      <c r="AV210" s="11"/>
      <c r="AW210" s="2"/>
      <c r="AX210" s="71"/>
      <c r="AY210" s="11"/>
      <c r="AZ210" s="194"/>
      <c r="BA210" s="65"/>
      <c r="BB210" s="2"/>
      <c r="BC210" s="214"/>
      <c r="BD210" s="214"/>
      <c r="BE210" s="11"/>
      <c r="BF210" s="2"/>
      <c r="BG210" s="71"/>
      <c r="BH210" s="11"/>
      <c r="BI210" s="11"/>
      <c r="BJ210" s="11"/>
      <c r="BK210" s="214"/>
      <c r="BL210" s="214"/>
      <c r="BM210" s="2"/>
      <c r="BN210" s="11"/>
      <c r="BO210" s="11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65"/>
      <c r="CD210" s="205"/>
      <c r="CE210" s="11"/>
      <c r="CF210" s="71"/>
      <c r="CG210" s="137"/>
      <c r="CH210" s="65"/>
      <c r="CI210" s="11"/>
      <c r="CJ210" s="2"/>
      <c r="CK210" s="71"/>
      <c r="CL210" s="137"/>
      <c r="CM210" s="65"/>
    </row>
    <row r="211" spans="2:91" x14ac:dyDescent="0.2">
      <c r="B211" s="66"/>
      <c r="C211" s="67" t="s">
        <v>58</v>
      </c>
      <c r="D211" s="51"/>
      <c r="E211" s="96"/>
      <c r="F211" s="169"/>
      <c r="G211" s="169"/>
      <c r="H211" s="169"/>
      <c r="I211" s="169"/>
      <c r="J211" s="169"/>
      <c r="K211" s="169"/>
      <c r="L211" s="169"/>
      <c r="M211" s="169"/>
      <c r="N211" s="169"/>
      <c r="O211" s="169"/>
      <c r="P211" s="170"/>
      <c r="Q211" s="187"/>
      <c r="R211" s="51"/>
      <c r="S211" s="96"/>
      <c r="T211" s="169"/>
      <c r="U211" s="169"/>
      <c r="V211" s="169"/>
      <c r="W211" s="169"/>
      <c r="X211" s="169"/>
      <c r="Y211" s="169"/>
      <c r="Z211" s="169"/>
      <c r="AA211" s="169"/>
      <c r="AB211" s="169"/>
      <c r="AC211" s="169"/>
      <c r="AD211" s="170"/>
      <c r="AE211" s="324"/>
      <c r="AF211" s="294"/>
      <c r="AG211" s="104"/>
      <c r="AH211" s="104"/>
      <c r="AI211" s="175"/>
      <c r="AJ211" s="175"/>
      <c r="AK211" s="223"/>
      <c r="AL211" s="54"/>
      <c r="AM211" s="54"/>
      <c r="AN211" s="250"/>
      <c r="AO211" s="96"/>
      <c r="AP211" s="294"/>
      <c r="AQ211" s="104"/>
      <c r="AR211" s="68"/>
      <c r="AS211" s="200"/>
      <c r="AT211" s="175"/>
      <c r="AU211" s="223"/>
      <c r="AV211" s="11"/>
      <c r="AW211" s="54"/>
      <c r="AX211" s="250"/>
      <c r="AY211" s="96"/>
      <c r="AZ211" s="294"/>
      <c r="BA211" s="68"/>
      <c r="BB211" s="200"/>
      <c r="BC211" s="175"/>
      <c r="BD211" s="223"/>
      <c r="BE211" s="52"/>
      <c r="BF211" s="54"/>
      <c r="BG211" s="250"/>
      <c r="BH211" s="96"/>
      <c r="BI211" s="68"/>
      <c r="BJ211" s="200"/>
      <c r="BK211" s="175"/>
      <c r="BL211" s="223"/>
      <c r="BM211" s="2"/>
      <c r="BN211" s="131"/>
      <c r="BO211" s="131"/>
      <c r="BQ211" s="196"/>
      <c r="BR211" s="196"/>
      <c r="BS211" s="196"/>
      <c r="BT211" s="196"/>
      <c r="BU211" s="196"/>
      <c r="BV211" s="196"/>
      <c r="BW211" s="196"/>
      <c r="BX211" s="196"/>
      <c r="BY211" s="196"/>
      <c r="BZ211" s="196"/>
      <c r="CA211" s="196"/>
      <c r="CB211" s="196"/>
      <c r="CC211" s="131"/>
      <c r="CD211" s="206"/>
      <c r="CE211" s="54"/>
      <c r="CF211" s="96"/>
      <c r="CG211" s="138"/>
      <c r="CH211" s="68"/>
      <c r="CI211" s="52"/>
      <c r="CJ211" s="54"/>
      <c r="CK211" s="96"/>
      <c r="CL211" s="138"/>
      <c r="CM211" s="68"/>
    </row>
    <row r="212" spans="2:91" x14ac:dyDescent="0.2">
      <c r="B212" s="64"/>
      <c r="C212" s="6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194"/>
      <c r="AG212" s="100"/>
      <c r="AH212" s="100"/>
      <c r="AI212" s="100"/>
      <c r="AJ212" s="214"/>
      <c r="AK212" s="214"/>
      <c r="AL212" s="11"/>
      <c r="AM212" s="2"/>
      <c r="AN212" s="71"/>
      <c r="AO212" s="11"/>
      <c r="AP212" s="194"/>
      <c r="AQ212" s="100"/>
      <c r="AR212" s="65"/>
      <c r="AS212" s="2"/>
      <c r="AT212" s="214"/>
      <c r="AU212" s="214"/>
      <c r="AV212" s="11"/>
      <c r="AW212" s="2"/>
      <c r="AX212" s="71"/>
      <c r="AY212" s="11"/>
      <c r="AZ212" s="194"/>
      <c r="BA212" s="65"/>
      <c r="BB212" s="2"/>
      <c r="BC212" s="214"/>
      <c r="BD212" s="214"/>
      <c r="BE212" s="11"/>
      <c r="BF212" s="2"/>
      <c r="BG212" s="71"/>
      <c r="BH212" s="11"/>
      <c r="BI212" s="11"/>
      <c r="BJ212" s="11"/>
      <c r="BK212" s="214"/>
      <c r="BL212" s="214"/>
      <c r="BM212" s="2"/>
      <c r="BN212" s="11"/>
      <c r="BO212" s="11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65"/>
      <c r="CD212" s="205"/>
      <c r="CE212" s="11"/>
      <c r="CF212" s="71"/>
      <c r="CG212" s="137"/>
      <c r="CH212" s="65"/>
      <c r="CI212" s="11"/>
      <c r="CJ212" s="2"/>
      <c r="CK212" s="71"/>
      <c r="CL212" s="137"/>
      <c r="CM212" s="65"/>
    </row>
    <row r="213" spans="2:91" x14ac:dyDescent="0.2">
      <c r="B213" s="49"/>
      <c r="C213" s="50" t="s">
        <v>59</v>
      </c>
      <c r="D213" s="51"/>
      <c r="E213" s="92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4"/>
      <c r="Q213" s="184"/>
      <c r="R213" s="51"/>
      <c r="S213" s="92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4"/>
      <c r="AE213" s="92"/>
      <c r="AF213" s="291"/>
      <c r="AG213" s="101"/>
      <c r="AH213" s="101"/>
      <c r="AI213" s="176"/>
      <c r="AJ213" s="176"/>
      <c r="AK213" s="176"/>
      <c r="AL213" s="52"/>
      <c r="AM213" s="54"/>
      <c r="AN213" s="242"/>
      <c r="AO213" s="92"/>
      <c r="AP213" s="291"/>
      <c r="AQ213" s="101"/>
      <c r="AR213" s="55"/>
      <c r="AS213" s="176"/>
      <c r="AT213" s="176"/>
      <c r="AU213" s="224"/>
      <c r="AV213" s="11"/>
      <c r="AW213" s="54"/>
      <c r="AX213" s="242"/>
      <c r="AY213" s="92"/>
      <c r="AZ213" s="291"/>
      <c r="BA213" s="55"/>
      <c r="BB213" s="176"/>
      <c r="BC213" s="176"/>
      <c r="BD213" s="224"/>
      <c r="BE213" s="52"/>
      <c r="BF213" s="54"/>
      <c r="BG213" s="242"/>
      <c r="BH213" s="92"/>
      <c r="BI213" s="55"/>
      <c r="BJ213" s="176"/>
      <c r="BK213" s="176"/>
      <c r="BL213" s="224"/>
      <c r="BM213" s="2"/>
      <c r="BN213" s="231"/>
      <c r="BO213" s="231"/>
      <c r="BP213" s="2"/>
      <c r="BQ213" s="196"/>
      <c r="BR213" s="196"/>
      <c r="BS213" s="196"/>
      <c r="BT213" s="196"/>
      <c r="BU213" s="196"/>
      <c r="BV213" s="196"/>
      <c r="BW213" s="196"/>
      <c r="BX213" s="196"/>
      <c r="BY213" s="196"/>
      <c r="BZ213" s="196"/>
      <c r="CA213" s="196"/>
      <c r="CB213" s="196"/>
      <c r="CC213" s="92"/>
      <c r="CD213" s="207"/>
      <c r="CE213" s="54"/>
      <c r="CF213" s="92"/>
      <c r="CG213" s="128"/>
      <c r="CH213" s="53"/>
      <c r="CI213" s="52"/>
      <c r="CJ213" s="54"/>
      <c r="CK213" s="92"/>
      <c r="CL213" s="128"/>
      <c r="CM213" s="55"/>
    </row>
    <row r="214" spans="2:91" x14ac:dyDescent="0.2">
      <c r="B214" s="56"/>
      <c r="C214" s="57" t="s">
        <v>60</v>
      </c>
      <c r="D214" s="2"/>
      <c r="E214" s="95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8"/>
      <c r="Q214" s="185"/>
      <c r="R214" s="2"/>
      <c r="S214" s="95"/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/>
      <c r="AD214" s="168"/>
      <c r="AE214" s="95"/>
      <c r="AF214" s="292"/>
      <c r="AG214" s="102"/>
      <c r="AH214" s="102"/>
      <c r="AI214" s="102"/>
      <c r="AJ214" s="212"/>
      <c r="AK214" s="212"/>
      <c r="AL214" s="58"/>
      <c r="AM214" s="11"/>
      <c r="AN214" s="243"/>
      <c r="AO214" s="95"/>
      <c r="AP214" s="292"/>
      <c r="AQ214" s="102"/>
      <c r="AR214" s="17"/>
      <c r="AS214" s="179"/>
      <c r="AT214" s="212"/>
      <c r="AU214" s="221"/>
      <c r="AV214" s="11"/>
      <c r="AW214" s="11"/>
      <c r="AX214" s="243"/>
      <c r="AY214" s="95"/>
      <c r="AZ214" s="292"/>
      <c r="BA214" s="17"/>
      <c r="BB214" s="179"/>
      <c r="BC214" s="212"/>
      <c r="BD214" s="221"/>
      <c r="BE214" s="58"/>
      <c r="BF214" s="11"/>
      <c r="BG214" s="243"/>
      <c r="BH214" s="95"/>
      <c r="BI214" s="17"/>
      <c r="BJ214" s="17"/>
      <c r="BK214" s="212"/>
      <c r="BL214" s="221"/>
      <c r="BM214" s="2"/>
      <c r="BN214" s="123"/>
      <c r="BO214" s="123"/>
      <c r="BP214" s="2"/>
      <c r="BQ214" s="173"/>
      <c r="BR214" s="173"/>
      <c r="BS214" s="173"/>
      <c r="BT214" s="173"/>
      <c r="BU214" s="173"/>
      <c r="BV214" s="173"/>
      <c r="BW214" s="173"/>
      <c r="BX214" s="173"/>
      <c r="BY214" s="173"/>
      <c r="BZ214" s="173"/>
      <c r="CA214" s="173"/>
      <c r="CB214" s="173"/>
      <c r="CC214" s="95"/>
      <c r="CD214" s="203"/>
      <c r="CE214" s="11"/>
      <c r="CF214" s="95"/>
      <c r="CG214" s="125"/>
      <c r="CH214" s="59"/>
      <c r="CI214" s="58"/>
      <c r="CJ214" s="11"/>
      <c r="CK214" s="95"/>
      <c r="CL214" s="125"/>
      <c r="CM214" s="17"/>
    </row>
    <row r="215" spans="2:91" x14ac:dyDescent="0.2">
      <c r="B215" s="56"/>
      <c r="C215" s="142" t="s">
        <v>63</v>
      </c>
      <c r="D215" s="2"/>
      <c r="E215" s="6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188"/>
      <c r="R215" s="2"/>
      <c r="S215" s="6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69"/>
      <c r="AF215" s="295"/>
      <c r="AG215" s="105"/>
      <c r="AH215" s="105"/>
      <c r="AI215" s="105"/>
      <c r="AJ215" s="212"/>
      <c r="AK215" s="212"/>
      <c r="AL215" s="58"/>
      <c r="AM215" s="11"/>
      <c r="AN215" s="244"/>
      <c r="AO215" s="69"/>
      <c r="AP215" s="295"/>
      <c r="AQ215" s="105"/>
      <c r="AR215" s="9"/>
      <c r="AS215" s="105"/>
      <c r="AT215" s="212"/>
      <c r="AU215" s="221"/>
      <c r="AV215" s="11"/>
      <c r="AW215" s="11"/>
      <c r="AX215" s="244"/>
      <c r="AY215" s="69"/>
      <c r="AZ215" s="295"/>
      <c r="BA215" s="9"/>
      <c r="BB215" s="105"/>
      <c r="BC215" s="212"/>
      <c r="BD215" s="221"/>
      <c r="BE215" s="58"/>
      <c r="BF215" s="11"/>
      <c r="BG215" s="244"/>
      <c r="BH215" s="69"/>
      <c r="BI215" s="9"/>
      <c r="BJ215" s="9"/>
      <c r="BK215" s="212"/>
      <c r="BL215" s="221"/>
      <c r="BM215" s="2"/>
      <c r="BN215" s="232"/>
      <c r="BO215" s="232"/>
      <c r="BP215" s="2"/>
      <c r="BQ215" s="173"/>
      <c r="BR215" s="173"/>
      <c r="BS215" s="173"/>
      <c r="BT215" s="173"/>
      <c r="BU215" s="173"/>
      <c r="BV215" s="173"/>
      <c r="BW215" s="173"/>
      <c r="BX215" s="173"/>
      <c r="BY215" s="173"/>
      <c r="BZ215" s="173"/>
      <c r="CA215" s="173"/>
      <c r="CB215" s="173"/>
      <c r="CC215" s="69"/>
      <c r="CD215" s="203"/>
      <c r="CE215" s="11"/>
      <c r="CF215" s="69"/>
      <c r="CG215" s="135"/>
      <c r="CH215" s="149"/>
      <c r="CI215" s="58"/>
      <c r="CJ215" s="11"/>
      <c r="CK215" s="69"/>
      <c r="CL215" s="135"/>
      <c r="CM215" s="10"/>
    </row>
    <row r="216" spans="2:91" x14ac:dyDescent="0.2">
      <c r="B216" s="56"/>
      <c r="C216" s="70"/>
      <c r="D216" s="2"/>
      <c r="E216" s="58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89"/>
      <c r="R216" s="2"/>
      <c r="S216" s="58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58"/>
      <c r="AF216" s="296"/>
      <c r="AG216" s="106"/>
      <c r="AH216" s="106"/>
      <c r="AI216" s="106"/>
      <c r="AJ216" s="198"/>
      <c r="AK216" s="198"/>
      <c r="AL216" s="58"/>
      <c r="AM216" s="11"/>
      <c r="AN216" s="245"/>
      <c r="AO216" s="58"/>
      <c r="AP216" s="296"/>
      <c r="AQ216" s="106"/>
      <c r="AR216" s="71"/>
      <c r="AS216" s="106"/>
      <c r="AT216" s="198"/>
      <c r="AU216" s="225"/>
      <c r="AV216" s="11"/>
      <c r="AW216" s="11"/>
      <c r="AX216" s="245"/>
      <c r="AY216" s="58"/>
      <c r="AZ216" s="296"/>
      <c r="BA216" s="71"/>
      <c r="BB216" s="106"/>
      <c r="BC216" s="198"/>
      <c r="BD216" s="225"/>
      <c r="BE216" s="58"/>
      <c r="BF216" s="11"/>
      <c r="BG216" s="245"/>
      <c r="BH216" s="58"/>
      <c r="BI216" s="11"/>
      <c r="BJ216" s="11"/>
      <c r="BK216" s="198"/>
      <c r="BL216" s="225"/>
      <c r="BM216" s="2"/>
      <c r="BN216" s="233"/>
      <c r="BO216" s="233"/>
      <c r="BP216" s="2"/>
      <c r="BQ216" s="173"/>
      <c r="BR216" s="173"/>
      <c r="BS216" s="173"/>
      <c r="BT216" s="173"/>
      <c r="BU216" s="173"/>
      <c r="BV216" s="173"/>
      <c r="BW216" s="173"/>
      <c r="BX216" s="173"/>
      <c r="BY216" s="173"/>
      <c r="BZ216" s="173"/>
      <c r="CA216" s="173"/>
      <c r="CB216" s="173"/>
      <c r="CC216" s="133"/>
      <c r="CD216" s="208"/>
      <c r="CE216" s="11"/>
      <c r="CF216" s="133"/>
      <c r="CG216" s="125"/>
      <c r="CH216" s="70"/>
      <c r="CI216" s="58"/>
      <c r="CJ216" s="11"/>
      <c r="CK216" s="133"/>
      <c r="CL216" s="125"/>
      <c r="CM216" s="71"/>
    </row>
    <row r="217" spans="2:91" x14ac:dyDescent="0.2">
      <c r="B217" s="72"/>
      <c r="C217" s="73" t="s">
        <v>9</v>
      </c>
      <c r="D217" s="74"/>
      <c r="E217" s="97"/>
      <c r="F217" s="171"/>
      <c r="G217" s="171"/>
      <c r="H217" s="171"/>
      <c r="I217" s="171"/>
      <c r="J217" s="171"/>
      <c r="K217" s="171"/>
      <c r="L217" s="171"/>
      <c r="M217" s="171"/>
      <c r="N217" s="171"/>
      <c r="O217" s="171"/>
      <c r="P217" s="172"/>
      <c r="Q217" s="190"/>
      <c r="R217" s="74"/>
      <c r="S217" s="97"/>
      <c r="T217" s="171"/>
      <c r="U217" s="171"/>
      <c r="V217" s="171"/>
      <c r="W217" s="171"/>
      <c r="X217" s="171"/>
      <c r="Y217" s="171"/>
      <c r="Z217" s="171"/>
      <c r="AA217" s="171"/>
      <c r="AB217" s="171"/>
      <c r="AC217" s="171"/>
      <c r="AD217" s="172"/>
      <c r="AE217" s="97"/>
      <c r="AF217" s="292"/>
      <c r="AG217" s="107"/>
      <c r="AH217" s="107"/>
      <c r="AI217" s="107"/>
      <c r="AJ217" s="215"/>
      <c r="AK217" s="215"/>
      <c r="AL217" s="75"/>
      <c r="AM217" s="77"/>
      <c r="AN217" s="246"/>
      <c r="AO217" s="97"/>
      <c r="AP217" s="292"/>
      <c r="AQ217" s="107"/>
      <c r="AR217" s="78"/>
      <c r="AS217" s="180"/>
      <c r="AT217" s="215"/>
      <c r="AU217" s="226"/>
      <c r="AV217" s="11"/>
      <c r="AW217" s="77"/>
      <c r="AX217" s="246"/>
      <c r="AY217" s="97"/>
      <c r="AZ217" s="292"/>
      <c r="BA217" s="78"/>
      <c r="BB217" s="180"/>
      <c r="BC217" s="215"/>
      <c r="BD217" s="226"/>
      <c r="BE217" s="75"/>
      <c r="BF217" s="77"/>
      <c r="BG217" s="246"/>
      <c r="BH217" s="97"/>
      <c r="BI217" s="78"/>
      <c r="BJ217" s="78"/>
      <c r="BK217" s="215"/>
      <c r="BL217" s="226"/>
      <c r="BM217" s="2"/>
      <c r="BN217" s="123"/>
      <c r="BO217" s="234"/>
      <c r="BP217" s="2"/>
      <c r="BQ217" s="173"/>
      <c r="BR217" s="173"/>
      <c r="BS217" s="173"/>
      <c r="BT217" s="173"/>
      <c r="BU217" s="173"/>
      <c r="BV217" s="173"/>
      <c r="BW217" s="173"/>
      <c r="BX217" s="173"/>
      <c r="BY217" s="173"/>
      <c r="BZ217" s="173"/>
      <c r="CA217" s="173"/>
      <c r="CB217" s="173"/>
      <c r="CC217" s="97"/>
      <c r="CD217" s="209"/>
      <c r="CE217" s="77"/>
      <c r="CF217" s="97"/>
      <c r="CG217" s="136"/>
      <c r="CH217" s="76"/>
      <c r="CI217" s="75"/>
      <c r="CJ217" s="77"/>
      <c r="CK217" s="97"/>
      <c r="CL217" s="136"/>
      <c r="CM217" s="78"/>
    </row>
    <row r="218" spans="2:91" x14ac:dyDescent="0.2">
      <c r="B218" s="72"/>
      <c r="C218" s="73" t="s">
        <v>10</v>
      </c>
      <c r="D218" s="74"/>
      <c r="E218" s="97"/>
      <c r="F218" s="171"/>
      <c r="G218" s="171"/>
      <c r="H218" s="171"/>
      <c r="I218" s="171"/>
      <c r="J218" s="171"/>
      <c r="K218" s="171"/>
      <c r="L218" s="171"/>
      <c r="M218" s="171"/>
      <c r="N218" s="171"/>
      <c r="O218" s="171"/>
      <c r="P218" s="172"/>
      <c r="Q218" s="190"/>
      <c r="R218" s="74"/>
      <c r="S218" s="97"/>
      <c r="T218" s="171"/>
      <c r="U218" s="171"/>
      <c r="V218" s="171"/>
      <c r="W218" s="171"/>
      <c r="X218" s="171"/>
      <c r="Y218" s="171"/>
      <c r="Z218" s="171"/>
      <c r="AA218" s="171"/>
      <c r="AB218" s="171"/>
      <c r="AC218" s="171"/>
      <c r="AD218" s="172"/>
      <c r="AE218" s="97"/>
      <c r="AF218" s="292"/>
      <c r="AG218" s="107"/>
      <c r="AH218" s="107"/>
      <c r="AI218" s="107"/>
      <c r="AJ218" s="215"/>
      <c r="AK218" s="215"/>
      <c r="AL218" s="75"/>
      <c r="AM218" s="77"/>
      <c r="AN218" s="246"/>
      <c r="AO218" s="97"/>
      <c r="AP218" s="292"/>
      <c r="AQ218" s="107"/>
      <c r="AR218" s="78"/>
      <c r="AS218" s="180"/>
      <c r="AT218" s="215"/>
      <c r="AU218" s="226"/>
      <c r="AV218" s="11"/>
      <c r="AW218" s="77"/>
      <c r="AX218" s="246"/>
      <c r="AY218" s="97"/>
      <c r="AZ218" s="292"/>
      <c r="BA218" s="78"/>
      <c r="BB218" s="180"/>
      <c r="BC218" s="215"/>
      <c r="BD218" s="226"/>
      <c r="BE218" s="75"/>
      <c r="BF218" s="77"/>
      <c r="BG218" s="246"/>
      <c r="BH218" s="97"/>
      <c r="BI218" s="78"/>
      <c r="BJ218" s="78"/>
      <c r="BK218" s="215"/>
      <c r="BL218" s="226"/>
      <c r="BM218" s="2"/>
      <c r="BN218" s="123"/>
      <c r="BO218" s="234"/>
      <c r="BP218" s="2"/>
      <c r="BQ218" s="173"/>
      <c r="BR218" s="173"/>
      <c r="BS218" s="173"/>
      <c r="BT218" s="173"/>
      <c r="BU218" s="173"/>
      <c r="BV218" s="173"/>
      <c r="BW218" s="173"/>
      <c r="BX218" s="173"/>
      <c r="BY218" s="173"/>
      <c r="BZ218" s="173"/>
      <c r="CA218" s="173"/>
      <c r="CB218" s="173"/>
      <c r="CC218" s="97"/>
      <c r="CD218" s="209"/>
      <c r="CE218" s="77"/>
      <c r="CF218" s="97"/>
      <c r="CG218" s="136"/>
      <c r="CH218" s="76"/>
      <c r="CI218" s="75"/>
      <c r="CJ218" s="77"/>
      <c r="CK218" s="97"/>
      <c r="CL218" s="136"/>
      <c r="CM218" s="78"/>
    </row>
    <row r="219" spans="2:91" x14ac:dyDescent="0.2">
      <c r="B219" s="56"/>
      <c r="C219" s="79" t="s">
        <v>64</v>
      </c>
      <c r="D219" s="51"/>
      <c r="E219" s="98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91"/>
      <c r="R219" s="51"/>
      <c r="S219" s="98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98"/>
      <c r="AF219" s="297"/>
      <c r="AG219" s="108"/>
      <c r="AH219" s="108"/>
      <c r="AI219" s="108"/>
      <c r="AJ219" s="201"/>
      <c r="AK219" s="201"/>
      <c r="AL219" s="52"/>
      <c r="AM219" s="54"/>
      <c r="AN219" s="247"/>
      <c r="AO219" s="98"/>
      <c r="AP219" s="297"/>
      <c r="AQ219" s="108"/>
      <c r="AR219" s="14"/>
      <c r="AS219" s="108"/>
      <c r="AT219" s="201"/>
      <c r="AU219" s="227"/>
      <c r="AV219" s="11"/>
      <c r="AW219" s="54"/>
      <c r="AX219" s="247"/>
      <c r="AY219" s="98"/>
      <c r="AZ219" s="297"/>
      <c r="BA219" s="14"/>
      <c r="BB219" s="108"/>
      <c r="BC219" s="201"/>
      <c r="BD219" s="227"/>
      <c r="BE219" s="52"/>
      <c r="BF219" s="54"/>
      <c r="BG219" s="247"/>
      <c r="BH219" s="98"/>
      <c r="BI219" s="14"/>
      <c r="BJ219" s="14"/>
      <c r="BK219" s="201"/>
      <c r="BL219" s="227"/>
      <c r="BM219" s="2"/>
      <c r="BN219" s="235"/>
      <c r="BO219" s="235"/>
      <c r="BP219" s="2"/>
      <c r="BQ219" s="173"/>
      <c r="BR219" s="173"/>
      <c r="BS219" s="173"/>
      <c r="BT219" s="173"/>
      <c r="BU219" s="173"/>
      <c r="BV219" s="173"/>
      <c r="BW219" s="173"/>
      <c r="BX219" s="173"/>
      <c r="BY219" s="173"/>
      <c r="BZ219" s="173"/>
      <c r="CA219" s="173"/>
      <c r="CB219" s="173"/>
      <c r="CC219" s="98"/>
      <c r="CD219" s="210"/>
      <c r="CE219" s="54"/>
      <c r="CF219" s="98"/>
      <c r="CG219" s="127"/>
      <c r="CH219" s="80"/>
      <c r="CI219" s="52"/>
      <c r="CJ219" s="54"/>
      <c r="CK219" s="98"/>
      <c r="CL219" s="127"/>
      <c r="CM219" s="14"/>
    </row>
    <row r="220" spans="2:91" x14ac:dyDescent="0.2">
      <c r="B220" s="60"/>
      <c r="C220" s="257" t="s">
        <v>65</v>
      </c>
      <c r="E220" s="61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186"/>
      <c r="S220" s="61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62"/>
      <c r="AE220" s="61"/>
      <c r="AF220" s="293"/>
      <c r="AG220" s="103"/>
      <c r="AH220" s="103"/>
      <c r="AI220" s="103"/>
      <c r="AJ220" s="197"/>
      <c r="AK220" s="197"/>
      <c r="AL220" s="58"/>
      <c r="AM220" s="11"/>
      <c r="AN220" s="249"/>
      <c r="AO220" s="61"/>
      <c r="AP220" s="293"/>
      <c r="AQ220" s="103"/>
      <c r="AR220" s="7"/>
      <c r="AS220" s="103"/>
      <c r="AT220" s="197"/>
      <c r="AU220" s="222"/>
      <c r="AV220" s="11"/>
      <c r="AW220" s="11"/>
      <c r="AX220" s="249"/>
      <c r="AY220" s="61"/>
      <c r="AZ220" s="293"/>
      <c r="BA220" s="7"/>
      <c r="BB220" s="103"/>
      <c r="BC220" s="197"/>
      <c r="BD220" s="222"/>
      <c r="BE220" s="58"/>
      <c r="BF220" s="11"/>
      <c r="BG220" s="249"/>
      <c r="BH220" s="61"/>
      <c r="BI220" s="7"/>
      <c r="BJ220" s="7"/>
      <c r="BK220" s="197"/>
      <c r="BL220" s="222"/>
      <c r="BM220" s="2"/>
      <c r="BN220" s="63"/>
      <c r="BO220" s="63"/>
      <c r="BP220" s="2"/>
      <c r="BQ220" s="173"/>
      <c r="BR220" s="173"/>
      <c r="BS220" s="173"/>
      <c r="BT220" s="173"/>
      <c r="BU220" s="173"/>
      <c r="BV220" s="173"/>
      <c r="BW220" s="173"/>
      <c r="BX220" s="173"/>
      <c r="BY220" s="173"/>
      <c r="BZ220" s="173"/>
      <c r="CA220" s="173"/>
      <c r="CB220" s="173"/>
      <c r="CC220" s="61"/>
      <c r="CD220" s="204"/>
      <c r="CE220" s="11"/>
      <c r="CF220" s="61"/>
      <c r="CG220" s="134"/>
      <c r="CH220" s="61"/>
      <c r="CI220" s="58"/>
      <c r="CJ220" s="11"/>
      <c r="CK220" s="61"/>
      <c r="CL220" s="134"/>
      <c r="CM220" s="145"/>
    </row>
  </sheetData>
  <mergeCells count="2">
    <mergeCell ref="S2:AD2"/>
    <mergeCell ref="E2:P2"/>
  </mergeCells>
  <conditionalFormatting sqref="U3:Z3 AC3:AE3 AG3:AK3 AE2:AK2">
    <cfRule type="cellIs" dxfId="30" priority="51" operator="equal">
      <formula>0</formula>
    </cfRule>
  </conditionalFormatting>
  <conditionalFormatting sqref="S45:AD45">
    <cfRule type="cellIs" dxfId="29" priority="48" operator="equal">
      <formula>0</formula>
    </cfRule>
    <cfRule type="cellIs" dxfId="28" priority="49" operator="lessThan">
      <formula>0</formula>
    </cfRule>
    <cfRule type="cellIs" dxfId="27" priority="50" operator="greaterThan">
      <formula>0</formula>
    </cfRule>
  </conditionalFormatting>
  <conditionalFormatting sqref="Y45">
    <cfRule type="cellIs" dxfId="26" priority="43" operator="between">
      <formula>-1</formula>
      <formula>1</formula>
    </cfRule>
    <cfRule type="cellIs" dxfId="25" priority="44" operator="greaterThan">
      <formula>1</formula>
    </cfRule>
    <cfRule type="cellIs" dxfId="24" priority="45" operator="lessThan">
      <formula>-1</formula>
    </cfRule>
    <cfRule type="cellIs" dxfId="23" priority="46" operator="lessThan">
      <formula>1</formula>
    </cfRule>
    <cfRule type="cellIs" dxfId="22" priority="47" operator="greaterThan">
      <formula>1</formula>
    </cfRule>
  </conditionalFormatting>
  <conditionalFormatting sqref="AR2:AT2">
    <cfRule type="cellIs" dxfId="21" priority="42" operator="equal">
      <formula>0</formula>
    </cfRule>
  </conditionalFormatting>
  <conditionalFormatting sqref="BC2">
    <cfRule type="cellIs" dxfId="20" priority="41" operator="equal">
      <formula>0</formula>
    </cfRule>
  </conditionalFormatting>
  <conditionalFormatting sqref="O45:P45">
    <cfRule type="cellIs" dxfId="19" priority="22" operator="equal">
      <formula>0</formula>
    </cfRule>
    <cfRule type="cellIs" dxfId="18" priority="23" operator="lessThan">
      <formula>0</formula>
    </cfRule>
    <cfRule type="cellIs" dxfId="17" priority="24" operator="greaterThan">
      <formula>0</formula>
    </cfRule>
  </conditionalFormatting>
  <conditionalFormatting sqref="E45:N45">
    <cfRule type="cellIs" dxfId="16" priority="30" operator="equal">
      <formula>0</formula>
    </cfRule>
    <cfRule type="cellIs" dxfId="15" priority="31" operator="lessThan">
      <formula>0</formula>
    </cfRule>
    <cfRule type="cellIs" dxfId="14" priority="32" operator="greaterThan">
      <formula>0</formula>
    </cfRule>
  </conditionalFormatting>
  <conditionalFormatting sqref="K45">
    <cfRule type="cellIs" dxfId="13" priority="25" operator="between">
      <formula>-1</formula>
      <formula>1</formula>
    </cfRule>
    <cfRule type="cellIs" dxfId="12" priority="26" operator="greaterThan">
      <formula>1</formula>
    </cfRule>
    <cfRule type="cellIs" dxfId="11" priority="27" operator="lessThan">
      <formula>-1</formula>
    </cfRule>
    <cfRule type="cellIs" dxfId="10" priority="28" operator="lessThan">
      <formula>1</formula>
    </cfRule>
    <cfRule type="cellIs" dxfId="9" priority="29" operator="greaterThan">
      <formula>1</formula>
    </cfRule>
  </conditionalFormatting>
  <conditionalFormatting sqref="Q45">
    <cfRule type="cellIs" dxfId="8" priority="8" operator="equal">
      <formula>0</formula>
    </cfRule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E45:Q45 S45:AD45">
    <cfRule type="cellIs" dxfId="5" priority="4" operator="between">
      <formula>-0.1</formula>
      <formula>0.1</formula>
    </cfRule>
    <cfRule type="cellIs" dxfId="4" priority="5" operator="greaterThan">
      <formula>0.1</formula>
    </cfRule>
    <cfRule type="cellIs" dxfId="3" priority="6" operator="lessThan">
      <formula>-0.1</formula>
    </cfRule>
    <cfRule type="cellIs" dxfId="2" priority="7" operator="greaterThan">
      <formula>"0.1"</formula>
    </cfRule>
  </conditionalFormatting>
  <conditionalFormatting sqref="AO2:AQ2">
    <cfRule type="cellIs" dxfId="1" priority="2" operator="equal">
      <formula>0</formula>
    </cfRule>
  </conditionalFormatting>
  <conditionalFormatting sqref="AY2:BB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AE23 AG25 AG23 AE25 AO23 AO25 AY23 AY25 BH23 CM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Tables</vt:lpstr>
      <vt:lpstr>Maquette</vt:lpstr>
      <vt:lpstr>ANNEEN1</vt:lpstr>
      <vt:lpstr>Arborescence</vt:lpstr>
      <vt:lpstr>INDICATEURS</vt:lpstr>
      <vt:lpstr>periode</vt:lpstr>
      <vt:lpstr>SAISIEPREVM1</vt:lpstr>
      <vt:lpstr>SAISIEPREVM2</vt:lpstr>
      <vt:lpstr>SAISIEPREVM3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 Cedric</dc:creator>
  <cp:lastModifiedBy>Yves</cp:lastModifiedBy>
  <dcterms:created xsi:type="dcterms:W3CDTF">2019-10-02T15:19:46Z</dcterms:created>
  <dcterms:modified xsi:type="dcterms:W3CDTF">2019-12-27T14:37:40Z</dcterms:modified>
</cp:coreProperties>
</file>