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 defaultThemeVersion="124226"/>
  <bookViews>
    <workbookView xWindow="0" yWindow="0" windowWidth="15225" windowHeight="11760" tabRatio="851" activeTab="1"/>
  </bookViews>
  <sheets>
    <sheet name="Tel que reçu" sheetId="14" r:id="rId1"/>
    <sheet name="Essai" sheetId="16" r:id="rId2"/>
  </sheets>
  <externalReferences>
    <externalReference r:id="rId3"/>
  </externalReferences>
  <definedNames>
    <definedName name="_xlnm._FilterDatabase" localSheetId="1" hidden="1">Essai!$A$1:$Z$26</definedName>
    <definedName name="_xlnm._FilterDatabase" localSheetId="0" hidden="1">'Tel que reçu'!$A$1:$Z$26</definedName>
    <definedName name="ANNEE_2010___2011___2012___2013" localSheetId="1">#REF!</definedName>
    <definedName name="ANNEE_2010___2011___2012___2013" localSheetId="0">#REF!</definedName>
    <definedName name="ANNEE_2010___2011___2012___2013">#REF!</definedName>
  </definedNames>
  <calcPr calcId="145621"/>
</workbook>
</file>

<file path=xl/calcChain.xml><?xml version="1.0" encoding="utf-8"?>
<calcChain xmlns="http://schemas.openxmlformats.org/spreadsheetml/2006/main">
  <c r="AL2" i="16" l="1"/>
  <c r="AL3" i="16"/>
  <c r="AM3" i="16"/>
  <c r="AN3" i="16"/>
  <c r="AO3" i="16"/>
  <c r="AP3" i="16"/>
  <c r="AQ3" i="16"/>
  <c r="AR3" i="16"/>
  <c r="AS3" i="16"/>
  <c r="AT3" i="16"/>
  <c r="AU3" i="16"/>
  <c r="AV3" i="16"/>
  <c r="AW3" i="16"/>
  <c r="AL4" i="16"/>
  <c r="AM4" i="16"/>
  <c r="AN4" i="16"/>
  <c r="AO4" i="16"/>
  <c r="AP4" i="16"/>
  <c r="AQ4" i="16"/>
  <c r="AR4" i="16"/>
  <c r="AS4" i="16"/>
  <c r="AT4" i="16"/>
  <c r="AU4" i="16"/>
  <c r="AV4" i="16"/>
  <c r="AW4" i="16"/>
  <c r="AL5" i="16"/>
  <c r="AM5" i="16"/>
  <c r="AN5" i="16"/>
  <c r="AO5" i="16"/>
  <c r="AP5" i="16"/>
  <c r="AQ5" i="16"/>
  <c r="AR5" i="16"/>
  <c r="AS5" i="16"/>
  <c r="AT5" i="16"/>
  <c r="AU5" i="16"/>
  <c r="AV5" i="16"/>
  <c r="AW5" i="16"/>
  <c r="AL6" i="16"/>
  <c r="AM6" i="16"/>
  <c r="AN6" i="16"/>
  <c r="AO6" i="16"/>
  <c r="AP6" i="16"/>
  <c r="AQ6" i="16"/>
  <c r="AR6" i="16"/>
  <c r="AS6" i="16"/>
  <c r="AT6" i="16"/>
  <c r="AU6" i="16"/>
  <c r="AV6" i="16"/>
  <c r="AW6" i="16"/>
  <c r="AL7" i="16"/>
  <c r="AM7" i="16"/>
  <c r="AN7" i="16"/>
  <c r="AO7" i="16"/>
  <c r="AP7" i="16"/>
  <c r="AQ7" i="16"/>
  <c r="AR7" i="16"/>
  <c r="AS7" i="16"/>
  <c r="AT7" i="16"/>
  <c r="AU7" i="16"/>
  <c r="AV7" i="16"/>
  <c r="AW7" i="16"/>
  <c r="AL8" i="16"/>
  <c r="AM8" i="16"/>
  <c r="AN8" i="16"/>
  <c r="AO8" i="16"/>
  <c r="AP8" i="16"/>
  <c r="AQ8" i="16"/>
  <c r="AR8" i="16"/>
  <c r="AS8" i="16"/>
  <c r="AT8" i="16"/>
  <c r="AU8" i="16"/>
  <c r="AV8" i="16"/>
  <c r="AW8" i="16"/>
  <c r="AL9" i="16"/>
  <c r="AM9" i="16"/>
  <c r="AN9" i="16"/>
  <c r="AO9" i="16"/>
  <c r="AP9" i="16"/>
  <c r="AQ9" i="16"/>
  <c r="AR9" i="16"/>
  <c r="AS9" i="16"/>
  <c r="AT9" i="16"/>
  <c r="AU9" i="16"/>
  <c r="AV9" i="16"/>
  <c r="AW9" i="16"/>
  <c r="AL10" i="16"/>
  <c r="AM10" i="16"/>
  <c r="AN10" i="16"/>
  <c r="AO10" i="16"/>
  <c r="AP10" i="16"/>
  <c r="AQ10" i="16"/>
  <c r="AR10" i="16"/>
  <c r="AS10" i="16"/>
  <c r="AT10" i="16"/>
  <c r="AU10" i="16"/>
  <c r="AV10" i="16"/>
  <c r="AW10" i="16"/>
  <c r="AL11" i="16"/>
  <c r="AM11" i="16"/>
  <c r="AN11" i="16"/>
  <c r="AO11" i="16"/>
  <c r="AP11" i="16"/>
  <c r="AQ11" i="16"/>
  <c r="AR11" i="16"/>
  <c r="AS11" i="16"/>
  <c r="AT11" i="16"/>
  <c r="AU11" i="16"/>
  <c r="AV11" i="16"/>
  <c r="AW11" i="16"/>
  <c r="AL12" i="16"/>
  <c r="AM12" i="16"/>
  <c r="AN12" i="16"/>
  <c r="AO12" i="16"/>
  <c r="AP12" i="16"/>
  <c r="AQ12" i="16"/>
  <c r="AR12" i="16"/>
  <c r="AS12" i="16"/>
  <c r="AT12" i="16"/>
  <c r="AU12" i="16"/>
  <c r="AV12" i="16"/>
  <c r="AW12" i="16"/>
  <c r="AL13" i="16"/>
  <c r="AM13" i="16"/>
  <c r="AN13" i="16"/>
  <c r="AO13" i="16"/>
  <c r="AP13" i="16"/>
  <c r="AQ13" i="16"/>
  <c r="AR13" i="16"/>
  <c r="AS13" i="16"/>
  <c r="AT13" i="16"/>
  <c r="AU13" i="16"/>
  <c r="AV13" i="16"/>
  <c r="AW13" i="16"/>
  <c r="AL14" i="16"/>
  <c r="AM14" i="16"/>
  <c r="AN14" i="16"/>
  <c r="AO14" i="16"/>
  <c r="AP14" i="16"/>
  <c r="AQ14" i="16"/>
  <c r="AR14" i="16"/>
  <c r="AS14" i="16"/>
  <c r="AT14" i="16"/>
  <c r="AU14" i="16"/>
  <c r="AV14" i="16"/>
  <c r="AW14" i="16"/>
  <c r="AL15" i="16"/>
  <c r="AM15" i="16"/>
  <c r="AN15" i="16"/>
  <c r="AO15" i="16"/>
  <c r="AP15" i="16"/>
  <c r="AQ15" i="16"/>
  <c r="AR15" i="16"/>
  <c r="AS15" i="16"/>
  <c r="AT15" i="16"/>
  <c r="AU15" i="16"/>
  <c r="AV15" i="16"/>
  <c r="AW15" i="16"/>
  <c r="AL16" i="16"/>
  <c r="AM16" i="16"/>
  <c r="AN16" i="16"/>
  <c r="AO16" i="16"/>
  <c r="AP16" i="16"/>
  <c r="AQ16" i="16"/>
  <c r="AR16" i="16"/>
  <c r="AS16" i="16"/>
  <c r="AT16" i="16"/>
  <c r="AU16" i="16"/>
  <c r="AV16" i="16"/>
  <c r="AW16" i="16"/>
  <c r="AL17" i="16"/>
  <c r="AM17" i="16"/>
  <c r="AN17" i="16"/>
  <c r="AO17" i="16"/>
  <c r="AP17" i="16"/>
  <c r="AQ17" i="16"/>
  <c r="AR17" i="16"/>
  <c r="AS17" i="16"/>
  <c r="AT17" i="16"/>
  <c r="AU17" i="16"/>
  <c r="AV17" i="16"/>
  <c r="AW17" i="16"/>
  <c r="AL18" i="16"/>
  <c r="AM18" i="16"/>
  <c r="AN18" i="16"/>
  <c r="AO18" i="16"/>
  <c r="AP18" i="16"/>
  <c r="AQ18" i="16"/>
  <c r="AR18" i="16"/>
  <c r="AS18" i="16"/>
  <c r="AT18" i="16"/>
  <c r="AU18" i="16"/>
  <c r="AV18" i="16"/>
  <c r="AW18" i="16"/>
  <c r="AL19" i="16"/>
  <c r="AM19" i="16"/>
  <c r="AN19" i="16"/>
  <c r="AO19" i="16"/>
  <c r="AP19" i="16"/>
  <c r="AQ19" i="16"/>
  <c r="AR19" i="16"/>
  <c r="AS19" i="16"/>
  <c r="AT19" i="16"/>
  <c r="AU19" i="16"/>
  <c r="AV19" i="16"/>
  <c r="AW19" i="16"/>
  <c r="AL20" i="16"/>
  <c r="AM20" i="16"/>
  <c r="AN20" i="16"/>
  <c r="AO20" i="16"/>
  <c r="AP20" i="16"/>
  <c r="AQ20" i="16"/>
  <c r="AR20" i="16"/>
  <c r="AS20" i="16"/>
  <c r="AT20" i="16"/>
  <c r="AU20" i="16"/>
  <c r="AV20" i="16"/>
  <c r="AW20" i="16"/>
  <c r="AL21" i="16"/>
  <c r="AM21" i="16"/>
  <c r="AN21" i="16"/>
  <c r="AO21" i="16"/>
  <c r="AP21" i="16"/>
  <c r="AQ21" i="16"/>
  <c r="AR21" i="16"/>
  <c r="AS21" i="16"/>
  <c r="AT21" i="16"/>
  <c r="AU21" i="16"/>
  <c r="AV21" i="16"/>
  <c r="AW21" i="16"/>
  <c r="AL22" i="16"/>
  <c r="AM22" i="16"/>
  <c r="AN22" i="16"/>
  <c r="AO22" i="16"/>
  <c r="AP22" i="16"/>
  <c r="AQ22" i="16"/>
  <c r="AR22" i="16"/>
  <c r="AS22" i="16"/>
  <c r="AT22" i="16"/>
  <c r="AU22" i="16"/>
  <c r="AV22" i="16"/>
  <c r="AW22" i="16"/>
  <c r="AL23" i="16"/>
  <c r="AM23" i="16"/>
  <c r="AN23" i="16"/>
  <c r="AO23" i="16"/>
  <c r="AP23" i="16"/>
  <c r="AQ23" i="16"/>
  <c r="AR23" i="16"/>
  <c r="AS23" i="16"/>
  <c r="AT23" i="16"/>
  <c r="AU23" i="16"/>
  <c r="AV23" i="16"/>
  <c r="AW23" i="16"/>
  <c r="AL24" i="16"/>
  <c r="AM24" i="16"/>
  <c r="AN24" i="16"/>
  <c r="AO24" i="16"/>
  <c r="AP24" i="16"/>
  <c r="AQ24" i="16"/>
  <c r="AR24" i="16"/>
  <c r="AS24" i="16"/>
  <c r="AT24" i="16"/>
  <c r="AU24" i="16"/>
  <c r="AV24" i="16"/>
  <c r="AW24" i="16"/>
  <c r="AL25" i="16"/>
  <c r="AM25" i="16"/>
  <c r="AN25" i="16"/>
  <c r="AO25" i="16"/>
  <c r="AP25" i="16"/>
  <c r="AQ25" i="16"/>
  <c r="AR25" i="16"/>
  <c r="AS25" i="16"/>
  <c r="AT25" i="16"/>
  <c r="AU25" i="16"/>
  <c r="AV25" i="16"/>
  <c r="AW25" i="16"/>
  <c r="AM2" i="16"/>
  <c r="AM26" i="16" s="1"/>
  <c r="AN2" i="16"/>
  <c r="AN26" i="16" s="1"/>
  <c r="AO2" i="16"/>
  <c r="AO26" i="16" s="1"/>
  <c r="AP2" i="16"/>
  <c r="AP26" i="16" s="1"/>
  <c r="AQ2" i="16"/>
  <c r="AQ26" i="16" s="1"/>
  <c r="AR2" i="16"/>
  <c r="AR26" i="16" s="1"/>
  <c r="AS2" i="16"/>
  <c r="AS26" i="16" s="1"/>
  <c r="AT2" i="16"/>
  <c r="AT26" i="16" s="1"/>
  <c r="AU2" i="16"/>
  <c r="AU26" i="16" s="1"/>
  <c r="AV2" i="16"/>
  <c r="AV26" i="16" s="1"/>
  <c r="AW2" i="16"/>
  <c r="AW26" i="16" s="1"/>
  <c r="AL26" i="16"/>
  <c r="I106" i="16"/>
  <c r="H106" i="16"/>
  <c r="K106" i="16" s="1"/>
  <c r="I105" i="16"/>
  <c r="H105" i="16"/>
  <c r="K105" i="16" s="1"/>
  <c r="I104" i="16"/>
  <c r="H104" i="16"/>
  <c r="K104" i="16" s="1"/>
  <c r="I103" i="16"/>
  <c r="H103" i="16"/>
  <c r="K103" i="16" s="1"/>
  <c r="I102" i="16"/>
  <c r="H102" i="16"/>
  <c r="K102" i="16" s="1"/>
  <c r="I101" i="16"/>
  <c r="H101" i="16"/>
  <c r="K101" i="16" s="1"/>
  <c r="I100" i="16"/>
  <c r="H100" i="16"/>
  <c r="K100" i="16" s="1"/>
  <c r="I99" i="16"/>
  <c r="H99" i="16"/>
  <c r="K99" i="16" s="1"/>
  <c r="I98" i="16"/>
  <c r="H98" i="16"/>
  <c r="K98" i="16" s="1"/>
  <c r="I97" i="16"/>
  <c r="H97" i="16"/>
  <c r="K97" i="16" s="1"/>
  <c r="I96" i="16"/>
  <c r="H96" i="16"/>
  <c r="K96" i="16" s="1"/>
  <c r="I95" i="16"/>
  <c r="H95" i="16"/>
  <c r="K95" i="16" s="1"/>
  <c r="M74" i="16"/>
  <c r="M73" i="16"/>
  <c r="M72" i="16"/>
  <c r="M71" i="16"/>
  <c r="M70" i="16"/>
  <c r="M69" i="16"/>
  <c r="M68" i="16"/>
  <c r="M67" i="16"/>
  <c r="M66" i="16"/>
  <c r="M65" i="16"/>
  <c r="M75" i="16" s="1"/>
  <c r="M58" i="16"/>
  <c r="M57" i="16"/>
  <c r="N57" i="16" s="1"/>
  <c r="M56" i="16"/>
  <c r="M55" i="16"/>
  <c r="N55" i="16" s="1"/>
  <c r="M54" i="16"/>
  <c r="M53" i="16"/>
  <c r="M52" i="16"/>
  <c r="M51" i="16"/>
  <c r="M50" i="16"/>
  <c r="N44" i="16"/>
  <c r="M44" i="16"/>
  <c r="N43" i="16"/>
  <c r="M43" i="16"/>
  <c r="N42" i="16"/>
  <c r="M42" i="16"/>
  <c r="N41" i="16"/>
  <c r="M41" i="16"/>
  <c r="N40" i="16"/>
  <c r="M40" i="16"/>
  <c r="N39" i="16"/>
  <c r="N45" i="16" s="1"/>
  <c r="M39" i="16"/>
  <c r="M45" i="16" s="1"/>
  <c r="N74" i="16" s="1"/>
  <c r="Y26" i="16"/>
  <c r="AI25" i="16"/>
  <c r="AH25" i="16"/>
  <c r="AG25" i="16"/>
  <c r="AF25" i="16"/>
  <c r="AE25" i="16"/>
  <c r="AD25" i="16"/>
  <c r="AC25" i="16"/>
  <c r="AB25" i="16"/>
  <c r="AA25" i="16"/>
  <c r="V25" i="16"/>
  <c r="M25" i="16"/>
  <c r="J25" i="16"/>
  <c r="I25" i="16"/>
  <c r="F25" i="16"/>
  <c r="E25" i="16"/>
  <c r="AI24" i="16"/>
  <c r="AH24" i="16"/>
  <c r="AG24" i="16"/>
  <c r="AF24" i="16"/>
  <c r="AE24" i="16"/>
  <c r="AD24" i="16"/>
  <c r="AC24" i="16"/>
  <c r="AB24" i="16"/>
  <c r="AA24" i="16"/>
  <c r="V24" i="16"/>
  <c r="M24" i="16"/>
  <c r="J24" i="16"/>
  <c r="I24" i="16"/>
  <c r="F24" i="16"/>
  <c r="AI23" i="16"/>
  <c r="AH23" i="16"/>
  <c r="AG23" i="16"/>
  <c r="AF23" i="16"/>
  <c r="AE23" i="16"/>
  <c r="AD23" i="16"/>
  <c r="AC23" i="16"/>
  <c r="AB23" i="16"/>
  <c r="AA23" i="16"/>
  <c r="V23" i="16"/>
  <c r="M23" i="16"/>
  <c r="J23" i="16"/>
  <c r="I23" i="16"/>
  <c r="F23" i="16"/>
  <c r="AI22" i="16"/>
  <c r="AH22" i="16"/>
  <c r="AG22" i="16"/>
  <c r="AF22" i="16"/>
  <c r="AE22" i="16"/>
  <c r="AD22" i="16"/>
  <c r="AC22" i="16"/>
  <c r="AB22" i="16"/>
  <c r="AA22" i="16"/>
  <c r="V22" i="16"/>
  <c r="M22" i="16"/>
  <c r="J22" i="16"/>
  <c r="I22" i="16"/>
  <c r="F22" i="16"/>
  <c r="AI21" i="16"/>
  <c r="AH21" i="16"/>
  <c r="AG21" i="16"/>
  <c r="AF21" i="16"/>
  <c r="AE21" i="16"/>
  <c r="AD21" i="16"/>
  <c r="AC21" i="16"/>
  <c r="AB21" i="16"/>
  <c r="AA21" i="16"/>
  <c r="V21" i="16"/>
  <c r="M21" i="16"/>
  <c r="J21" i="16"/>
  <c r="I21" i="16"/>
  <c r="F21" i="16"/>
  <c r="AI20" i="16"/>
  <c r="AH20" i="16"/>
  <c r="AG20" i="16"/>
  <c r="AF20" i="16"/>
  <c r="AE20" i="16"/>
  <c r="AD20" i="16"/>
  <c r="AC20" i="16"/>
  <c r="AB20" i="16"/>
  <c r="AA20" i="16"/>
  <c r="V20" i="16"/>
  <c r="M20" i="16"/>
  <c r="J20" i="16"/>
  <c r="I20" i="16"/>
  <c r="F20" i="16"/>
  <c r="AI19" i="16"/>
  <c r="AH19" i="16"/>
  <c r="AG19" i="16"/>
  <c r="AF19" i="16"/>
  <c r="AE19" i="16"/>
  <c r="AD19" i="16"/>
  <c r="AC19" i="16"/>
  <c r="AB19" i="16"/>
  <c r="AA19" i="16"/>
  <c r="V19" i="16"/>
  <c r="M19" i="16"/>
  <c r="J19" i="16"/>
  <c r="I19" i="16"/>
  <c r="F19" i="16"/>
  <c r="AI18" i="16"/>
  <c r="AH18" i="16"/>
  <c r="AG18" i="16"/>
  <c r="AF18" i="16"/>
  <c r="AE18" i="16"/>
  <c r="AD18" i="16"/>
  <c r="AC18" i="16"/>
  <c r="AB18" i="16"/>
  <c r="AA18" i="16"/>
  <c r="V18" i="16"/>
  <c r="M18" i="16"/>
  <c r="J18" i="16"/>
  <c r="I18" i="16"/>
  <c r="F18" i="16"/>
  <c r="AK17" i="16"/>
  <c r="AI17" i="16"/>
  <c r="AH17" i="16"/>
  <c r="AG17" i="16"/>
  <c r="AF17" i="16"/>
  <c r="AE17" i="16"/>
  <c r="AD17" i="16"/>
  <c r="AC17" i="16"/>
  <c r="AB17" i="16"/>
  <c r="AA17" i="16"/>
  <c r="V17" i="16"/>
  <c r="M17" i="16"/>
  <c r="J17" i="16"/>
  <c r="I17" i="16"/>
  <c r="F17" i="16"/>
  <c r="AI16" i="16"/>
  <c r="AH16" i="16"/>
  <c r="AG16" i="16"/>
  <c r="AF16" i="16"/>
  <c r="AE16" i="16"/>
  <c r="AD16" i="16"/>
  <c r="AC16" i="16"/>
  <c r="AB16" i="16"/>
  <c r="AA16" i="16"/>
  <c r="V16" i="16"/>
  <c r="M16" i="16"/>
  <c r="J16" i="16"/>
  <c r="I16" i="16"/>
  <c r="F16" i="16"/>
  <c r="AI15" i="16"/>
  <c r="AH15" i="16"/>
  <c r="AF15" i="16"/>
  <c r="AE15" i="16"/>
  <c r="AG15" i="16" s="1"/>
  <c r="AB15" i="16"/>
  <c r="AD15" i="16" s="1"/>
  <c r="V15" i="16"/>
  <c r="M15" i="16"/>
  <c r="J15" i="16"/>
  <c r="E15" i="16"/>
  <c r="F15" i="16" s="1"/>
  <c r="AI14" i="16"/>
  <c r="AG14" i="16"/>
  <c r="AF14" i="16"/>
  <c r="AH14" i="16" s="1"/>
  <c r="AD14" i="16"/>
  <c r="AC14" i="16"/>
  <c r="V14" i="16"/>
  <c r="J14" i="16"/>
  <c r="I14" i="16"/>
  <c r="E14" i="16"/>
  <c r="AI13" i="16"/>
  <c r="AF13" i="16"/>
  <c r="AH13" i="16" s="1"/>
  <c r="AE13" i="16"/>
  <c r="AG13" i="16" s="1"/>
  <c r="AB13" i="16"/>
  <c r="AD13" i="16" s="1"/>
  <c r="V13" i="16"/>
  <c r="J13" i="16"/>
  <c r="AA13" i="16" s="1"/>
  <c r="AC13" i="16" s="1"/>
  <c r="E13" i="16"/>
  <c r="F13" i="16" s="1"/>
  <c r="AI12" i="16"/>
  <c r="AH12" i="16"/>
  <c r="AF12" i="16"/>
  <c r="AE12" i="16"/>
  <c r="AG12" i="16" s="1"/>
  <c r="V12" i="16"/>
  <c r="M12" i="16"/>
  <c r="AB12" i="16" s="1"/>
  <c r="AD12" i="16" s="1"/>
  <c r="J12" i="16"/>
  <c r="E12" i="16"/>
  <c r="F12" i="16" s="1"/>
  <c r="AI11" i="16"/>
  <c r="AF11" i="16"/>
  <c r="AH11" i="16" s="1"/>
  <c r="AE11" i="16"/>
  <c r="AG11" i="16" s="1"/>
  <c r="V11" i="16"/>
  <c r="M11" i="16"/>
  <c r="AB11" i="16" s="1"/>
  <c r="AD11" i="16" s="1"/>
  <c r="J11" i="16"/>
  <c r="AA11" i="16" s="1"/>
  <c r="AC11" i="16" s="1"/>
  <c r="E11" i="16"/>
  <c r="AI10" i="16"/>
  <c r="AF10" i="16"/>
  <c r="AH10" i="16" s="1"/>
  <c r="AE10" i="16"/>
  <c r="AG10" i="16" s="1"/>
  <c r="AA10" i="16"/>
  <c r="AC10" i="16" s="1"/>
  <c r="V10" i="16"/>
  <c r="M10" i="16"/>
  <c r="AB10" i="16" s="1"/>
  <c r="AD10" i="16" s="1"/>
  <c r="J10" i="16"/>
  <c r="I10" i="16"/>
  <c r="E10" i="16"/>
  <c r="F10" i="16" s="1"/>
  <c r="AI9" i="16"/>
  <c r="AF9" i="16"/>
  <c r="AH9" i="16" s="1"/>
  <c r="AE9" i="16"/>
  <c r="AG9" i="16" s="1"/>
  <c r="F9" i="16" s="1"/>
  <c r="V9" i="16"/>
  <c r="M9" i="16"/>
  <c r="AB9" i="16" s="1"/>
  <c r="AD9" i="16" s="1"/>
  <c r="J9" i="16"/>
  <c r="AA9" i="16" s="1"/>
  <c r="AC9" i="16" s="1"/>
  <c r="E9" i="16"/>
  <c r="AI8" i="16"/>
  <c r="AF8" i="16"/>
  <c r="AH8" i="16" s="1"/>
  <c r="AE8" i="16"/>
  <c r="AG8" i="16" s="1"/>
  <c r="V8" i="16"/>
  <c r="M8" i="16"/>
  <c r="AB8" i="16" s="1"/>
  <c r="AD8" i="16" s="1"/>
  <c r="J8" i="16"/>
  <c r="AA8" i="16" s="1"/>
  <c r="AC8" i="16" s="1"/>
  <c r="E8" i="16"/>
  <c r="F8" i="16" s="1"/>
  <c r="AI7" i="16"/>
  <c r="AF7" i="16"/>
  <c r="AH7" i="16" s="1"/>
  <c r="AE7" i="16"/>
  <c r="AG7" i="16" s="1"/>
  <c r="V7" i="16"/>
  <c r="M7" i="16"/>
  <c r="AB7" i="16" s="1"/>
  <c r="AD7" i="16" s="1"/>
  <c r="J7" i="16"/>
  <c r="AA7" i="16" s="1"/>
  <c r="AC7" i="16" s="1"/>
  <c r="E7" i="16"/>
  <c r="AI6" i="16"/>
  <c r="AF6" i="16"/>
  <c r="AH6" i="16" s="1"/>
  <c r="AE6" i="16"/>
  <c r="AG6" i="16" s="1"/>
  <c r="AA6" i="16"/>
  <c r="AC6" i="16" s="1"/>
  <c r="V6" i="16"/>
  <c r="M6" i="16"/>
  <c r="AB6" i="16" s="1"/>
  <c r="AD6" i="16" s="1"/>
  <c r="J6" i="16"/>
  <c r="I6" i="16"/>
  <c r="E6" i="16"/>
  <c r="F6" i="16" s="1"/>
  <c r="AI5" i="16"/>
  <c r="AF5" i="16"/>
  <c r="AH5" i="16" s="1"/>
  <c r="AE5" i="16"/>
  <c r="AG5" i="16" s="1"/>
  <c r="F5" i="16" s="1"/>
  <c r="AB5" i="16"/>
  <c r="AD5" i="16" s="1"/>
  <c r="V5" i="16"/>
  <c r="M5" i="16"/>
  <c r="J5" i="16"/>
  <c r="AA5" i="16" s="1"/>
  <c r="AC5" i="16" s="1"/>
  <c r="E5" i="16"/>
  <c r="AH4" i="16"/>
  <c r="AG4" i="16"/>
  <c r="V4" i="16"/>
  <c r="M4" i="16"/>
  <c r="J4" i="16"/>
  <c r="I4" i="16" s="1"/>
  <c r="E4" i="16"/>
  <c r="AH3" i="16"/>
  <c r="AG3" i="16"/>
  <c r="V3" i="16"/>
  <c r="M3" i="16"/>
  <c r="J3" i="16"/>
  <c r="I3" i="16" s="1"/>
  <c r="E3" i="16"/>
  <c r="AH2" i="16"/>
  <c r="AG2" i="16"/>
  <c r="H49" i="16" s="1"/>
  <c r="V2" i="16"/>
  <c r="M2" i="16"/>
  <c r="J2" i="16"/>
  <c r="I2" i="16" s="1"/>
  <c r="E2" i="16"/>
  <c r="I106" i="14"/>
  <c r="H106" i="14"/>
  <c r="K106" i="14" s="1"/>
  <c r="I105" i="14"/>
  <c r="H105" i="14"/>
  <c r="K105" i="14" s="1"/>
  <c r="I104" i="14"/>
  <c r="H104" i="14"/>
  <c r="K104" i="14" s="1"/>
  <c r="I103" i="14"/>
  <c r="H103" i="14"/>
  <c r="K103" i="14" s="1"/>
  <c r="I102" i="14"/>
  <c r="H102" i="14"/>
  <c r="K102" i="14" s="1"/>
  <c r="I101" i="14"/>
  <c r="H101" i="14"/>
  <c r="K101" i="14" s="1"/>
  <c r="I100" i="14"/>
  <c r="H100" i="14"/>
  <c r="K100" i="14" s="1"/>
  <c r="I99" i="14"/>
  <c r="H99" i="14"/>
  <c r="K99" i="14" s="1"/>
  <c r="I98" i="14"/>
  <c r="H98" i="14"/>
  <c r="K98" i="14" s="1"/>
  <c r="I97" i="14"/>
  <c r="H97" i="14"/>
  <c r="K97" i="14" s="1"/>
  <c r="I96" i="14"/>
  <c r="H96" i="14"/>
  <c r="K96" i="14" s="1"/>
  <c r="I95" i="14"/>
  <c r="H95" i="14"/>
  <c r="K95" i="14" s="1"/>
  <c r="M74" i="14"/>
  <c r="M73" i="14"/>
  <c r="M72" i="14"/>
  <c r="M71" i="14"/>
  <c r="M70" i="14"/>
  <c r="M69" i="14"/>
  <c r="M68" i="14"/>
  <c r="M67" i="14"/>
  <c r="M66" i="14"/>
  <c r="M65" i="14"/>
  <c r="M58" i="14"/>
  <c r="M57" i="14"/>
  <c r="M56" i="14"/>
  <c r="M55" i="14"/>
  <c r="M54" i="14"/>
  <c r="M53" i="14"/>
  <c r="M52" i="14"/>
  <c r="M51" i="14"/>
  <c r="M50" i="14"/>
  <c r="M44" i="14"/>
  <c r="M43" i="14"/>
  <c r="M42" i="14"/>
  <c r="M41" i="14"/>
  <c r="M40" i="14"/>
  <c r="M39" i="14"/>
  <c r="M45" i="14" s="1"/>
  <c r="Y26" i="14"/>
  <c r="AI25" i="14"/>
  <c r="AH25" i="14"/>
  <c r="AG25" i="14"/>
  <c r="AF25" i="14"/>
  <c r="AE25" i="14"/>
  <c r="AD25" i="14"/>
  <c r="AC25" i="14"/>
  <c r="AB25" i="14"/>
  <c r="AA25" i="14"/>
  <c r="V25" i="14"/>
  <c r="M25" i="14"/>
  <c r="J25" i="14"/>
  <c r="I25" i="14"/>
  <c r="F25" i="14"/>
  <c r="E25" i="14"/>
  <c r="AI24" i="14"/>
  <c r="AH24" i="14"/>
  <c r="AG24" i="14"/>
  <c r="AF24" i="14"/>
  <c r="AE24" i="14"/>
  <c r="AD24" i="14"/>
  <c r="AC24" i="14"/>
  <c r="AB24" i="14"/>
  <c r="AA24" i="14"/>
  <c r="V24" i="14"/>
  <c r="M24" i="14"/>
  <c r="J24" i="14"/>
  <c r="I24" i="14"/>
  <c r="F24" i="14"/>
  <c r="AI23" i="14"/>
  <c r="AH23" i="14"/>
  <c r="AG23" i="14"/>
  <c r="AF23" i="14"/>
  <c r="AE23" i="14"/>
  <c r="AD23" i="14"/>
  <c r="AC23" i="14"/>
  <c r="AB23" i="14"/>
  <c r="AA23" i="14"/>
  <c r="V23" i="14"/>
  <c r="M23" i="14"/>
  <c r="J23" i="14"/>
  <c r="I23" i="14"/>
  <c r="F23" i="14"/>
  <c r="AI22" i="14"/>
  <c r="AH22" i="14"/>
  <c r="AG22" i="14"/>
  <c r="AF22" i="14"/>
  <c r="AE22" i="14"/>
  <c r="AD22" i="14"/>
  <c r="AC22" i="14"/>
  <c r="AB22" i="14"/>
  <c r="AA22" i="14"/>
  <c r="V22" i="14"/>
  <c r="M22" i="14"/>
  <c r="J22" i="14"/>
  <c r="I22" i="14"/>
  <c r="F22" i="14"/>
  <c r="AI21" i="14"/>
  <c r="AH21" i="14"/>
  <c r="AG21" i="14"/>
  <c r="AF21" i="14"/>
  <c r="AE21" i="14"/>
  <c r="AD21" i="14"/>
  <c r="AC21" i="14"/>
  <c r="AB21" i="14"/>
  <c r="AA21" i="14"/>
  <c r="V21" i="14"/>
  <c r="M21" i="14"/>
  <c r="J21" i="14"/>
  <c r="I21" i="14"/>
  <c r="F21" i="14"/>
  <c r="AI20" i="14"/>
  <c r="AH20" i="14"/>
  <c r="AG20" i="14"/>
  <c r="AF20" i="14"/>
  <c r="AE20" i="14"/>
  <c r="AD20" i="14"/>
  <c r="AC20" i="14"/>
  <c r="AB20" i="14"/>
  <c r="AA20" i="14"/>
  <c r="V20" i="14"/>
  <c r="M20" i="14"/>
  <c r="J20" i="14"/>
  <c r="I20" i="14"/>
  <c r="F20" i="14"/>
  <c r="AI19" i="14"/>
  <c r="AH19" i="14"/>
  <c r="AG19" i="14"/>
  <c r="AF19" i="14"/>
  <c r="AE19" i="14"/>
  <c r="AD19" i="14"/>
  <c r="AC19" i="14"/>
  <c r="AB19" i="14"/>
  <c r="AA19" i="14"/>
  <c r="V19" i="14"/>
  <c r="M19" i="14"/>
  <c r="J19" i="14"/>
  <c r="I19" i="14"/>
  <c r="F19" i="14"/>
  <c r="AI18" i="14"/>
  <c r="AH18" i="14"/>
  <c r="AG18" i="14"/>
  <c r="AF18" i="14"/>
  <c r="AE18" i="14"/>
  <c r="AD18" i="14"/>
  <c r="AC18" i="14"/>
  <c r="AB18" i="14"/>
  <c r="AA18" i="14"/>
  <c r="V18" i="14"/>
  <c r="M18" i="14"/>
  <c r="J18" i="14"/>
  <c r="I18" i="14"/>
  <c r="F18" i="14"/>
  <c r="AJ17" i="14"/>
  <c r="AI17" i="14"/>
  <c r="AH17" i="14"/>
  <c r="AG17" i="14"/>
  <c r="AF17" i="14"/>
  <c r="AE17" i="14"/>
  <c r="AD17" i="14"/>
  <c r="AC17" i="14"/>
  <c r="AB17" i="14"/>
  <c r="AA17" i="14"/>
  <c r="V17" i="14"/>
  <c r="M17" i="14"/>
  <c r="J17" i="14"/>
  <c r="I17" i="14"/>
  <c r="F17" i="14"/>
  <c r="AI16" i="14"/>
  <c r="AH16" i="14"/>
  <c r="AG16" i="14"/>
  <c r="AF16" i="14"/>
  <c r="AE16" i="14"/>
  <c r="AD16" i="14"/>
  <c r="AC16" i="14"/>
  <c r="AB16" i="14"/>
  <c r="AA16" i="14"/>
  <c r="V16" i="14"/>
  <c r="M16" i="14"/>
  <c r="J16" i="14"/>
  <c r="I16" i="14"/>
  <c r="F16" i="14"/>
  <c r="AI15" i="14"/>
  <c r="AF15" i="14"/>
  <c r="AH15" i="14" s="1"/>
  <c r="AE15" i="14"/>
  <c r="AG15" i="14" s="1"/>
  <c r="AB15" i="14"/>
  <c r="AD15" i="14" s="1"/>
  <c r="AA15" i="14"/>
  <c r="AC15" i="14" s="1"/>
  <c r="V15" i="14"/>
  <c r="M15" i="14"/>
  <c r="J15" i="14"/>
  <c r="I15" i="14"/>
  <c r="E15" i="14"/>
  <c r="AI14" i="14"/>
  <c r="AG14" i="14"/>
  <c r="AF14" i="14"/>
  <c r="AH14" i="14" s="1"/>
  <c r="AD14" i="14"/>
  <c r="AC14" i="14"/>
  <c r="V14" i="14"/>
  <c r="J14" i="14"/>
  <c r="I14" i="14" s="1"/>
  <c r="F14" i="14"/>
  <c r="E14" i="14"/>
  <c r="AI13" i="14"/>
  <c r="AF13" i="14"/>
  <c r="AH13" i="14" s="1"/>
  <c r="AE13" i="14"/>
  <c r="AG13" i="14" s="1"/>
  <c r="F13" i="14" s="1"/>
  <c r="AB13" i="14"/>
  <c r="AD13" i="14" s="1"/>
  <c r="V13" i="14"/>
  <c r="J13" i="14"/>
  <c r="AA13" i="14" s="1"/>
  <c r="AC13" i="14" s="1"/>
  <c r="E13" i="14"/>
  <c r="AI12" i="14"/>
  <c r="AF12" i="14"/>
  <c r="AH12" i="14" s="1"/>
  <c r="AE12" i="14"/>
  <c r="AG12" i="14" s="1"/>
  <c r="AA12" i="14"/>
  <c r="AC12" i="14" s="1"/>
  <c r="V12" i="14"/>
  <c r="M12" i="14"/>
  <c r="AB12" i="14" s="1"/>
  <c r="AD12" i="14" s="1"/>
  <c r="J12" i="14"/>
  <c r="I12" i="14"/>
  <c r="E12" i="14"/>
  <c r="F12" i="14" s="1"/>
  <c r="AI11" i="14"/>
  <c r="AF11" i="14"/>
  <c r="AH11" i="14" s="1"/>
  <c r="AE11" i="14"/>
  <c r="AG11" i="14" s="1"/>
  <c r="F11" i="14" s="1"/>
  <c r="AB11" i="14"/>
  <c r="AD11" i="14" s="1"/>
  <c r="V11" i="14"/>
  <c r="M11" i="14"/>
  <c r="J11" i="14"/>
  <c r="AA11" i="14" s="1"/>
  <c r="AC11" i="14" s="1"/>
  <c r="E11" i="14"/>
  <c r="AI10" i="14"/>
  <c r="AF10" i="14"/>
  <c r="AH10" i="14" s="1"/>
  <c r="AE10" i="14"/>
  <c r="AG10" i="14" s="1"/>
  <c r="AA10" i="14"/>
  <c r="AC10" i="14" s="1"/>
  <c r="V10" i="14"/>
  <c r="M10" i="14"/>
  <c r="AB10" i="14" s="1"/>
  <c r="AD10" i="14" s="1"/>
  <c r="J10" i="14"/>
  <c r="I10" i="14"/>
  <c r="E10" i="14"/>
  <c r="F10" i="14" s="1"/>
  <c r="AI9" i="14"/>
  <c r="AF9" i="14"/>
  <c r="AH9" i="14" s="1"/>
  <c r="AE9" i="14"/>
  <c r="AG9" i="14" s="1"/>
  <c r="F9" i="14" s="1"/>
  <c r="AB9" i="14"/>
  <c r="AD9" i="14" s="1"/>
  <c r="V9" i="14"/>
  <c r="M9" i="14"/>
  <c r="J9" i="14"/>
  <c r="AA9" i="14" s="1"/>
  <c r="AC9" i="14" s="1"/>
  <c r="E9" i="14"/>
  <c r="AI8" i="14"/>
  <c r="AF8" i="14"/>
  <c r="AH8" i="14" s="1"/>
  <c r="AE8" i="14"/>
  <c r="AG8" i="14" s="1"/>
  <c r="AA8" i="14"/>
  <c r="AC8" i="14" s="1"/>
  <c r="V8" i="14"/>
  <c r="M8" i="14"/>
  <c r="AB8" i="14" s="1"/>
  <c r="AD8" i="14" s="1"/>
  <c r="J8" i="14"/>
  <c r="I8" i="14"/>
  <c r="E8" i="14"/>
  <c r="F8" i="14" s="1"/>
  <c r="AI7" i="14"/>
  <c r="AF7" i="14"/>
  <c r="AH7" i="14" s="1"/>
  <c r="AE7" i="14"/>
  <c r="AG7" i="14" s="1"/>
  <c r="F7" i="14" s="1"/>
  <c r="AB7" i="14"/>
  <c r="AD7" i="14" s="1"/>
  <c r="V7" i="14"/>
  <c r="M7" i="14"/>
  <c r="J7" i="14"/>
  <c r="AA7" i="14" s="1"/>
  <c r="AC7" i="14" s="1"/>
  <c r="E7" i="14"/>
  <c r="AI6" i="14"/>
  <c r="AF6" i="14"/>
  <c r="AH6" i="14" s="1"/>
  <c r="AE6" i="14"/>
  <c r="AG6" i="14" s="1"/>
  <c r="AA6" i="14"/>
  <c r="AC6" i="14" s="1"/>
  <c r="V6" i="14"/>
  <c r="M6" i="14"/>
  <c r="AB6" i="14" s="1"/>
  <c r="AD6" i="14" s="1"/>
  <c r="J6" i="14"/>
  <c r="I6" i="14"/>
  <c r="E6" i="14"/>
  <c r="F6" i="14" s="1"/>
  <c r="AI5" i="14"/>
  <c r="AF5" i="14"/>
  <c r="AH5" i="14" s="1"/>
  <c r="AE5" i="14"/>
  <c r="AG5" i="14" s="1"/>
  <c r="F5" i="14" s="1"/>
  <c r="AB5" i="14"/>
  <c r="AD5" i="14" s="1"/>
  <c r="V5" i="14"/>
  <c r="M5" i="14"/>
  <c r="J5" i="14"/>
  <c r="AA5" i="14" s="1"/>
  <c r="AC5" i="14" s="1"/>
  <c r="E5" i="14"/>
  <c r="AH4" i="14"/>
  <c r="AG4" i="14"/>
  <c r="V4" i="14"/>
  <c r="M4" i="14"/>
  <c r="J4" i="14"/>
  <c r="I4" i="14" s="1"/>
  <c r="E4" i="14"/>
  <c r="AH3" i="14"/>
  <c r="AG3" i="14"/>
  <c r="V3" i="14"/>
  <c r="M3" i="14"/>
  <c r="J3" i="14"/>
  <c r="I3" i="14"/>
  <c r="E3" i="14"/>
  <c r="AH2" i="14"/>
  <c r="AG2" i="14"/>
  <c r="V2" i="14"/>
  <c r="M2" i="14"/>
  <c r="J2" i="14"/>
  <c r="I2" i="14" s="1"/>
  <c r="E2" i="14"/>
  <c r="AX25" i="16" l="1"/>
  <c r="AX24" i="16"/>
  <c r="AX23" i="16"/>
  <c r="AX22" i="16"/>
  <c r="AX21" i="16"/>
  <c r="AX20" i="16"/>
  <c r="AX19" i="16"/>
  <c r="AX18" i="16"/>
  <c r="AX17" i="16"/>
  <c r="AX16" i="16"/>
  <c r="AX15" i="16"/>
  <c r="AX14" i="16"/>
  <c r="AX13" i="16"/>
  <c r="AX12" i="16"/>
  <c r="AX11" i="16"/>
  <c r="AX10" i="16"/>
  <c r="AX9" i="16"/>
  <c r="AX8" i="16"/>
  <c r="AX7" i="16"/>
  <c r="AX6" i="16"/>
  <c r="AX5" i="16"/>
  <c r="AX4" i="16"/>
  <c r="AX3" i="16"/>
  <c r="AX2" i="16"/>
  <c r="B103" i="16"/>
  <c r="D103" i="16" s="1"/>
  <c r="F7" i="16"/>
  <c r="I8" i="16"/>
  <c r="F11" i="16"/>
  <c r="I13" i="16"/>
  <c r="F14" i="16"/>
  <c r="G49" i="16"/>
  <c r="G48" i="16"/>
  <c r="G47" i="16"/>
  <c r="G46" i="16"/>
  <c r="G45" i="16"/>
  <c r="G44" i="16"/>
  <c r="G43" i="16"/>
  <c r="G42" i="16"/>
  <c r="G41" i="16"/>
  <c r="G40" i="16"/>
  <c r="G39" i="16"/>
  <c r="D45" i="16"/>
  <c r="D44" i="16"/>
  <c r="D43" i="16"/>
  <c r="D42" i="16"/>
  <c r="D41" i="16"/>
  <c r="D40" i="16"/>
  <c r="D39" i="16"/>
  <c r="D49" i="16"/>
  <c r="D48" i="16"/>
  <c r="D47" i="16"/>
  <c r="D46" i="16"/>
  <c r="H45" i="16"/>
  <c r="H89" i="16"/>
  <c r="D89" i="16"/>
  <c r="B89" i="16"/>
  <c r="I89" i="16"/>
  <c r="C89" i="16"/>
  <c r="G89" i="16"/>
  <c r="C59" i="16"/>
  <c r="C57" i="16"/>
  <c r="C55" i="16"/>
  <c r="H39" i="16"/>
  <c r="H40" i="16"/>
  <c r="H41" i="16"/>
  <c r="H42" i="16"/>
  <c r="H43" i="16"/>
  <c r="H44" i="16"/>
  <c r="M59" i="16"/>
  <c r="B95" i="16"/>
  <c r="B99" i="16"/>
  <c r="D99" i="16" s="1"/>
  <c r="I5" i="16"/>
  <c r="B106" i="16"/>
  <c r="D106" i="16" s="1"/>
  <c r="B104" i="16"/>
  <c r="D104" i="16" s="1"/>
  <c r="B102" i="16"/>
  <c r="D102" i="16" s="1"/>
  <c r="B100" i="16"/>
  <c r="D100" i="16" s="1"/>
  <c r="B98" i="16"/>
  <c r="D98" i="16" s="1"/>
  <c r="B96" i="16"/>
  <c r="D96" i="16" s="1"/>
  <c r="I7" i="16"/>
  <c r="I9" i="16"/>
  <c r="I11" i="16"/>
  <c r="AA12" i="16"/>
  <c r="AC12" i="16" s="1"/>
  <c r="I12" i="16"/>
  <c r="AA15" i="16"/>
  <c r="AC15" i="16" s="1"/>
  <c r="I15" i="16"/>
  <c r="H46" i="16"/>
  <c r="H47" i="16"/>
  <c r="H48" i="16"/>
  <c r="N50" i="16"/>
  <c r="N51" i="16"/>
  <c r="N52" i="16"/>
  <c r="N53" i="16"/>
  <c r="N54" i="16"/>
  <c r="C56" i="16"/>
  <c r="N56" i="16"/>
  <c r="C58" i="16"/>
  <c r="N58" i="16"/>
  <c r="N65" i="16"/>
  <c r="N66" i="16"/>
  <c r="N67" i="16"/>
  <c r="N68" i="16"/>
  <c r="N69" i="16"/>
  <c r="N70" i="16"/>
  <c r="N71" i="16"/>
  <c r="N72" i="16"/>
  <c r="N73" i="16"/>
  <c r="B97" i="16"/>
  <c r="D97" i="16" s="1"/>
  <c r="B101" i="16"/>
  <c r="D101" i="16" s="1"/>
  <c r="B105" i="16"/>
  <c r="D105" i="16" s="1"/>
  <c r="K82" i="14"/>
  <c r="H82" i="14"/>
  <c r="D82" i="14"/>
  <c r="B82" i="14"/>
  <c r="I82" i="14"/>
  <c r="G82" i="14"/>
  <c r="C82" i="14"/>
  <c r="H89" i="14"/>
  <c r="D89" i="14"/>
  <c r="B89" i="14"/>
  <c r="I89" i="14"/>
  <c r="G89" i="14"/>
  <c r="C89" i="14"/>
  <c r="F15" i="14"/>
  <c r="D48" i="14" s="1"/>
  <c r="N57" i="14"/>
  <c r="N55" i="14"/>
  <c r="C58" i="14"/>
  <c r="C56" i="14"/>
  <c r="H49" i="14"/>
  <c r="H48" i="14"/>
  <c r="H47" i="14"/>
  <c r="H46" i="14"/>
  <c r="H45" i="14"/>
  <c r="H44" i="14"/>
  <c r="H43" i="14"/>
  <c r="H42" i="14"/>
  <c r="H41" i="14"/>
  <c r="I5" i="14"/>
  <c r="B106" i="14"/>
  <c r="D106" i="14" s="1"/>
  <c r="B104" i="14"/>
  <c r="D104" i="14" s="1"/>
  <c r="B102" i="14"/>
  <c r="D102" i="14" s="1"/>
  <c r="B100" i="14"/>
  <c r="D100" i="14" s="1"/>
  <c r="B98" i="14"/>
  <c r="D98" i="14" s="1"/>
  <c r="B96" i="14"/>
  <c r="D96" i="14" s="1"/>
  <c r="B105" i="14"/>
  <c r="D105" i="14" s="1"/>
  <c r="B103" i="14"/>
  <c r="D103" i="14" s="1"/>
  <c r="B101" i="14"/>
  <c r="D101" i="14" s="1"/>
  <c r="B99" i="14"/>
  <c r="D99" i="14" s="1"/>
  <c r="B97" i="14"/>
  <c r="D97" i="14" s="1"/>
  <c r="B95" i="14"/>
  <c r="I7" i="14"/>
  <c r="I9" i="14"/>
  <c r="I11" i="14"/>
  <c r="I13" i="14"/>
  <c r="H39" i="14"/>
  <c r="N39" i="14"/>
  <c r="H40" i="14"/>
  <c r="N41" i="14"/>
  <c r="N43" i="14"/>
  <c r="N51" i="14"/>
  <c r="N53" i="14"/>
  <c r="C55" i="14"/>
  <c r="C57" i="14"/>
  <c r="C59" i="14"/>
  <c r="M75" i="14"/>
  <c r="N65" i="14"/>
  <c r="N67" i="14"/>
  <c r="N69" i="14"/>
  <c r="N71" i="14"/>
  <c r="N73" i="14"/>
  <c r="N40" i="14"/>
  <c r="N42" i="14"/>
  <c r="N44" i="14"/>
  <c r="M59" i="14"/>
  <c r="N50" i="14"/>
  <c r="N52" i="14"/>
  <c r="N54" i="14"/>
  <c r="N56" i="14"/>
  <c r="N58" i="14"/>
  <c r="N66" i="14"/>
  <c r="N68" i="14"/>
  <c r="N70" i="14"/>
  <c r="N72" i="14"/>
  <c r="N74" i="14"/>
  <c r="H82" i="16" l="1"/>
  <c r="N75" i="16"/>
  <c r="C105" i="16"/>
  <c r="F105" i="16" s="1"/>
  <c r="C103" i="16"/>
  <c r="F103" i="16" s="1"/>
  <c r="C101" i="16"/>
  <c r="F101" i="16" s="1"/>
  <c r="C99" i="16"/>
  <c r="F99" i="16" s="1"/>
  <c r="C97" i="16"/>
  <c r="F97" i="16" s="1"/>
  <c r="C95" i="16"/>
  <c r="F95" i="16" s="1"/>
  <c r="C104" i="16"/>
  <c r="F104" i="16" s="1"/>
  <c r="C100" i="16"/>
  <c r="F100" i="16" s="1"/>
  <c r="C96" i="16"/>
  <c r="F96" i="16" s="1"/>
  <c r="D95" i="16"/>
  <c r="C106" i="16"/>
  <c r="F106" i="16" s="1"/>
  <c r="C102" i="16"/>
  <c r="F102" i="16" s="1"/>
  <c r="C98" i="16"/>
  <c r="F98" i="16" s="1"/>
  <c r="C60" i="16"/>
  <c r="K89" i="16"/>
  <c r="D50" i="16"/>
  <c r="G82" i="16"/>
  <c r="I82" i="16"/>
  <c r="D82" i="16"/>
  <c r="K82" i="16"/>
  <c r="N59" i="16"/>
  <c r="H50" i="16"/>
  <c r="C49" i="16" s="1"/>
  <c r="G50" i="16"/>
  <c r="C82" i="16"/>
  <c r="B82" i="16"/>
  <c r="N75" i="14"/>
  <c r="C60" i="14"/>
  <c r="N45" i="14"/>
  <c r="C105" i="14"/>
  <c r="F105" i="14" s="1"/>
  <c r="C103" i="14"/>
  <c r="F103" i="14" s="1"/>
  <c r="C101" i="14"/>
  <c r="F101" i="14" s="1"/>
  <c r="C99" i="14"/>
  <c r="F99" i="14" s="1"/>
  <c r="C97" i="14"/>
  <c r="F97" i="14" s="1"/>
  <c r="C95" i="14"/>
  <c r="F95" i="14" s="1"/>
  <c r="C106" i="14"/>
  <c r="F106" i="14" s="1"/>
  <c r="C104" i="14"/>
  <c r="F104" i="14" s="1"/>
  <c r="C102" i="14"/>
  <c r="F102" i="14" s="1"/>
  <c r="C100" i="14"/>
  <c r="F100" i="14" s="1"/>
  <c r="C98" i="14"/>
  <c r="F98" i="14" s="1"/>
  <c r="C96" i="14"/>
  <c r="F96" i="14" s="1"/>
  <c r="D95" i="14"/>
  <c r="K89" i="14"/>
  <c r="D40" i="14"/>
  <c r="G44" i="14"/>
  <c r="G47" i="14"/>
  <c r="G49" i="14"/>
  <c r="G40" i="14"/>
  <c r="G43" i="14"/>
  <c r="D41" i="14"/>
  <c r="D43" i="14"/>
  <c r="D45" i="14"/>
  <c r="D47" i="14"/>
  <c r="D49" i="14"/>
  <c r="L82" i="14"/>
  <c r="N59" i="14"/>
  <c r="C40" i="14"/>
  <c r="H50" i="14"/>
  <c r="C42" i="14" s="1"/>
  <c r="C39" i="14"/>
  <c r="C41" i="14"/>
  <c r="C43" i="14"/>
  <c r="C45" i="14"/>
  <c r="C47" i="14"/>
  <c r="C49" i="14"/>
  <c r="D39" i="14"/>
  <c r="G42" i="14"/>
  <c r="G46" i="14"/>
  <c r="G48" i="14"/>
  <c r="G39" i="14"/>
  <c r="G41" i="14"/>
  <c r="G45" i="14"/>
  <c r="D42" i="14"/>
  <c r="D44" i="14"/>
  <c r="D46" i="14"/>
  <c r="L82" i="16" l="1"/>
  <c r="C41" i="16"/>
  <c r="C47" i="16"/>
  <c r="C42" i="16"/>
  <c r="C48" i="16"/>
  <c r="C45" i="16"/>
  <c r="C39" i="16"/>
  <c r="C43" i="16"/>
  <c r="C40" i="16"/>
  <c r="C44" i="16"/>
  <c r="C46" i="16"/>
  <c r="C48" i="14"/>
  <c r="C44" i="14"/>
  <c r="G50" i="14"/>
  <c r="D50" i="14"/>
  <c r="C50" i="14"/>
  <c r="C46" i="14"/>
  <c r="C50" i="16" l="1"/>
</calcChain>
</file>

<file path=xl/sharedStrings.xml><?xml version="1.0" encoding="utf-8"?>
<sst xmlns="http://schemas.openxmlformats.org/spreadsheetml/2006/main" count="477" uniqueCount="168">
  <si>
    <t xml:space="preserve"> Posture </t>
  </si>
  <si>
    <t xml:space="preserve">Agression </t>
  </si>
  <si>
    <t>Trajet</t>
  </si>
  <si>
    <t>Morsure</t>
  </si>
  <si>
    <t>Code Cause</t>
  </si>
  <si>
    <t>SUD OUEST</t>
  </si>
  <si>
    <t>DATE DE AT</t>
  </si>
  <si>
    <t>IDF</t>
  </si>
  <si>
    <t>DATE ENTREE</t>
  </si>
  <si>
    <t>DUREE</t>
  </si>
  <si>
    <t>CONSEQUENCES</t>
  </si>
  <si>
    <t>Tête</t>
  </si>
  <si>
    <t>ENQUETE DU CHSCT</t>
  </si>
  <si>
    <t>Stress</t>
  </si>
  <si>
    <t>CATEGORIE SOCIOPROFESSIONNELLE</t>
  </si>
  <si>
    <t>de 4 à 15 jrs</t>
  </si>
  <si>
    <t>de 16 à 45 jrs</t>
  </si>
  <si>
    <t>de 46 à 90 jrs</t>
  </si>
  <si>
    <t>de 91 à 150 jrs</t>
  </si>
  <si>
    <t>&gt; 150 jrs</t>
  </si>
  <si>
    <t>Posture</t>
  </si>
  <si>
    <t>Agression</t>
  </si>
  <si>
    <t>ANCIENNETE</t>
  </si>
  <si>
    <t>Psychologique</t>
  </si>
  <si>
    <t>Type de cause</t>
  </si>
  <si>
    <t>Total</t>
  </si>
  <si>
    <t>CODE CAUSE</t>
  </si>
  <si>
    <t>NOM</t>
  </si>
  <si>
    <t>PRENOM</t>
  </si>
  <si>
    <t>DATE DEBUT</t>
  </si>
  <si>
    <t xml:space="preserve">DATE FIN </t>
  </si>
  <si>
    <t>CIRCONSTANCE DE L'AT</t>
  </si>
  <si>
    <t>SEXE</t>
  </si>
  <si>
    <t>F</t>
  </si>
  <si>
    <t>M</t>
  </si>
  <si>
    <t>Divers</t>
  </si>
  <si>
    <t>Chimique</t>
  </si>
  <si>
    <t>PAS D'ARRET</t>
  </si>
  <si>
    <t>Douleur au genou</t>
  </si>
  <si>
    <t>Aire</t>
  </si>
  <si>
    <t>TOTAL</t>
  </si>
  <si>
    <t>Tronc</t>
  </si>
  <si>
    <t xml:space="preserve">Membre </t>
  </si>
  <si>
    <t>Autres</t>
  </si>
  <si>
    <t>SIEGE DES LESIONS</t>
  </si>
  <si>
    <t>EMPLOYÉ</t>
  </si>
  <si>
    <t>Suite à une altercation avec sa collègue, l'agent a été giflé.</t>
  </si>
  <si>
    <t>Non</t>
  </si>
  <si>
    <t>Traumatismes multiples</t>
  </si>
  <si>
    <t>Oui</t>
  </si>
  <si>
    <t>Entorse cheville et fracture poignet</t>
  </si>
  <si>
    <t>RR</t>
  </si>
  <si>
    <t>RT</t>
  </si>
  <si>
    <t>COORDO</t>
  </si>
  <si>
    <t>CODE RR</t>
  </si>
  <si>
    <t>CODE RT</t>
  </si>
  <si>
    <t>NOMS COORDO</t>
  </si>
  <si>
    <t>NOMS RT</t>
  </si>
  <si>
    <t>CODE COORDO</t>
  </si>
  <si>
    <t>RESPONSABLES DU SECTEUR</t>
  </si>
  <si>
    <t>%</t>
  </si>
  <si>
    <t>Code siège des lésions</t>
  </si>
  <si>
    <t>Siège des lésions</t>
  </si>
  <si>
    <t>Il a perdu l'équilibre en marchant sur une partie irrégulière pour ramasser des déchets dans les espaces verts.</t>
  </si>
  <si>
    <t xml:space="preserve">Déchirure musculaire </t>
  </si>
  <si>
    <t>Hématome à l'orteil</t>
  </si>
  <si>
    <t>Entorse du genou</t>
  </si>
  <si>
    <t>Malaise</t>
  </si>
  <si>
    <t>Elle déplaçait des palettes. Elle a ressenti une douleur au bras.</t>
  </si>
  <si>
    <t>Elle mettait ses chaussures de sécurité et elle s'est cognée sur le bureau.</t>
  </si>
  <si>
    <t>Elle déplaçait les conteneurs à poubelle, elle a marché sur un câble. Elle a chuté et est tombée sur le genou.</t>
  </si>
  <si>
    <t>Elle était dans le local d'accueil de l'aire. Elle a eu un malaise.</t>
  </si>
  <si>
    <t>AT AA 30</t>
  </si>
  <si>
    <t>AT SA 01</t>
  </si>
  <si>
    <t>En Attente de Reprise</t>
  </si>
  <si>
    <t>Hématome Auriculaire</t>
  </si>
  <si>
    <t>En Programmation</t>
  </si>
  <si>
    <t>Blessure</t>
  </si>
  <si>
    <t>Chute</t>
  </si>
  <si>
    <t>CENTRE</t>
  </si>
  <si>
    <t>Activité Physique</t>
  </si>
  <si>
    <t>Manipulation  Outils</t>
  </si>
  <si>
    <t>CENTRE OUEST</t>
  </si>
  <si>
    <t>NORD EST</t>
  </si>
  <si>
    <t>SUD EST</t>
  </si>
  <si>
    <t>REGION</t>
  </si>
  <si>
    <t>Manipulation Outils</t>
  </si>
  <si>
    <t>Total AT 2013</t>
  </si>
  <si>
    <t>Un voyageur énervé a tapé sur le bureau, écrasant les doigts de l'agent.</t>
  </si>
  <si>
    <t>&lt; 3 Mois</t>
  </si>
  <si>
    <t>De 3 à 6 mois</t>
  </si>
  <si>
    <t>De 6 à 9 Mois</t>
  </si>
  <si>
    <t>De 9 à 12 Mois</t>
  </si>
  <si>
    <t>De 12 à 18 Mois</t>
  </si>
  <si>
    <t>De 18 à 24 Mois</t>
  </si>
  <si>
    <t>&gt; à 24 Mois</t>
  </si>
  <si>
    <t>Nombre d'AT</t>
  </si>
  <si>
    <t>TOTAL AT</t>
  </si>
  <si>
    <t>Code Sexe</t>
  </si>
  <si>
    <t>Code Cause/Sexe</t>
  </si>
  <si>
    <t>Homme</t>
  </si>
  <si>
    <t>Femme</t>
  </si>
  <si>
    <t>Nombre AT par Ancienneté dans entreprise</t>
  </si>
  <si>
    <t>Code Ancienneté</t>
  </si>
  <si>
    <t>Code Durée AT</t>
  </si>
  <si>
    <t>Formule Ancienneté</t>
  </si>
  <si>
    <t>Formule Durée AT</t>
  </si>
  <si>
    <t>de 1 à 3 jrs</t>
  </si>
  <si>
    <t>Nombre AT par durée Arrêt</t>
  </si>
  <si>
    <t>Nombre Jours Ancienneté</t>
  </si>
  <si>
    <t>EMPLOYE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</si>
  <si>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</si>
  <si>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</si>
  <si>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</si>
  <si>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</si>
  <si>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</si>
  <si>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</si>
  <si>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</si>
  <si>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</si>
  <si>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</si>
  <si>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</si>
  <si>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</si>
  <si>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</si>
  <si>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Taux Fréquence et Taux Gravité AT 2013</t>
  </si>
  <si>
    <t>Membre</t>
  </si>
  <si>
    <t>FORMULE CAUSE</t>
  </si>
  <si>
    <t>FORMULE LESIONS</t>
  </si>
  <si>
    <t>CODE LESIONS</t>
  </si>
  <si>
    <t>Il redressait la porte des sanitaires. Elle lui est tombée sur la main.</t>
  </si>
  <si>
    <t>Luxation main droite</t>
  </si>
  <si>
    <t>Il a voulu sortir un bloc de pierre de 50kg du fossé. Trop lourd, il l'a laché et est tombé.</t>
  </si>
  <si>
    <t>Douleur</t>
  </si>
  <si>
    <t>Il s'est tordu le genou en ramenant les containers sur un emplacement de l'aire.</t>
  </si>
  <si>
    <t>Il s'est panté un clou dans le pouce en démontant une niche restée sur un emplacement.</t>
  </si>
  <si>
    <t>Plaie au pouce</t>
  </si>
  <si>
    <t>Elle a perdu le contrôle de son véhicule.</t>
  </si>
  <si>
    <t>Douleur nuque</t>
  </si>
  <si>
    <t>Il a glissé et est tombé alors qu'il salait l'accès à l'aire d'accueil.</t>
  </si>
  <si>
    <t>Poignet gauche</t>
  </si>
  <si>
    <t>SORTIE</t>
  </si>
  <si>
    <t>Nbe AT cumulés</t>
  </si>
  <si>
    <t>TF Annuel</t>
  </si>
  <si>
    <t>TG Mensuel</t>
  </si>
  <si>
    <t>TG Annuel</t>
  </si>
  <si>
    <t>Nbe AT du mois</t>
  </si>
  <si>
    <t>TF Mensuel</t>
  </si>
  <si>
    <t>Nbe jours Arrêt du mois</t>
  </si>
  <si>
    <t>Nbe Jours Arrêts Cumulés</t>
  </si>
  <si>
    <t>Mois  d 'AT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</si>
  <si>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</si>
  <si>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</si>
  <si>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</si>
  <si>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</si>
  <si>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</si>
  <si>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</si>
  <si>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</si>
  <si>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</si>
  <si>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</si>
  <si>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</si>
  <si>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</si>
  <si>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</si>
  <si>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DE REPRISE</t>
    <phoneticPr fontId="11" type="noConversion"/>
  </si>
  <si>
    <t>AT AVEC ARRETS ET NON REQUALIFIÉS</t>
    <phoneticPr fontId="11" type="noConversion"/>
  </si>
  <si>
    <t>AT CONTESTE</t>
    <phoneticPr fontId="11" type="noConversion"/>
  </si>
  <si>
    <t>REQUALIFIE EN AM</t>
    <phoneticPr fontId="11" type="noConversion"/>
  </si>
  <si>
    <t>PAS D'ARRET</t>
    <phoneticPr fontId="11" type="noConversion"/>
  </si>
  <si>
    <t>RECHUTE</t>
    <phoneticPr fontId="11" type="noConversion"/>
  </si>
  <si>
    <t>SALARIES PROLONGES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</si>
</sst>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;@"/>
    <numFmt numFmtId="165" formatCode="dd/mm/yy;@"/>
  </numFmts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Verdan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"/>
      <name val="Calibri"/>
      <family val="2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</font>
    <font>
      <i/>
      <sz val="11"/>
      <color rgb="FF0070C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3" tint="0.39997558519241921"/>
        <bgColor indexed="64"/>
      </patternFill>
    </fill>
  </fills>
  <borders count="6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195">
    <xf numFmtId="0" fontId="0" fillId="0" borderId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</cellStyleXfs>
  <cellXfs count="302">
    <xf numFmtId="0" fontId="0" fillId="0" borderId="0" xfId="0"/>
    <xf numFmtId="0" fontId="0" fillId="0" borderId="0" xfId="0" applyFill="1" applyBorder="1"/>
    <xf numFmtId="0" fontId="0" fillId="0" borderId="2" xfId="0" applyBorder="1" applyAlignment="1">
      <alignment horizontal="left" vertical="center"/>
    </xf>
    <xf numFmtId="0" fontId="0" fillId="0" borderId="0" xfId="0" applyBorder="1" applyAlignment="1">
      <alignment wrapText="1"/>
    </xf>
    <xf numFmtId="0" fontId="0" fillId="0" borderId="2" xfId="0" applyBorder="1"/>
    <xf numFmtId="0" fontId="2" fillId="0" borderId="2" xfId="0" applyFont="1" applyFill="1" applyBorder="1" applyAlignment="1">
      <alignment horizontal="left" vertical="center" shrinkToFit="1"/>
    </xf>
    <xf numFmtId="0" fontId="0" fillId="0" borderId="3" xfId="0" applyBorder="1"/>
    <xf numFmtId="0" fontId="0" fillId="0" borderId="9" xfId="0" applyBorder="1"/>
    <xf numFmtId="0" fontId="0" fillId="0" borderId="1" xfId="0" quotePrefix="1" applyBorder="1" applyAlignment="1">
      <alignment horizontal="left" vertical="center" wrapText="1"/>
    </xf>
    <xf numFmtId="0" fontId="3" fillId="0" borderId="23" xfId="0" applyFont="1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0" fillId="0" borderId="0" xfId="0" applyBorder="1" applyAlignment="1"/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/>
    </xf>
    <xf numFmtId="0" fontId="0" fillId="0" borderId="27" xfId="0" applyBorder="1"/>
    <xf numFmtId="0" fontId="3" fillId="0" borderId="0" xfId="0" applyFont="1"/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0" fillId="0" borderId="1" xfId="0" applyBorder="1"/>
    <xf numFmtId="0" fontId="3" fillId="0" borderId="8" xfId="0" applyFont="1" applyBorder="1"/>
    <xf numFmtId="0" fontId="0" fillId="0" borderId="4" xfId="0" applyBorder="1"/>
    <xf numFmtId="0" fontId="0" fillId="0" borderId="5" xfId="0" applyBorder="1"/>
    <xf numFmtId="0" fontId="0" fillId="0" borderId="26" xfId="0" applyBorder="1" applyAlignment="1">
      <alignment horizontal="center" vertical="center"/>
    </xf>
    <xf numFmtId="0" fontId="0" fillId="0" borderId="26" xfId="0" applyBorder="1"/>
    <xf numFmtId="0" fontId="0" fillId="0" borderId="30" xfId="0" applyBorder="1"/>
    <xf numFmtId="0" fontId="0" fillId="0" borderId="7" xfId="0" applyBorder="1"/>
    <xf numFmtId="0" fontId="0" fillId="0" borderId="8" xfId="0" applyBorder="1"/>
    <xf numFmtId="0" fontId="0" fillId="0" borderId="32" xfId="0" applyBorder="1"/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3" borderId="2" xfId="0" applyFill="1" applyBorder="1"/>
    <xf numFmtId="0" fontId="3" fillId="0" borderId="2" xfId="0" applyFont="1" applyFill="1" applyBorder="1" applyAlignment="1">
      <alignment horizontal="center" vertical="center" wrapText="1"/>
    </xf>
    <xf numFmtId="0" fontId="0" fillId="2" borderId="0" xfId="0" applyFill="1"/>
    <xf numFmtId="0" fontId="0" fillId="0" borderId="11" xfId="0" applyBorder="1"/>
    <xf numFmtId="14" fontId="2" fillId="0" borderId="2" xfId="0" applyNumberFormat="1" applyFont="1" applyBorder="1" applyAlignment="1">
      <alignment horizontal="center" vertical="center"/>
    </xf>
    <xf numFmtId="0" fontId="14" fillId="0" borderId="0" xfId="0" applyFont="1" applyAlignment="1">
      <alignment wrapText="1"/>
    </xf>
    <xf numFmtId="0" fontId="0" fillId="0" borderId="1" xfId="0" quotePrefix="1" applyFill="1" applyBorder="1" applyAlignment="1">
      <alignment horizontal="left" vertical="center" wrapText="1"/>
    </xf>
    <xf numFmtId="0" fontId="0" fillId="0" borderId="1" xfId="0" quotePrefix="1" applyBorder="1" applyAlignment="1">
      <alignment horizontal="left"/>
    </xf>
    <xf numFmtId="0" fontId="12" fillId="0" borderId="3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quotePrefix="1" applyBorder="1" applyAlignment="1">
      <alignment horizontal="left"/>
    </xf>
    <xf numFmtId="0" fontId="3" fillId="0" borderId="7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164" fontId="3" fillId="0" borderId="4" xfId="0" applyNumberFormat="1" applyFont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 shrinkToFit="1"/>
    </xf>
    <xf numFmtId="0" fontId="6" fillId="0" borderId="6" xfId="0" applyFont="1" applyFill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14" xfId="0" applyBorder="1"/>
    <xf numFmtId="0" fontId="0" fillId="0" borderId="15" xfId="0" applyBorder="1"/>
    <xf numFmtId="0" fontId="0" fillId="0" borderId="38" xfId="0" applyBorder="1"/>
    <xf numFmtId="0" fontId="0" fillId="0" borderId="28" xfId="0" applyBorder="1"/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 shrinkToFit="1"/>
    </xf>
    <xf numFmtId="0" fontId="12" fillId="0" borderId="5" xfId="0" applyFont="1" applyBorder="1" applyAlignment="1">
      <alignment horizontal="center" vertical="center" wrapText="1" shrinkToFit="1"/>
    </xf>
    <xf numFmtId="0" fontId="12" fillId="0" borderId="5" xfId="0" applyFont="1" applyBorder="1" applyAlignment="1">
      <alignment horizontal="center" vertical="center" wrapText="1"/>
    </xf>
    <xf numFmtId="0" fontId="9" fillId="0" borderId="0" xfId="0" applyFont="1"/>
    <xf numFmtId="0" fontId="0" fillId="0" borderId="1" xfId="0" applyBorder="1" applyAlignment="1">
      <alignment horizontal="left"/>
    </xf>
    <xf numFmtId="0" fontId="0" fillId="0" borderId="2" xfId="0" applyFill="1" applyBorder="1" applyAlignment="1">
      <alignment horizontal="left" vertical="center" wrapText="1"/>
    </xf>
    <xf numFmtId="0" fontId="0" fillId="0" borderId="40" xfId="0" applyFill="1" applyBorder="1"/>
    <xf numFmtId="0" fontId="18" fillId="0" borderId="2" xfId="0" applyFont="1" applyBorder="1" applyAlignment="1">
      <alignment wrapText="1"/>
    </xf>
    <xf numFmtId="0" fontId="18" fillId="0" borderId="2" xfId="0" applyFont="1" applyBorder="1" applyAlignment="1">
      <alignment vertical="center" wrapText="1"/>
    </xf>
    <xf numFmtId="0" fontId="18" fillId="0" borderId="2" xfId="0" applyFont="1" applyBorder="1"/>
    <xf numFmtId="0" fontId="10" fillId="0" borderId="2" xfId="0" applyFont="1" applyBorder="1"/>
    <xf numFmtId="0" fontId="18" fillId="0" borderId="0" xfId="0" applyFont="1"/>
    <xf numFmtId="0" fontId="0" fillId="0" borderId="21" xfId="0" applyBorder="1"/>
    <xf numFmtId="0" fontId="18" fillId="0" borderId="39" xfId="0" applyFont="1" applyBorder="1"/>
    <xf numFmtId="0" fontId="3" fillId="0" borderId="15" xfId="0" applyFont="1" applyBorder="1" applyAlignment="1">
      <alignment horizontal="right"/>
    </xf>
    <xf numFmtId="0" fontId="18" fillId="0" borderId="8" xfId="0" applyFont="1" applyBorder="1" applyAlignment="1">
      <alignment horizontal="right"/>
    </xf>
    <xf numFmtId="0" fontId="18" fillId="0" borderId="23" xfId="0" applyFont="1" applyBorder="1"/>
    <xf numFmtId="0" fontId="19" fillId="0" borderId="5" xfId="0" applyFont="1" applyBorder="1" applyAlignment="1">
      <alignment horizontal="center" vertical="center" wrapText="1" shrinkToFit="1"/>
    </xf>
    <xf numFmtId="0" fontId="20" fillId="0" borderId="2" xfId="0" applyFont="1" applyBorder="1" applyAlignment="1">
      <alignment horizontal="center" vertical="center"/>
    </xf>
    <xf numFmtId="14" fontId="20" fillId="0" borderId="2" xfId="0" applyNumberFormat="1" applyFont="1" applyBorder="1" applyAlignment="1">
      <alignment horizontal="center" vertical="center"/>
    </xf>
    <xf numFmtId="14" fontId="21" fillId="0" borderId="2" xfId="0" applyNumberFormat="1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 shrinkToFit="1"/>
    </xf>
    <xf numFmtId="0" fontId="20" fillId="0" borderId="2" xfId="0" applyFont="1" applyBorder="1" applyAlignment="1">
      <alignment horizontal="center" vertical="center" wrapText="1"/>
    </xf>
    <xf numFmtId="0" fontId="20" fillId="0" borderId="2" xfId="0" applyNumberFormat="1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4" fontId="20" fillId="0" borderId="2" xfId="0" applyNumberFormat="1" applyFont="1" applyBorder="1" applyAlignment="1">
      <alignment horizontal="center" vertical="center" wrapText="1"/>
    </xf>
    <xf numFmtId="14" fontId="23" fillId="0" borderId="2" xfId="0" applyNumberFormat="1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14" fontId="20" fillId="0" borderId="23" xfId="0" applyNumberFormat="1" applyFont="1" applyBorder="1" applyAlignment="1">
      <alignment horizontal="center" vertical="center"/>
    </xf>
    <xf numFmtId="14" fontId="23" fillId="0" borderId="23" xfId="0" applyNumberFormat="1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 wrapText="1"/>
    </xf>
    <xf numFmtId="0" fontId="20" fillId="0" borderId="23" xfId="0" applyFont="1" applyFill="1" applyBorder="1" applyAlignment="1">
      <alignment horizontal="center" vertical="center"/>
    </xf>
    <xf numFmtId="0" fontId="3" fillId="7" borderId="43" xfId="0" applyFont="1" applyFill="1" applyBorder="1" applyAlignment="1">
      <alignment horizontal="center" vertical="center"/>
    </xf>
    <xf numFmtId="0" fontId="0" fillId="7" borderId="43" xfId="0" applyFill="1" applyBorder="1" applyAlignment="1">
      <alignment horizontal="center" vertical="center"/>
    </xf>
    <xf numFmtId="0" fontId="0" fillId="7" borderId="43" xfId="0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8" fillId="0" borderId="25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 wrapText="1" shrinkToFit="1"/>
    </xf>
    <xf numFmtId="0" fontId="3" fillId="0" borderId="5" xfId="0" applyFont="1" applyBorder="1"/>
    <xf numFmtId="0" fontId="20" fillId="7" borderId="43" xfId="0" applyFont="1" applyFill="1" applyBorder="1" applyAlignment="1">
      <alignment horizontal="center" vertical="center" wrapText="1" shrinkToFit="1"/>
    </xf>
    <xf numFmtId="0" fontId="7" fillId="0" borderId="46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46" xfId="0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30" xfId="0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20" fillId="2" borderId="2" xfId="0" applyFont="1" applyFill="1" applyBorder="1" applyAlignment="1">
      <alignment horizontal="center" vertical="center" wrapText="1" shrinkToFit="1"/>
    </xf>
    <xf numFmtId="0" fontId="12" fillId="0" borderId="29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/>
    </xf>
    <xf numFmtId="0" fontId="0" fillId="7" borderId="49" xfId="0" applyFill="1" applyBorder="1" applyAlignment="1">
      <alignment horizontal="center" vertical="center"/>
    </xf>
    <xf numFmtId="0" fontId="12" fillId="0" borderId="14" xfId="0" applyFont="1" applyBorder="1" applyAlignment="1">
      <alignment vertical="center" wrapText="1"/>
    </xf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20" fillId="2" borderId="26" xfId="0" quotePrefix="1" applyFont="1" applyFill="1" applyBorder="1" applyAlignment="1">
      <alignment horizontal="center" vertical="center" wrapText="1" shrinkToFit="1"/>
    </xf>
    <xf numFmtId="0" fontId="12" fillId="0" borderId="0" xfId="0" applyFont="1" applyAlignment="1">
      <alignment horizontal="left" vertical="center" wrapText="1"/>
    </xf>
    <xf numFmtId="0" fontId="0" fillId="0" borderId="35" xfId="0" applyBorder="1"/>
    <xf numFmtId="0" fontId="3" fillId="0" borderId="26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9" fontId="0" fillId="0" borderId="2" xfId="0" applyNumberFormat="1" applyBorder="1"/>
    <xf numFmtId="9" fontId="0" fillId="0" borderId="13" xfId="0" applyNumberFormat="1" applyBorder="1"/>
    <xf numFmtId="9" fontId="0" fillId="0" borderId="2" xfId="0" applyNumberFormat="1" applyBorder="1" applyAlignment="1">
      <alignment vertical="center"/>
    </xf>
    <xf numFmtId="9" fontId="0" fillId="0" borderId="8" xfId="0" applyNumberFormat="1" applyBorder="1"/>
    <xf numFmtId="9" fontId="0" fillId="0" borderId="3" xfId="0" applyNumberFormat="1" applyBorder="1" applyAlignment="1">
      <alignment horizontal="center"/>
    </xf>
    <xf numFmtId="9" fontId="0" fillId="0" borderId="9" xfId="0" applyNumberFormat="1" applyBorder="1" applyAlignment="1">
      <alignment horizontal="center"/>
    </xf>
    <xf numFmtId="9" fontId="0" fillId="0" borderId="3" xfId="0" applyNumberFormat="1" applyBorder="1" applyAlignment="1">
      <alignment horizontal="center" vertical="center"/>
    </xf>
    <xf numFmtId="9" fontId="0" fillId="0" borderId="9" xfId="0" applyNumberFormat="1" applyBorder="1" applyAlignment="1">
      <alignment horizontal="center" vertical="center"/>
    </xf>
    <xf numFmtId="9" fontId="0" fillId="0" borderId="41" xfId="0" applyNumberFormat="1" applyBorder="1" applyAlignment="1">
      <alignment horizontal="center" vertical="center"/>
    </xf>
    <xf numFmtId="9" fontId="0" fillId="0" borderId="45" xfId="0" applyNumberFormat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 shrinkToFit="1"/>
    </xf>
    <xf numFmtId="0" fontId="20" fillId="7" borderId="49" xfId="0" quotePrefix="1" applyFont="1" applyFill="1" applyBorder="1" applyAlignment="1">
      <alignment horizontal="center" vertical="center" wrapText="1" shrinkToFit="1"/>
    </xf>
    <xf numFmtId="0" fontId="20" fillId="0" borderId="8" xfId="0" applyFont="1" applyBorder="1" applyAlignment="1">
      <alignment horizontal="center" vertical="center" wrapText="1" shrinkToFit="1"/>
    </xf>
    <xf numFmtId="0" fontId="24" fillId="0" borderId="8" xfId="0" applyFont="1" applyBorder="1" applyAlignment="1">
      <alignment horizontal="center" vertical="center" wrapText="1" shrinkToFit="1"/>
    </xf>
    <xf numFmtId="0" fontId="20" fillId="2" borderId="3" xfId="0" quotePrefix="1" applyFont="1" applyFill="1" applyBorder="1" applyAlignment="1">
      <alignment horizontal="center" vertical="center" wrapText="1" shrinkToFit="1"/>
    </xf>
    <xf numFmtId="0" fontId="0" fillId="0" borderId="2" xfId="0" applyBorder="1" applyAlignment="1">
      <alignment horizontal="center"/>
    </xf>
    <xf numFmtId="0" fontId="0" fillId="0" borderId="24" xfId="0" applyBorder="1" applyAlignment="1">
      <alignment horizontal="center"/>
    </xf>
    <xf numFmtId="0" fontId="24" fillId="0" borderId="23" xfId="0" applyFont="1" applyBorder="1" applyAlignment="1">
      <alignment horizontal="center" vertical="center" wrapText="1" shrinkToFit="1"/>
    </xf>
    <xf numFmtId="0" fontId="20" fillId="2" borderId="24" xfId="0" quotePrefix="1" applyFont="1" applyFill="1" applyBorder="1" applyAlignment="1">
      <alignment horizontal="center" vertical="center" wrapText="1" shrinkToFit="1"/>
    </xf>
    <xf numFmtId="0" fontId="20" fillId="7" borderId="50" xfId="0" quotePrefix="1" applyFont="1" applyFill="1" applyBorder="1" applyAlignment="1">
      <alignment horizontal="center" vertical="center" wrapText="1" shrinkToFit="1"/>
    </xf>
    <xf numFmtId="0" fontId="20" fillId="7" borderId="51" xfId="0" applyFont="1" applyFill="1" applyBorder="1" applyAlignment="1">
      <alignment horizontal="center" vertical="center" wrapText="1" shrinkToFit="1"/>
    </xf>
    <xf numFmtId="0" fontId="3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0" fillId="0" borderId="2" xfId="0" applyNumberFormat="1" applyFont="1" applyFill="1" applyBorder="1" applyAlignment="1">
      <alignment horizontal="center" vertical="center" wrapText="1"/>
    </xf>
    <xf numFmtId="0" fontId="0" fillId="2" borderId="44" xfId="0" applyFill="1" applyBorder="1" applyAlignment="1">
      <alignment horizontal="center" vertical="center"/>
    </xf>
    <xf numFmtId="0" fontId="20" fillId="0" borderId="23" xfId="0" applyNumberFormat="1" applyFont="1" applyFill="1" applyBorder="1" applyAlignment="1">
      <alignment horizontal="center" vertical="center" wrapText="1"/>
    </xf>
    <xf numFmtId="0" fontId="20" fillId="7" borderId="43" xfId="0" applyNumberFormat="1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 shrinkToFit="1"/>
    </xf>
    <xf numFmtId="0" fontId="12" fillId="0" borderId="0" xfId="0" applyFont="1" applyAlignment="1">
      <alignment horizontal="center" vertical="center" wrapText="1"/>
    </xf>
    <xf numFmtId="0" fontId="12" fillId="0" borderId="52" xfId="0" applyFont="1" applyBorder="1" applyAlignment="1">
      <alignment vertical="center" wrapText="1"/>
    </xf>
    <xf numFmtId="0" fontId="20" fillId="0" borderId="53" xfId="0" applyFont="1" applyBorder="1" applyAlignment="1">
      <alignment horizontal="center" vertical="center" wrapText="1" shrinkToFit="1"/>
    </xf>
    <xf numFmtId="0" fontId="0" fillId="0" borderId="53" xfId="0" applyBorder="1" applyAlignment="1">
      <alignment horizontal="center" wrapText="1"/>
    </xf>
    <xf numFmtId="0" fontId="0" fillId="0" borderId="54" xfId="0" applyBorder="1"/>
    <xf numFmtId="0" fontId="20" fillId="2" borderId="53" xfId="0" applyFont="1" applyFill="1" applyBorder="1" applyAlignment="1">
      <alignment horizontal="center" vertical="center" wrapText="1" shrinkToFit="1"/>
    </xf>
    <xf numFmtId="0" fontId="20" fillId="7" borderId="55" xfId="0" applyFont="1" applyFill="1" applyBorder="1" applyAlignment="1">
      <alignment horizontal="center" vertical="center" wrapText="1" shrinkToFit="1"/>
    </xf>
    <xf numFmtId="0" fontId="24" fillId="7" borderId="43" xfId="0" applyFont="1" applyFill="1" applyBorder="1" applyAlignment="1">
      <alignment horizontal="center" vertical="center" wrapText="1" shrinkToFit="1"/>
    </xf>
    <xf numFmtId="0" fontId="20" fillId="2" borderId="2" xfId="0" quotePrefix="1" applyFont="1" applyFill="1" applyBorder="1" applyAlignment="1">
      <alignment horizontal="center" vertical="center" wrapText="1" shrinkToFit="1"/>
    </xf>
    <xf numFmtId="0" fontId="20" fillId="2" borderId="23" xfId="0" quotePrefix="1" applyFont="1" applyFill="1" applyBorder="1" applyAlignment="1">
      <alignment horizontal="center" vertical="center" wrapText="1" shrinkToFit="1"/>
    </xf>
    <xf numFmtId="0" fontId="20" fillId="2" borderId="56" xfId="0" applyFont="1" applyFill="1" applyBorder="1" applyAlignment="1">
      <alignment horizontal="center" vertical="center" wrapText="1" shrinkToFit="1"/>
    </xf>
    <xf numFmtId="0" fontId="20" fillId="2" borderId="8" xfId="0" applyFont="1" applyFill="1" applyBorder="1" applyAlignment="1">
      <alignment horizontal="center" vertical="center" wrapText="1" shrinkToFit="1"/>
    </xf>
    <xf numFmtId="0" fontId="20" fillId="2" borderId="33" xfId="0" quotePrefix="1" applyFont="1" applyFill="1" applyBorder="1" applyAlignment="1">
      <alignment horizontal="center" vertical="center" wrapText="1" shrinkToFit="1"/>
    </xf>
    <xf numFmtId="0" fontId="20" fillId="2" borderId="9" xfId="0" quotePrefix="1" applyFont="1" applyFill="1" applyBorder="1" applyAlignment="1">
      <alignment horizontal="center" vertical="center" wrapText="1" shrinkToFit="1"/>
    </xf>
    <xf numFmtId="0" fontId="24" fillId="2" borderId="8" xfId="0" applyFont="1" applyFill="1" applyBorder="1" applyAlignment="1">
      <alignment horizontal="center" vertical="center" wrapText="1" shrinkToFit="1"/>
    </xf>
    <xf numFmtId="0" fontId="20" fillId="2" borderId="8" xfId="0" quotePrefix="1" applyFont="1" applyFill="1" applyBorder="1" applyAlignment="1">
      <alignment horizontal="center" vertical="center" wrapText="1" shrinkToFit="1"/>
    </xf>
    <xf numFmtId="0" fontId="20" fillId="7" borderId="43" xfId="0" quotePrefix="1" applyFont="1" applyFill="1" applyBorder="1" applyAlignment="1">
      <alignment horizontal="center" vertical="center" wrapText="1" shrinkToFit="1"/>
    </xf>
    <xf numFmtId="0" fontId="0" fillId="2" borderId="8" xfId="0" applyFill="1" applyBorder="1" applyAlignment="1">
      <alignment horizontal="center" vertical="center" wrapText="1"/>
    </xf>
    <xf numFmtId="0" fontId="20" fillId="0" borderId="8" xfId="0" applyNumberFormat="1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14" fontId="0" fillId="0" borderId="2" xfId="0" applyNumberFormat="1" applyBorder="1"/>
    <xf numFmtId="0" fontId="0" fillId="0" borderId="2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0" fillId="7" borderId="23" xfId="0" applyFill="1" applyBorder="1" applyAlignment="1">
      <alignment horizontal="center" vertical="center"/>
    </xf>
    <xf numFmtId="14" fontId="0" fillId="7" borderId="23" xfId="0" applyNumberFormat="1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/>
    </xf>
    <xf numFmtId="0" fontId="24" fillId="8" borderId="23" xfId="0" applyFont="1" applyFill="1" applyBorder="1" applyAlignment="1">
      <alignment horizontal="center" vertical="center" wrapText="1" shrinkToFit="1"/>
    </xf>
    <xf numFmtId="0" fontId="20" fillId="8" borderId="2" xfId="0" applyFont="1" applyFill="1" applyBorder="1" applyAlignment="1">
      <alignment horizontal="center" vertical="center" wrapText="1" shrinkToFit="1"/>
    </xf>
    <xf numFmtId="0" fontId="0" fillId="8" borderId="2" xfId="0" applyFill="1" applyBorder="1" applyAlignment="1">
      <alignment horizontal="center" vertical="center" wrapText="1"/>
    </xf>
    <xf numFmtId="0" fontId="0" fillId="8" borderId="23" xfId="0" applyFill="1" applyBorder="1"/>
    <xf numFmtId="0" fontId="20" fillId="8" borderId="2" xfId="0" applyNumberFormat="1" applyFont="1" applyFill="1" applyBorder="1" applyAlignment="1">
      <alignment horizontal="center" vertical="center" wrapText="1"/>
    </xf>
    <xf numFmtId="0" fontId="24" fillId="7" borderId="23" xfId="0" applyFont="1" applyFill="1" applyBorder="1" applyAlignment="1">
      <alignment horizontal="center" vertical="center" wrapText="1" shrinkToFit="1"/>
    </xf>
    <xf numFmtId="0" fontId="20" fillId="7" borderId="2" xfId="0" applyFont="1" applyFill="1" applyBorder="1" applyAlignment="1">
      <alignment horizontal="center" vertical="center" wrapText="1" shrinkToFit="1"/>
    </xf>
    <xf numFmtId="0" fontId="20" fillId="7" borderId="2" xfId="0" applyNumberFormat="1" applyFont="1" applyFill="1" applyBorder="1" applyAlignment="1">
      <alignment horizontal="center" vertical="center" wrapText="1"/>
    </xf>
    <xf numFmtId="0" fontId="0" fillId="8" borderId="23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14" fontId="0" fillId="8" borderId="23" xfId="0" applyNumberFormat="1" applyFill="1" applyBorder="1"/>
    <xf numFmtId="14" fontId="3" fillId="0" borderId="2" xfId="0" applyNumberFormat="1" applyFont="1" applyBorder="1" applyAlignment="1">
      <alignment horizontal="center" vertical="center"/>
    </xf>
    <xf numFmtId="0" fontId="20" fillId="8" borderId="53" xfId="0" applyFont="1" applyFill="1" applyBorder="1" applyAlignment="1">
      <alignment horizontal="center" vertical="center" wrapText="1" shrinkToFit="1"/>
    </xf>
    <xf numFmtId="0" fontId="20" fillId="8" borderId="26" xfId="0" quotePrefix="1" applyFont="1" applyFill="1" applyBorder="1" applyAlignment="1">
      <alignment horizontal="center" vertical="center" wrapText="1" shrinkToFit="1"/>
    </xf>
    <xf numFmtId="0" fontId="20" fillId="8" borderId="3" xfId="0" quotePrefix="1" applyFont="1" applyFill="1" applyBorder="1" applyAlignment="1">
      <alignment horizontal="center" vertical="center" wrapText="1" shrinkToFit="1"/>
    </xf>
    <xf numFmtId="0" fontId="24" fillId="8" borderId="2" xfId="0" applyFont="1" applyFill="1" applyBorder="1" applyAlignment="1">
      <alignment horizontal="center" vertical="center" wrapText="1" shrinkToFit="1"/>
    </xf>
    <xf numFmtId="0" fontId="20" fillId="8" borderId="2" xfId="0" quotePrefix="1" applyFont="1" applyFill="1" applyBorder="1" applyAlignment="1">
      <alignment horizontal="center" vertical="center" wrapText="1" shrinkToFit="1"/>
    </xf>
    <xf numFmtId="0" fontId="20" fillId="7" borderId="53" xfId="0" applyFont="1" applyFill="1" applyBorder="1" applyAlignment="1">
      <alignment horizontal="center" vertical="center" wrapText="1" shrinkToFit="1"/>
    </xf>
    <xf numFmtId="0" fontId="20" fillId="7" borderId="26" xfId="0" quotePrefix="1" applyFont="1" applyFill="1" applyBorder="1" applyAlignment="1">
      <alignment horizontal="center" vertical="center" wrapText="1" shrinkToFit="1"/>
    </xf>
    <xf numFmtId="0" fontId="20" fillId="7" borderId="3" xfId="0" quotePrefix="1" applyFont="1" applyFill="1" applyBorder="1" applyAlignment="1">
      <alignment horizontal="center" vertical="center" wrapText="1" shrinkToFit="1"/>
    </xf>
    <xf numFmtId="0" fontId="24" fillId="7" borderId="2" xfId="0" applyFont="1" applyFill="1" applyBorder="1" applyAlignment="1">
      <alignment horizontal="center" vertical="center" wrapText="1" shrinkToFit="1"/>
    </xf>
    <xf numFmtId="0" fontId="20" fillId="7" borderId="2" xfId="0" quotePrefix="1" applyFont="1" applyFill="1" applyBorder="1" applyAlignment="1">
      <alignment horizontal="center" vertical="center" wrapText="1" shrinkToFit="1"/>
    </xf>
    <xf numFmtId="0" fontId="3" fillId="0" borderId="25" xfId="0" applyFont="1" applyBorder="1" applyAlignment="1">
      <alignment horizontal="center" vertical="center" wrapText="1"/>
    </xf>
    <xf numFmtId="2" fontId="0" fillId="0" borderId="5" xfId="0" applyNumberFormat="1" applyBorder="1"/>
    <xf numFmtId="2" fontId="0" fillId="0" borderId="0" xfId="0" applyNumberFormat="1" applyFill="1" applyBorder="1"/>
    <xf numFmtId="165" fontId="0" fillId="0" borderId="1" xfId="0" applyNumberFormat="1" applyBorder="1" applyAlignment="1">
      <alignment horizontal="center" vertical="center"/>
    </xf>
    <xf numFmtId="165" fontId="20" fillId="0" borderId="1" xfId="0" applyNumberFormat="1" applyFont="1" applyBorder="1" applyAlignment="1">
      <alignment horizontal="center" vertical="center"/>
    </xf>
    <xf numFmtId="165" fontId="20" fillId="0" borderId="1" xfId="0" applyNumberFormat="1" applyFont="1" applyBorder="1" applyAlignment="1">
      <alignment horizontal="center" vertical="center" wrapText="1"/>
    </xf>
    <xf numFmtId="165" fontId="20" fillId="0" borderId="22" xfId="0" applyNumberFormat="1" applyFont="1" applyBorder="1" applyAlignment="1">
      <alignment horizontal="center" vertical="center"/>
    </xf>
    <xf numFmtId="165" fontId="0" fillId="7" borderId="42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65" fontId="0" fillId="8" borderId="1" xfId="0" applyNumberFormat="1" applyFill="1" applyBorder="1" applyAlignment="1">
      <alignment horizontal="center" vertical="center" wrapText="1"/>
    </xf>
    <xf numFmtId="165" fontId="0" fillId="7" borderId="1" xfId="0" applyNumberForma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20" fillId="2" borderId="37" xfId="0" quotePrefix="1" applyFont="1" applyFill="1" applyBorder="1" applyAlignment="1">
      <alignment horizontal="center" vertical="center" wrapText="1" shrinkToFit="1"/>
    </xf>
    <xf numFmtId="0" fontId="20" fillId="7" borderId="57" xfId="0" quotePrefix="1" applyFont="1" applyFill="1" applyBorder="1" applyAlignment="1">
      <alignment horizontal="center" vertical="center" wrapText="1" shrinkToFit="1"/>
    </xf>
    <xf numFmtId="0" fontId="20" fillId="2" borderId="34" xfId="0" quotePrefix="1" applyFont="1" applyFill="1" applyBorder="1" applyAlignment="1">
      <alignment horizontal="center" vertical="center" wrapText="1" shrinkToFit="1"/>
    </xf>
    <xf numFmtId="0" fontId="20" fillId="2" borderId="58" xfId="0" quotePrefix="1" applyFont="1" applyFill="1" applyBorder="1" applyAlignment="1">
      <alignment horizontal="center" vertical="center" wrapText="1" shrinkToFit="1"/>
    </xf>
    <xf numFmtId="0" fontId="0" fillId="0" borderId="3" xfId="0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60" xfId="0" applyFill="1" applyBorder="1" applyAlignment="1">
      <alignment horizontal="center" vertical="center"/>
    </xf>
    <xf numFmtId="165" fontId="0" fillId="0" borderId="40" xfId="0" applyNumberFormat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1" fillId="8" borderId="23" xfId="0" applyFont="1" applyFill="1" applyBorder="1" applyAlignment="1">
      <alignment horizontal="center" vertical="center" wrapText="1"/>
    </xf>
    <xf numFmtId="0" fontId="17" fillId="7" borderId="23" xfId="0" applyFont="1" applyFill="1" applyBorder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8" borderId="37" xfId="0" applyFill="1" applyBorder="1" applyAlignment="1">
      <alignment horizontal="center" vertical="center"/>
    </xf>
    <xf numFmtId="0" fontId="0" fillId="7" borderId="37" xfId="0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7" borderId="59" xfId="0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 wrapText="1"/>
    </xf>
    <xf numFmtId="0" fontId="0" fillId="3" borderId="5" xfId="0" applyFill="1" applyBorder="1"/>
    <xf numFmtId="14" fontId="0" fillId="3" borderId="2" xfId="0" applyNumberFormat="1" applyFill="1" applyBorder="1" applyAlignment="1">
      <alignment horizontal="center" vertical="center"/>
    </xf>
    <xf numFmtId="14" fontId="9" fillId="3" borderId="2" xfId="0" applyNumberFormat="1" applyFont="1" applyFill="1" applyBorder="1" applyAlignment="1">
      <alignment horizontal="center" vertical="center"/>
    </xf>
    <xf numFmtId="14" fontId="6" fillId="3" borderId="2" xfId="0" applyNumberFormat="1" applyFont="1" applyFill="1" applyBorder="1" applyAlignment="1">
      <alignment horizontal="center" vertical="center"/>
    </xf>
    <xf numFmtId="14" fontId="0" fillId="3" borderId="23" xfId="0" applyNumberForma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14" fontId="0" fillId="3" borderId="8" xfId="0" applyNumberForma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14" fontId="0" fillId="7" borderId="43" xfId="0" applyNumberFormat="1" applyFill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0" xfId="0" applyFont="1" applyAlignment="1">
      <alignment horizontal="left" vertical="center" textRotation="60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14" fontId="0" fillId="7" borderId="43" xfId="0" applyNumberForma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14" fontId="0" fillId="4" borderId="26" xfId="0" applyNumberFormat="1" applyFill="1" applyBorder="1" applyAlignment="1">
      <alignment horizontal="left"/>
    </xf>
    <xf numFmtId="14" fontId="0" fillId="4" borderId="27" xfId="0" applyNumberFormat="1" applyFill="1" applyBorder="1" applyAlignment="1">
      <alignment horizontal="left"/>
    </xf>
    <xf numFmtId="14" fontId="0" fillId="5" borderId="26" xfId="0" applyNumberFormat="1" applyFill="1" applyBorder="1" applyAlignment="1">
      <alignment horizontal="left"/>
    </xf>
    <xf numFmtId="14" fontId="0" fillId="5" borderId="27" xfId="0" applyNumberFormat="1" applyFill="1" applyBorder="1" applyAlignment="1">
      <alignment horizontal="left"/>
    </xf>
    <xf numFmtId="14" fontId="0" fillId="6" borderId="26" xfId="0" applyNumberFormat="1" applyFill="1" applyBorder="1" applyAlignment="1">
      <alignment horizontal="left"/>
    </xf>
    <xf numFmtId="14" fontId="0" fillId="6" borderId="27" xfId="0" applyNumberFormat="1" applyFill="1" applyBorder="1" applyAlignment="1">
      <alignment horizontal="left"/>
    </xf>
    <xf numFmtId="14" fontId="13" fillId="0" borderId="26" xfId="0" applyNumberFormat="1" applyFont="1" applyBorder="1" applyAlignment="1">
      <alignment horizontal="left"/>
    </xf>
    <xf numFmtId="14" fontId="13" fillId="0" borderId="27" xfId="0" applyNumberFormat="1" applyFont="1" applyBorder="1" applyAlignment="1">
      <alignment horizontal="left"/>
    </xf>
    <xf numFmtId="0" fontId="0" fillId="12" borderId="61" xfId="0" applyFill="1" applyBorder="1" applyAlignment="1">
      <alignment horizontal="center"/>
    </xf>
    <xf numFmtId="0" fontId="0" fillId="13" borderId="61" xfId="0" applyFill="1" applyBorder="1" applyAlignment="1">
      <alignment horizontal="center"/>
    </xf>
    <xf numFmtId="14" fontId="0" fillId="14" borderId="23" xfId="0" applyNumberFormat="1" applyFill="1" applyBorder="1" applyAlignment="1">
      <alignment horizontal="center" vertical="center"/>
    </xf>
    <xf numFmtId="0" fontId="0" fillId="14" borderId="23" xfId="0" applyFill="1" applyBorder="1" applyAlignment="1">
      <alignment horizontal="center" vertical="center"/>
    </xf>
    <xf numFmtId="14" fontId="0" fillId="14" borderId="8" xfId="0" applyNumberFormat="1" applyFill="1" applyBorder="1" applyAlignment="1">
      <alignment horizontal="center" vertical="center"/>
    </xf>
    <xf numFmtId="0" fontId="0" fillId="15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1" borderId="62" xfId="0" applyFill="1" applyBorder="1" applyAlignment="1">
      <alignment horizontal="center"/>
    </xf>
    <xf numFmtId="0" fontId="0" fillId="10" borderId="62" xfId="0" applyFill="1" applyBorder="1" applyAlignment="1">
      <alignment horizontal="center"/>
    </xf>
  </cellXfs>
  <cellStyles count="19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Normal" xfId="0" builtinId="0"/>
  </cellStyles>
  <dxfs count="0"/>
  <tableStyles count="0" defaultTableStyle="TableStyleMedium9" defaultPivotStyle="PivotStyleMedium4"/>
  <colors>
    <mruColors>
      <color rgb="FFFF33CC"/>
      <color rgb="FFCCFFCC"/>
      <color rgb="FF99FF66"/>
      <color rgb="FFCCFF99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&#233;gis%20-%20LISTE%20AT%202013%20Foru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l que reçu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8"/>
  <sheetViews>
    <sheetView topLeftCell="H1" workbookViewId="0">
      <pane xSplit="9150" topLeftCell="AG1" activePane="topRight"/>
      <selection activeCell="H1" sqref="H1"/>
      <selection pane="topRight" activeCell="AO14" sqref="AO14"/>
    </sheetView>
  </sheetViews>
  <sheetFormatPr baseColWidth="10" defaultColWidth="10.85546875" defaultRowHeight="15" x14ac:dyDescent="0.25"/>
  <cols>
    <col min="1" max="1" width="21.85546875" style="10" customWidth="1"/>
    <col min="2" max="2" width="15.140625" style="10" customWidth="1"/>
    <col min="3" max="3" width="14.85546875" style="10" customWidth="1"/>
    <col min="4" max="4" width="14.7109375" style="10" customWidth="1"/>
    <col min="5" max="5" width="9.28515625" style="10" customWidth="1"/>
    <col min="6" max="6" width="14.42578125" style="10" customWidth="1"/>
    <col min="7" max="7" width="14.7109375" style="10" customWidth="1"/>
    <col min="8" max="8" width="10.85546875" style="10"/>
    <col min="9" max="9" width="13.140625" style="10" customWidth="1"/>
    <col min="10" max="10" width="15.85546875" style="10" bestFit="1" customWidth="1"/>
    <col min="11" max="11" width="15.42578125" style="10" customWidth="1"/>
    <col min="12" max="12" width="14.42578125" style="10" customWidth="1"/>
    <col min="13" max="13" width="13.7109375" style="10" customWidth="1"/>
    <col min="14" max="14" width="21" style="10" customWidth="1"/>
    <col min="15" max="15" width="47.140625" style="10" customWidth="1"/>
    <col min="16" max="16" width="13" style="10" customWidth="1"/>
    <col min="17" max="17" width="10.85546875" style="10"/>
    <col min="18" max="18" width="15.42578125" style="10" customWidth="1"/>
    <col min="19" max="19" width="16" style="10" customWidth="1"/>
    <col min="20" max="20" width="13.42578125" style="10" customWidth="1"/>
    <col min="21" max="21" width="13.7109375" style="10" customWidth="1"/>
    <col min="22" max="22" width="14.7109375" style="10" customWidth="1"/>
    <col min="23" max="23" width="14.85546875" style="10" customWidth="1"/>
    <col min="24" max="24" width="15.5703125" style="10" customWidth="1"/>
    <col min="25" max="25" width="16.28515625" style="10" customWidth="1"/>
    <col min="26" max="26" width="10.85546875" style="10"/>
    <col min="27" max="27" width="11.7109375" style="10" customWidth="1"/>
    <col min="28" max="28" width="10.85546875" style="10"/>
    <col min="29" max="29" width="11.7109375" style="10" customWidth="1"/>
    <col min="30" max="16384" width="10.85546875" style="10"/>
  </cols>
  <sheetData>
    <row r="1" spans="1:36" s="39" customFormat="1" ht="49.5" customHeight="1" x14ac:dyDescent="0.25">
      <c r="A1" s="67" t="s">
        <v>6</v>
      </c>
      <c r="B1" s="68" t="s">
        <v>27</v>
      </c>
      <c r="C1" s="68" t="s">
        <v>28</v>
      </c>
      <c r="D1" s="68" t="s">
        <v>32</v>
      </c>
      <c r="E1" s="68" t="s">
        <v>98</v>
      </c>
      <c r="F1" s="68" t="s">
        <v>99</v>
      </c>
      <c r="G1" s="84" t="s">
        <v>14</v>
      </c>
      <c r="H1" s="68" t="s">
        <v>8</v>
      </c>
      <c r="I1" s="68" t="s">
        <v>22</v>
      </c>
      <c r="J1" s="68" t="s">
        <v>109</v>
      </c>
      <c r="K1" s="68" t="s">
        <v>29</v>
      </c>
      <c r="L1" s="68" t="s">
        <v>30</v>
      </c>
      <c r="M1" s="68" t="s">
        <v>9</v>
      </c>
      <c r="N1" s="68" t="s">
        <v>161</v>
      </c>
      <c r="O1" s="68" t="s">
        <v>31</v>
      </c>
      <c r="P1" s="68" t="s">
        <v>26</v>
      </c>
      <c r="Q1" s="69" t="s">
        <v>44</v>
      </c>
      <c r="R1" s="68" t="s">
        <v>10</v>
      </c>
      <c r="S1" s="69" t="s">
        <v>51</v>
      </c>
      <c r="T1" s="69" t="s">
        <v>52</v>
      </c>
      <c r="U1" s="69" t="s">
        <v>53</v>
      </c>
      <c r="V1" s="69" t="s">
        <v>59</v>
      </c>
      <c r="W1" s="69" t="s">
        <v>39</v>
      </c>
      <c r="X1" s="69" t="s">
        <v>12</v>
      </c>
      <c r="Y1" s="69" t="s">
        <v>162</v>
      </c>
      <c r="Z1" s="122" t="s">
        <v>163</v>
      </c>
      <c r="AA1" s="164" t="s">
        <v>105</v>
      </c>
      <c r="AB1" s="126" t="s">
        <v>106</v>
      </c>
      <c r="AC1" s="130" t="s">
        <v>103</v>
      </c>
      <c r="AD1" s="126" t="s">
        <v>104</v>
      </c>
      <c r="AE1" s="68" t="s">
        <v>125</v>
      </c>
      <c r="AF1" s="69" t="s">
        <v>126</v>
      </c>
      <c r="AG1" s="163" t="s">
        <v>26</v>
      </c>
      <c r="AH1" s="231" t="s">
        <v>127</v>
      </c>
      <c r="AI1" s="42" t="s">
        <v>148</v>
      </c>
    </row>
    <row r="2" spans="1:36" s="61" customFormat="1" ht="44.25" customHeight="1" x14ac:dyDescent="0.25">
      <c r="A2" s="224">
        <v>40975</v>
      </c>
      <c r="B2" s="20"/>
      <c r="C2" s="20"/>
      <c r="D2" s="85" t="s">
        <v>34</v>
      </c>
      <c r="E2" s="88" t="str">
        <f>IF(D2="M","100",IF(D2="F","200",IF(ISBLANK(D2)," ")))</f>
        <v>100</v>
      </c>
      <c r="F2" s="88"/>
      <c r="G2" s="85" t="s">
        <v>45</v>
      </c>
      <c r="H2" s="86">
        <v>40819</v>
      </c>
      <c r="I2" s="88" t="str">
        <f>IF(J2&gt;730,"+ de 2 ans",IF(J2&gt;549,"De 18 à 24 mois",IF(J2&gt;365,"+1 an",IF(J2&gt;275,"De 9 à 12 mois",IF(J2&gt;183,"De 6 à 9 mois",IF(J2&gt;92,"De 3 à 6 mois",IF(J2&lt;93,"- de 3 mois")))))))</f>
        <v>De 3 à 6 mois</v>
      </c>
      <c r="J2" s="88">
        <f t="shared" ref="J2:J4" si="0">(A2-H2)+1</f>
        <v>157</v>
      </c>
      <c r="K2" s="86">
        <v>41275</v>
      </c>
      <c r="L2" s="87">
        <v>41320</v>
      </c>
      <c r="M2" s="88">
        <f>(L2-K2)+1</f>
        <v>46</v>
      </c>
      <c r="N2" s="86"/>
      <c r="O2" s="89" t="s">
        <v>46</v>
      </c>
      <c r="P2" s="158"/>
      <c r="Q2" s="91"/>
      <c r="R2" s="89" t="s">
        <v>48</v>
      </c>
      <c r="S2" s="91"/>
      <c r="T2" s="91"/>
      <c r="U2" s="91"/>
      <c r="V2" s="85">
        <f t="shared" ref="V2:V4" si="1">S2+T2+U2</f>
        <v>0</v>
      </c>
      <c r="W2" s="92"/>
      <c r="X2" s="93" t="s">
        <v>74</v>
      </c>
      <c r="Y2" s="85">
        <v>0</v>
      </c>
      <c r="Z2" s="123" t="s">
        <v>49</v>
      </c>
      <c r="AA2" s="165"/>
      <c r="AB2" s="88"/>
      <c r="AC2" s="149"/>
      <c r="AD2" s="150"/>
      <c r="AE2" s="90">
        <v>0</v>
      </c>
      <c r="AF2" s="91">
        <v>0</v>
      </c>
      <c r="AG2" s="171">
        <f t="shared" ref="AG2:AG4" si="2">IF(ISBLANK(A2)," ",AE2+0)</f>
        <v>0</v>
      </c>
      <c r="AH2" s="129">
        <f t="shared" ref="AH2:AH4" si="3">IF(ISBLANK(A2)," ",AF2+0)</f>
        <v>0</v>
      </c>
      <c r="AI2" s="236"/>
    </row>
    <row r="3" spans="1:36" s="31" customFormat="1" ht="45" x14ac:dyDescent="0.25">
      <c r="A3" s="225">
        <v>41089</v>
      </c>
      <c r="B3" s="94"/>
      <c r="C3" s="94"/>
      <c r="D3" s="89" t="s">
        <v>34</v>
      </c>
      <c r="E3" s="88" t="str">
        <f>IF(D3="M","100",IF(D3="F","200",IF(ISBLANK(D3)," ")))</f>
        <v>100</v>
      </c>
      <c r="F3" s="88"/>
      <c r="G3" s="89" t="s">
        <v>45</v>
      </c>
      <c r="H3" s="95">
        <v>40861</v>
      </c>
      <c r="I3" s="88" t="str">
        <f t="shared" ref="I3:I4" si="4">IF(J3&gt;730,"+ de 2 ans",IF(J3&gt;549,"De 18 à 24 mois",IF(J3&gt;365,"+1 an",IF(J3&gt;275,"De 9 à 12 mois",IF(J3&gt;183,"De 6 à 9 mois",IF(J3&gt;92,"De 3 à 6 mois",IF(J3&lt;93,"- de 3 mois")))))))</f>
        <v>De 6 à 9 mois</v>
      </c>
      <c r="J3" s="88">
        <f t="shared" si="0"/>
        <v>229</v>
      </c>
      <c r="K3" s="95">
        <v>41275</v>
      </c>
      <c r="L3" s="96">
        <v>41316</v>
      </c>
      <c r="M3" s="88">
        <f>(L3-K3)+1</f>
        <v>42</v>
      </c>
      <c r="N3" s="89"/>
      <c r="O3" s="89" t="s">
        <v>63</v>
      </c>
      <c r="P3" s="158"/>
      <c r="Q3" s="89"/>
      <c r="R3" s="89" t="s">
        <v>50</v>
      </c>
      <c r="S3" s="89"/>
      <c r="T3" s="89"/>
      <c r="U3" s="89"/>
      <c r="V3" s="85">
        <f t="shared" si="1"/>
        <v>0</v>
      </c>
      <c r="W3" s="89"/>
      <c r="X3" s="93" t="s">
        <v>74</v>
      </c>
      <c r="Y3" s="89">
        <v>0</v>
      </c>
      <c r="Z3" s="123" t="s">
        <v>49</v>
      </c>
      <c r="AA3" s="166"/>
      <c r="AB3" s="32"/>
      <c r="AC3" s="32"/>
      <c r="AD3" s="33"/>
      <c r="AE3" s="89">
        <v>0</v>
      </c>
      <c r="AF3" s="89">
        <v>0</v>
      </c>
      <c r="AG3" s="171">
        <f t="shared" si="2"/>
        <v>0</v>
      </c>
      <c r="AH3" s="129">
        <f t="shared" si="3"/>
        <v>0</v>
      </c>
      <c r="AI3" s="33"/>
    </row>
    <row r="4" spans="1:36" ht="30.75" thickBot="1" x14ac:dyDescent="0.3">
      <c r="A4" s="226">
        <v>41265</v>
      </c>
      <c r="B4" s="97"/>
      <c r="C4" s="97"/>
      <c r="D4" s="98" t="s">
        <v>33</v>
      </c>
      <c r="E4" s="108" t="str">
        <f t="shared" ref="E4:E25" si="5">IF(D4="M","100",IF(D4="F","200",IF(ISBLANK(D4)," ")))</f>
        <v>200</v>
      </c>
      <c r="F4" s="108"/>
      <c r="G4" s="98" t="s">
        <v>45</v>
      </c>
      <c r="H4" s="99">
        <v>41017</v>
      </c>
      <c r="I4" s="108" t="str">
        <f t="shared" si="4"/>
        <v>De 6 à 9 mois</v>
      </c>
      <c r="J4" s="108">
        <f t="shared" si="0"/>
        <v>249</v>
      </c>
      <c r="K4" s="99">
        <v>41275</v>
      </c>
      <c r="L4" s="100">
        <v>41275</v>
      </c>
      <c r="M4" s="108">
        <f t="shared" ref="M4:M25" si="6">IF(ISBLANK(D4)," ",IF(COUNTIF(K4,"*PAS*"),"0",(L4-K4)+1))</f>
        <v>1</v>
      </c>
      <c r="N4" s="99">
        <v>41276</v>
      </c>
      <c r="O4" s="101" t="s">
        <v>68</v>
      </c>
      <c r="P4" s="160"/>
      <c r="Q4" s="101"/>
      <c r="R4" s="101" t="s">
        <v>64</v>
      </c>
      <c r="S4" s="98"/>
      <c r="T4" s="98"/>
      <c r="U4" s="98"/>
      <c r="V4" s="102">
        <f t="shared" si="1"/>
        <v>0</v>
      </c>
      <c r="W4" s="98"/>
      <c r="X4" s="101" t="s">
        <v>72</v>
      </c>
      <c r="Y4" s="98">
        <v>0</v>
      </c>
      <c r="Z4" s="124" t="s">
        <v>47</v>
      </c>
      <c r="AA4" s="167"/>
      <c r="AB4" s="54"/>
      <c r="AC4" s="54"/>
      <c r="AD4" s="55"/>
      <c r="AE4" s="101">
        <v>0</v>
      </c>
      <c r="AF4" s="101">
        <v>0</v>
      </c>
      <c r="AG4" s="172">
        <f t="shared" si="2"/>
        <v>0</v>
      </c>
      <c r="AH4" s="232">
        <f t="shared" si="3"/>
        <v>0</v>
      </c>
      <c r="AI4" s="55"/>
    </row>
    <row r="5" spans="1:36" ht="30.75" thickTop="1" x14ac:dyDescent="0.25">
      <c r="A5" s="227">
        <v>41276</v>
      </c>
      <c r="B5" s="103"/>
      <c r="C5" s="103"/>
      <c r="D5" s="104" t="s">
        <v>33</v>
      </c>
      <c r="E5" s="110" t="str">
        <f t="shared" si="5"/>
        <v>200</v>
      </c>
      <c r="F5" s="154">
        <f>IF(ISBLANK(A5)," ",(E5+AG5))</f>
        <v>210</v>
      </c>
      <c r="G5" s="105" t="s">
        <v>110</v>
      </c>
      <c r="H5" s="264">
        <v>39815</v>
      </c>
      <c r="I5" s="110" t="str">
        <f t="shared" ref="I5:I25" si="7">IF(ISBLANK(A5)," ",IF(J5&gt;730,"+ de 2 ans",IF(J5&gt;549,"De 18 à 24 mois",IF(J5&gt;365,"+1 an",IF(J5&gt;275,"De 9 à 12 mois",IF(J5&gt;183,"De 6 à 9 mois",IF(J5&gt;92,"De 3 à 6 mois",IF(J5&lt;93,"- de 3 mois"))))))))</f>
        <v>+ de 2 ans</v>
      </c>
      <c r="J5" s="110">
        <f t="shared" ref="J5:J25" si="8">IF(ISBLANK(A5)," ",(A5-H5)+1)</f>
        <v>1462</v>
      </c>
      <c r="K5" s="282" t="s">
        <v>37</v>
      </c>
      <c r="L5" s="282"/>
      <c r="M5" s="110" t="str">
        <f>IF(ISBLANK(D5)," ",IF(COUNTIF(K5,"*PAS*"),"0",(L5-K5)+1))</f>
        <v>0</v>
      </c>
      <c r="N5" s="264"/>
      <c r="O5" s="105" t="s">
        <v>69</v>
      </c>
      <c r="P5" s="161" t="s">
        <v>86</v>
      </c>
      <c r="Q5" s="104" t="s">
        <v>124</v>
      </c>
      <c r="R5" s="105" t="s">
        <v>65</v>
      </c>
      <c r="S5" s="104">
        <v>100</v>
      </c>
      <c r="T5" s="104">
        <v>50</v>
      </c>
      <c r="U5" s="104"/>
      <c r="V5" s="104">
        <f>IF(ISBLANK(A5)," ",(S5+T5+U5))</f>
        <v>150</v>
      </c>
      <c r="W5" s="104"/>
      <c r="X5" s="105" t="s">
        <v>73</v>
      </c>
      <c r="Y5" s="104">
        <v>0</v>
      </c>
      <c r="Z5" s="125" t="s">
        <v>47</v>
      </c>
      <c r="AA5" s="169" t="str">
        <f>IF(ISBLANK(A5)," ",IF(J5&gt;730,"7",IF(J5&gt;549,"6",IF(J5&gt;365,"5",IF(J5&gt;275,"4",IF(J5&gt;183,"3",IF(J5&gt;92,"2",IF(J5=0,"0","1"))))))))</f>
        <v>7</v>
      </c>
      <c r="AB5" s="154" t="str">
        <f>IF(ISBLANK(A5)," ",IF(COUNTIF(K5,"*PAS*"),"0",IF(M5&gt;150,"6",IF(M5&gt;90,"5",IF(M5&gt;45,"4",IF(M5&gt;15,"3",IF(M5&gt;3,"2",IF(M5=0,"0","1"))))))))</f>
        <v>0</v>
      </c>
      <c r="AC5" s="145">
        <f t="shared" ref="AC5:AC25" si="9">IF(ISBLANK(A5)," ",AA5+0)</f>
        <v>7</v>
      </c>
      <c r="AD5" s="153">
        <f t="shared" ref="AD5:AD25" si="10">IF(ISBLANK(A5)," ",AB5+0)</f>
        <v>0</v>
      </c>
      <c r="AE5" s="170" t="str">
        <f t="shared" ref="AE5:AE8" si="11">IF(ISBLANK(A5)," ",IF(P5="Posture","1",IF(P5="Agression","2",IF(P5="Trajet","3",IF(P5="Chimique","4",IF(P5="Morsure","5",IF(P5="Chute","6",IF(P5="Stress","7",IF(P5="Blessure","8",IF(P5="Activité Physique","9",IF(P5="Manipulation OutilS","10",IF(P5="Divers","11"))))))))))))</f>
        <v>10</v>
      </c>
      <c r="AF5" s="170" t="str">
        <f>IF(ISBLANK(A5)," ",IF(Q5="Tête","1",IF(Q5="Tronc","2",IF(Q5="Membre","3",IF(Q5="Pschycologique","4",IF(Q5="Autres","5",))))))</f>
        <v>3</v>
      </c>
      <c r="AG5" s="179">
        <f>IF(ISBLANK(A5)," ",AE5+0)</f>
        <v>10</v>
      </c>
      <c r="AH5" s="233">
        <f>IF(ISBLANK(A5)," ",AF5+0)</f>
        <v>3</v>
      </c>
      <c r="AI5" s="254" t="str">
        <f>IF(ISBLANK(A5)," ",IF(Y5=0,"0",MONTH(A5)))</f>
        <v>0</v>
      </c>
      <c r="AJ5" s="36"/>
    </row>
    <row r="6" spans="1:36" ht="45" x14ac:dyDescent="0.25">
      <c r="A6" s="223">
        <v>41295</v>
      </c>
      <c r="B6" s="185"/>
      <c r="C6" s="185"/>
      <c r="D6" s="186" t="s">
        <v>33</v>
      </c>
      <c r="E6" s="88" t="str">
        <f t="shared" si="5"/>
        <v>200</v>
      </c>
      <c r="F6" s="121">
        <f t="shared" ref="F6:F25" si="12">IF(ISBLANK(A6)," ",(E6+AG6))</f>
        <v>209</v>
      </c>
      <c r="G6" s="19" t="s">
        <v>110</v>
      </c>
      <c r="H6" s="188">
        <v>41038</v>
      </c>
      <c r="I6" s="88" t="str">
        <f t="shared" si="7"/>
        <v>De 6 à 9 mois</v>
      </c>
      <c r="J6" s="88">
        <f t="shared" si="8"/>
        <v>258</v>
      </c>
      <c r="K6" s="257">
        <v>41296</v>
      </c>
      <c r="L6" s="258">
        <v>41394</v>
      </c>
      <c r="M6" s="88">
        <f t="shared" si="6"/>
        <v>99</v>
      </c>
      <c r="N6" s="188"/>
      <c r="O6" s="184" t="s">
        <v>70</v>
      </c>
      <c r="P6" s="158" t="s">
        <v>80</v>
      </c>
      <c r="Q6" s="159" t="s">
        <v>124</v>
      </c>
      <c r="R6" s="184" t="s">
        <v>66</v>
      </c>
      <c r="S6" s="186">
        <v>500</v>
      </c>
      <c r="T6" s="186"/>
      <c r="U6" s="186"/>
      <c r="V6" s="43">
        <f>IF(ISBLANK(6)," ",(S6+T6+U6))</f>
        <v>500</v>
      </c>
      <c r="W6" s="184"/>
      <c r="X6" s="194" t="s">
        <v>74</v>
      </c>
      <c r="Y6" s="186">
        <v>1</v>
      </c>
      <c r="Z6" s="25" t="s">
        <v>47</v>
      </c>
      <c r="AA6" s="168" t="str">
        <f t="shared" ref="AA6:AA25" si="13">IF(ISBLANK(A6)," ",IF(J6&gt;730,"7",IF(J6&gt;549,"6",IF(J6&gt;365,"5",IF(J6&gt;275,"4",IF(J6&gt;183,"3",IF(J6&gt;92,"2",IF(J6=0,"0","1"))))))))</f>
        <v>3</v>
      </c>
      <c r="AB6" s="121" t="str">
        <f t="shared" ref="AB6:AB25" si="14">IF(ISBLANK(A6)," ",IF(COUNTIF(K6,"*PAS*"),"0",IF(M6&gt;150,"6",IF(M6&gt;90,"5",IF(M6&gt;45,"4",IF(M6&gt;15,"3",IF(M6&gt;3,"2",IF(M6=0,"0","1"))))))))</f>
        <v>5</v>
      </c>
      <c r="AC6" s="129">
        <f t="shared" si="9"/>
        <v>3</v>
      </c>
      <c r="AD6" s="152">
        <f t="shared" si="10"/>
        <v>5</v>
      </c>
      <c r="AE6" s="162" t="str">
        <f t="shared" si="11"/>
        <v>9</v>
      </c>
      <c r="AF6" s="162" t="str">
        <f t="shared" ref="AF6:AF25" si="15">IF(ISBLANK(A6)," ",IF(Q6="Tête","1",IF(Q6="Tronc","2",IF(Q6="Membre","3",IF(Q6="Pschycologique","4",IF(Q6="Autres","5",))))))</f>
        <v>3</v>
      </c>
      <c r="AG6" s="171">
        <f>IF(ISBLANK(A6)," ",AE6+0)</f>
        <v>9</v>
      </c>
      <c r="AH6" s="129">
        <f>IF(ISBLANK(A6)," ",AF6+0)</f>
        <v>3</v>
      </c>
      <c r="AI6" s="237">
        <f>IF(ISBLANK(A6)," ",IF(Y6=0,"0",MONTH(A6)))</f>
        <v>1</v>
      </c>
      <c r="AJ6" s="36"/>
    </row>
    <row r="7" spans="1:36" ht="30" x14ac:dyDescent="0.25">
      <c r="A7" s="223">
        <v>41302</v>
      </c>
      <c r="B7" s="185"/>
      <c r="C7" s="185"/>
      <c r="D7" s="186" t="s">
        <v>33</v>
      </c>
      <c r="E7" s="88" t="str">
        <f t="shared" si="5"/>
        <v>200</v>
      </c>
      <c r="F7" s="121">
        <f t="shared" si="12"/>
        <v>211</v>
      </c>
      <c r="G7" s="19" t="s">
        <v>110</v>
      </c>
      <c r="H7" s="188">
        <v>41116</v>
      </c>
      <c r="I7" s="88" t="str">
        <f t="shared" si="7"/>
        <v>De 6 à 9 mois</v>
      </c>
      <c r="J7" s="88">
        <f t="shared" si="8"/>
        <v>187</v>
      </c>
      <c r="K7" s="257">
        <v>41303</v>
      </c>
      <c r="L7" s="258">
        <v>41394</v>
      </c>
      <c r="M7" s="88">
        <f t="shared" si="6"/>
        <v>92</v>
      </c>
      <c r="N7" s="188"/>
      <c r="O7" s="184" t="s">
        <v>71</v>
      </c>
      <c r="P7" s="158" t="s">
        <v>35</v>
      </c>
      <c r="Q7" s="18" t="s">
        <v>43</v>
      </c>
      <c r="R7" s="184" t="s">
        <v>67</v>
      </c>
      <c r="S7" s="186">
        <v>200</v>
      </c>
      <c r="T7" s="186"/>
      <c r="U7" s="186"/>
      <c r="V7" s="43">
        <f>IF(ISBLANK(7)," ",(S7+T7+U7))</f>
        <v>200</v>
      </c>
      <c r="W7" s="184"/>
      <c r="X7" s="194" t="s">
        <v>74</v>
      </c>
      <c r="Y7" s="186">
        <v>1</v>
      </c>
      <c r="Z7" s="25" t="s">
        <v>49</v>
      </c>
      <c r="AA7" s="168" t="str">
        <f t="shared" si="13"/>
        <v>3</v>
      </c>
      <c r="AB7" s="121" t="str">
        <f t="shared" si="14"/>
        <v>5</v>
      </c>
      <c r="AC7" s="129">
        <f t="shared" si="9"/>
        <v>3</v>
      </c>
      <c r="AD7" s="148">
        <f t="shared" si="10"/>
        <v>5</v>
      </c>
      <c r="AE7" s="162" t="str">
        <f t="shared" si="11"/>
        <v>11</v>
      </c>
      <c r="AF7" s="162" t="str">
        <f t="shared" si="15"/>
        <v>5</v>
      </c>
      <c r="AG7" s="171">
        <f>IF(ISBLANK(A7)," ",AE7+0)</f>
        <v>11</v>
      </c>
      <c r="AH7" s="129">
        <f>IF(ISBLANK(A7)," ",AF7+0)</f>
        <v>5</v>
      </c>
      <c r="AI7" s="237">
        <f t="shared" ref="AI7:AI25" si="16">IF(ISBLANK(A7)," ",IF(Y7=0,"0",MONTH(A7)))</f>
        <v>1</v>
      </c>
      <c r="AJ7" s="36"/>
    </row>
    <row r="8" spans="1:36" ht="30" x14ac:dyDescent="0.25">
      <c r="A8" s="223">
        <v>41303</v>
      </c>
      <c r="B8" s="185"/>
      <c r="C8" s="185"/>
      <c r="D8" s="186" t="s">
        <v>34</v>
      </c>
      <c r="E8" s="88" t="str">
        <f t="shared" si="5"/>
        <v>100</v>
      </c>
      <c r="F8" s="121">
        <f t="shared" si="12"/>
        <v>102</v>
      </c>
      <c r="G8" s="19" t="s">
        <v>110</v>
      </c>
      <c r="H8" s="188">
        <v>40364</v>
      </c>
      <c r="I8" s="88" t="str">
        <f t="shared" si="7"/>
        <v>+ de 2 ans</v>
      </c>
      <c r="J8" s="88">
        <f t="shared" si="8"/>
        <v>940</v>
      </c>
      <c r="K8" s="257">
        <v>41304</v>
      </c>
      <c r="L8" s="259">
        <v>41307</v>
      </c>
      <c r="M8" s="88">
        <f t="shared" si="6"/>
        <v>4</v>
      </c>
      <c r="N8" s="209">
        <v>41309</v>
      </c>
      <c r="O8" s="184" t="s">
        <v>88</v>
      </c>
      <c r="P8" s="158" t="s">
        <v>21</v>
      </c>
      <c r="Q8" s="18" t="s">
        <v>124</v>
      </c>
      <c r="R8" s="184" t="s">
        <v>75</v>
      </c>
      <c r="S8" s="186">
        <v>300</v>
      </c>
      <c r="T8" s="186"/>
      <c r="U8" s="186"/>
      <c r="V8" s="43">
        <f>IF(ISBLANK(8)," ",(S8+T8+U8))</f>
        <v>300</v>
      </c>
      <c r="W8" s="186"/>
      <c r="X8" s="194" t="s">
        <v>76</v>
      </c>
      <c r="Y8" s="186">
        <v>1</v>
      </c>
      <c r="Z8" s="25" t="s">
        <v>47</v>
      </c>
      <c r="AA8" s="168" t="str">
        <f t="shared" si="13"/>
        <v>7</v>
      </c>
      <c r="AB8" s="121" t="str">
        <f t="shared" si="14"/>
        <v>2</v>
      </c>
      <c r="AC8" s="129">
        <f t="shared" si="9"/>
        <v>7</v>
      </c>
      <c r="AD8" s="148">
        <f t="shared" si="10"/>
        <v>2</v>
      </c>
      <c r="AE8" s="162" t="str">
        <f t="shared" si="11"/>
        <v>2</v>
      </c>
      <c r="AF8" s="162" t="str">
        <f t="shared" si="15"/>
        <v>3</v>
      </c>
      <c r="AG8" s="171">
        <f>IF(ISBLANK(A8)," ",AE8+0)</f>
        <v>2</v>
      </c>
      <c r="AH8" s="129">
        <f>IF(ISBLANK(A8)," ",AF8+0)</f>
        <v>3</v>
      </c>
      <c r="AI8" s="237">
        <f t="shared" si="16"/>
        <v>1</v>
      </c>
      <c r="AJ8" s="36"/>
    </row>
    <row r="9" spans="1:36" ht="30" x14ac:dyDescent="0.25">
      <c r="A9" s="223">
        <v>41330</v>
      </c>
      <c r="B9" s="185"/>
      <c r="C9" s="185"/>
      <c r="D9" s="186" t="s">
        <v>34</v>
      </c>
      <c r="E9" s="144" t="str">
        <f t="shared" si="5"/>
        <v>100</v>
      </c>
      <c r="F9" s="121">
        <f t="shared" si="12"/>
        <v>108</v>
      </c>
      <c r="G9" s="19" t="s">
        <v>110</v>
      </c>
      <c r="H9" s="38">
        <v>40347</v>
      </c>
      <c r="I9" s="88" t="str">
        <f t="shared" si="7"/>
        <v>+ de 2 ans</v>
      </c>
      <c r="J9" s="88">
        <f t="shared" si="8"/>
        <v>984</v>
      </c>
      <c r="K9" s="257">
        <v>41331</v>
      </c>
      <c r="L9" s="258">
        <v>41378</v>
      </c>
      <c r="M9" s="88">
        <f t="shared" si="6"/>
        <v>48</v>
      </c>
      <c r="N9" s="188"/>
      <c r="O9" s="184" t="s">
        <v>128</v>
      </c>
      <c r="P9" s="158" t="s">
        <v>77</v>
      </c>
      <c r="Q9" s="18" t="s">
        <v>124</v>
      </c>
      <c r="R9" s="184" t="s">
        <v>129</v>
      </c>
      <c r="S9" s="186">
        <v>400</v>
      </c>
      <c r="T9" s="186">
        <v>10</v>
      </c>
      <c r="U9" s="186"/>
      <c r="V9" s="43">
        <f>IF(ISBLANK(9)," ",(S9+T9+U9))</f>
        <v>410</v>
      </c>
      <c r="W9" s="186"/>
      <c r="X9" s="194" t="s">
        <v>74</v>
      </c>
      <c r="Y9" s="186">
        <v>1</v>
      </c>
      <c r="Z9" s="25" t="s">
        <v>47</v>
      </c>
      <c r="AA9" s="168" t="str">
        <f t="shared" si="13"/>
        <v>7</v>
      </c>
      <c r="AB9" s="121" t="str">
        <f t="shared" si="14"/>
        <v>4</v>
      </c>
      <c r="AC9" s="129">
        <f t="shared" si="9"/>
        <v>7</v>
      </c>
      <c r="AD9" s="148">
        <f t="shared" si="10"/>
        <v>4</v>
      </c>
      <c r="AE9" s="162" t="str">
        <f>IF(ISBLANK(A9)," ",IF(P9="Posture","1",IF(P9="Agression","2",IF(P9="Trajet","3",IF(P9="Chimique","4",IF(P9="Morsure","5",IF(P9="Chute","6",IF(P9="Stress","7",IF(P9="Blessure","8",IF(P9="Activité Physique","9",IF(P9="Manipulation OutilS","10",IF(P9="Divers","11"))))))))))))</f>
        <v>8</v>
      </c>
      <c r="AF9" s="162" t="str">
        <f t="shared" si="15"/>
        <v>3</v>
      </c>
      <c r="AG9" s="171">
        <f t="shared" ref="AG9:AG25" si="17">IF(ISBLANK(A9)," ",AE9+0)</f>
        <v>8</v>
      </c>
      <c r="AH9" s="234">
        <f>IF(ISBLANK(A9)," ",AF9+0)</f>
        <v>3</v>
      </c>
      <c r="AI9" s="237">
        <f t="shared" si="16"/>
        <v>2</v>
      </c>
      <c r="AJ9" s="36"/>
    </row>
    <row r="10" spans="1:36" ht="30" x14ac:dyDescent="0.25">
      <c r="A10" s="223">
        <v>41333</v>
      </c>
      <c r="B10" s="185"/>
      <c r="C10" s="185"/>
      <c r="D10" s="186" t="s">
        <v>34</v>
      </c>
      <c r="E10" s="144" t="str">
        <f t="shared" si="5"/>
        <v>100</v>
      </c>
      <c r="F10" s="121">
        <f t="shared" si="12"/>
        <v>106</v>
      </c>
      <c r="G10" s="19" t="s">
        <v>110</v>
      </c>
      <c r="H10" s="188">
        <v>41244</v>
      </c>
      <c r="I10" s="88" t="str">
        <f t="shared" si="7"/>
        <v>- de 3 mois</v>
      </c>
      <c r="J10" s="88">
        <f t="shared" si="8"/>
        <v>90</v>
      </c>
      <c r="K10" s="257">
        <v>41334</v>
      </c>
      <c r="L10" s="258">
        <v>41386</v>
      </c>
      <c r="M10" s="88">
        <f t="shared" si="6"/>
        <v>53</v>
      </c>
      <c r="N10" s="188"/>
      <c r="O10" s="184" t="s">
        <v>130</v>
      </c>
      <c r="P10" s="158" t="s">
        <v>78</v>
      </c>
      <c r="Q10" s="18" t="s">
        <v>41</v>
      </c>
      <c r="R10" s="184" t="s">
        <v>131</v>
      </c>
      <c r="S10" s="186">
        <v>200</v>
      </c>
      <c r="T10" s="186"/>
      <c r="U10" s="186">
        <v>8</v>
      </c>
      <c r="V10" s="43">
        <f>IF(ISBLANK(A10)," ",(S10+T10+U10))</f>
        <v>208</v>
      </c>
      <c r="W10" s="186"/>
      <c r="X10" s="194" t="s">
        <v>74</v>
      </c>
      <c r="Y10" s="186">
        <v>1</v>
      </c>
      <c r="Z10" s="25" t="s">
        <v>47</v>
      </c>
      <c r="AA10" s="168" t="str">
        <f t="shared" si="13"/>
        <v>1</v>
      </c>
      <c r="AB10" s="121" t="str">
        <f t="shared" si="14"/>
        <v>4</v>
      </c>
      <c r="AC10" s="129">
        <f t="shared" si="9"/>
        <v>1</v>
      </c>
      <c r="AD10" s="148">
        <f t="shared" si="10"/>
        <v>4</v>
      </c>
      <c r="AE10" s="162" t="str">
        <f t="shared" ref="AE10:AE25" si="18">IF(ISBLANK(A10)," ",IF(P10="Posture","1",IF(P10="Agression","2",IF(P10="Trajet","3",IF(P10="Chimique","4",IF(P10="Morsure","5",IF(P10="Chute","6",IF(P10="Stress","7",IF(P10="Blessure","8",IF(P10="Activité Physique","9",IF(P10="Manipulation OutilS","10",IF(P10="Divers","11"))))))))))))</f>
        <v>6</v>
      </c>
      <c r="AF10" s="162" t="str">
        <f t="shared" si="15"/>
        <v>2</v>
      </c>
      <c r="AG10" s="171">
        <f t="shared" si="17"/>
        <v>6</v>
      </c>
      <c r="AH10" s="129">
        <f t="shared" ref="AH10:AH25" si="19">IF(ISBLANK(A10)," ",AF10+0)</f>
        <v>2</v>
      </c>
      <c r="AI10" s="237">
        <f t="shared" si="16"/>
        <v>2</v>
      </c>
      <c r="AJ10" s="36"/>
    </row>
    <row r="11" spans="1:36" ht="30" x14ac:dyDescent="0.25">
      <c r="A11" s="223">
        <v>41337</v>
      </c>
      <c r="B11" s="185"/>
      <c r="C11" s="185"/>
      <c r="D11" s="186" t="s">
        <v>34</v>
      </c>
      <c r="E11" s="144" t="str">
        <f t="shared" si="5"/>
        <v>100</v>
      </c>
      <c r="F11" s="121">
        <f t="shared" si="12"/>
        <v>101</v>
      </c>
      <c r="G11" s="19" t="s">
        <v>110</v>
      </c>
      <c r="H11" s="188">
        <v>41082</v>
      </c>
      <c r="I11" s="88" t="str">
        <f t="shared" si="7"/>
        <v>De 6 à 9 mois</v>
      </c>
      <c r="J11" s="88">
        <f t="shared" si="8"/>
        <v>256</v>
      </c>
      <c r="K11" s="257">
        <v>41338</v>
      </c>
      <c r="L11" s="258">
        <v>41396</v>
      </c>
      <c r="M11" s="88">
        <f t="shared" si="6"/>
        <v>59</v>
      </c>
      <c r="N11" s="188"/>
      <c r="O11" s="184" t="s">
        <v>132</v>
      </c>
      <c r="P11" s="158" t="s">
        <v>20</v>
      </c>
      <c r="Q11" s="18" t="s">
        <v>124</v>
      </c>
      <c r="R11" s="184" t="s">
        <v>38</v>
      </c>
      <c r="S11" s="186">
        <v>300</v>
      </c>
      <c r="T11" s="186">
        <v>90</v>
      </c>
      <c r="U11" s="186"/>
      <c r="V11" s="43">
        <f>IF(ISBLANK(A11)," ",(S11+T11+U11))</f>
        <v>390</v>
      </c>
      <c r="W11" s="186"/>
      <c r="X11" s="194" t="s">
        <v>74</v>
      </c>
      <c r="Y11" s="186">
        <v>1</v>
      </c>
      <c r="Z11" s="25" t="s">
        <v>47</v>
      </c>
      <c r="AA11" s="168" t="str">
        <f t="shared" si="13"/>
        <v>3</v>
      </c>
      <c r="AB11" s="121" t="str">
        <f t="shared" si="14"/>
        <v>4</v>
      </c>
      <c r="AC11" s="129">
        <f t="shared" si="9"/>
        <v>3</v>
      </c>
      <c r="AD11" s="148">
        <f t="shared" si="10"/>
        <v>4</v>
      </c>
      <c r="AE11" s="162" t="str">
        <f t="shared" si="18"/>
        <v>1</v>
      </c>
      <c r="AF11" s="162" t="str">
        <f t="shared" si="15"/>
        <v>3</v>
      </c>
      <c r="AG11" s="171">
        <f t="shared" si="17"/>
        <v>1</v>
      </c>
      <c r="AH11" s="129">
        <f t="shared" si="19"/>
        <v>3</v>
      </c>
      <c r="AI11" s="237">
        <f t="shared" si="16"/>
        <v>3</v>
      </c>
      <c r="AJ11" s="36"/>
    </row>
    <row r="12" spans="1:36" ht="30" x14ac:dyDescent="0.25">
      <c r="A12" s="223">
        <v>41345</v>
      </c>
      <c r="B12" s="185"/>
      <c r="C12" s="185"/>
      <c r="D12" s="186" t="s">
        <v>34</v>
      </c>
      <c r="E12" s="144" t="str">
        <f t="shared" si="5"/>
        <v>100</v>
      </c>
      <c r="F12" s="121">
        <f t="shared" si="12"/>
        <v>108</v>
      </c>
      <c r="G12" s="19" t="s">
        <v>110</v>
      </c>
      <c r="H12" s="188">
        <v>41121</v>
      </c>
      <c r="I12" s="88" t="str">
        <f t="shared" si="7"/>
        <v>De 6 à 9 mois</v>
      </c>
      <c r="J12" s="88">
        <f t="shared" si="8"/>
        <v>225</v>
      </c>
      <c r="K12" s="257">
        <v>41346</v>
      </c>
      <c r="L12" s="257">
        <v>41350</v>
      </c>
      <c r="M12" s="88">
        <f t="shared" si="6"/>
        <v>5</v>
      </c>
      <c r="N12" s="195">
        <v>41351</v>
      </c>
      <c r="O12" s="184" t="s">
        <v>133</v>
      </c>
      <c r="P12" s="158" t="s">
        <v>77</v>
      </c>
      <c r="Q12" s="18" t="s">
        <v>124</v>
      </c>
      <c r="R12" s="184" t="s">
        <v>134</v>
      </c>
      <c r="S12" s="186">
        <v>200</v>
      </c>
      <c r="T12" s="186"/>
      <c r="U12" s="186">
        <v>5</v>
      </c>
      <c r="V12" s="43">
        <f>IF(ISBLANK(A12)," ",(S12+T12+U12))</f>
        <v>205</v>
      </c>
      <c r="W12" s="186"/>
      <c r="X12" s="194" t="s">
        <v>74</v>
      </c>
      <c r="Y12" s="186">
        <v>1</v>
      </c>
      <c r="Z12" s="25" t="s">
        <v>47</v>
      </c>
      <c r="AA12" s="168" t="str">
        <f t="shared" si="13"/>
        <v>3</v>
      </c>
      <c r="AB12" s="121" t="str">
        <f t="shared" si="14"/>
        <v>2</v>
      </c>
      <c r="AC12" s="129">
        <f t="shared" si="9"/>
        <v>3</v>
      </c>
      <c r="AD12" s="148">
        <f t="shared" si="10"/>
        <v>2</v>
      </c>
      <c r="AE12" s="162" t="str">
        <f t="shared" si="18"/>
        <v>8</v>
      </c>
      <c r="AF12" s="162" t="str">
        <f t="shared" si="15"/>
        <v>3</v>
      </c>
      <c r="AG12" s="171">
        <f t="shared" si="17"/>
        <v>8</v>
      </c>
      <c r="AH12" s="129">
        <f t="shared" si="19"/>
        <v>3</v>
      </c>
      <c r="AI12" s="237">
        <f t="shared" si="16"/>
        <v>3</v>
      </c>
      <c r="AJ12" s="36"/>
    </row>
    <row r="13" spans="1:36" x14ac:dyDescent="0.25">
      <c r="A13" s="228">
        <v>41345</v>
      </c>
      <c r="B13" s="187"/>
      <c r="C13" s="187"/>
      <c r="D13" s="186" t="s">
        <v>33</v>
      </c>
      <c r="E13" s="144" t="str">
        <f t="shared" si="5"/>
        <v>200</v>
      </c>
      <c r="F13" s="121">
        <f t="shared" si="12"/>
        <v>203</v>
      </c>
      <c r="G13" s="19" t="s">
        <v>110</v>
      </c>
      <c r="H13" s="183">
        <v>41341</v>
      </c>
      <c r="I13" s="88" t="str">
        <f t="shared" si="7"/>
        <v>- de 3 mois</v>
      </c>
      <c r="J13" s="88">
        <f t="shared" si="8"/>
        <v>5</v>
      </c>
      <c r="K13" s="257">
        <v>41346</v>
      </c>
      <c r="L13" s="257">
        <v>41347</v>
      </c>
      <c r="M13" s="88">
        <v>9</v>
      </c>
      <c r="N13" s="209">
        <v>41348</v>
      </c>
      <c r="O13" s="186" t="s">
        <v>135</v>
      </c>
      <c r="P13" s="158" t="s">
        <v>2</v>
      </c>
      <c r="Q13" s="18" t="s">
        <v>11</v>
      </c>
      <c r="R13" s="4" t="s">
        <v>136</v>
      </c>
      <c r="S13" s="186">
        <v>600</v>
      </c>
      <c r="T13" s="186">
        <v>30</v>
      </c>
      <c r="U13" s="186"/>
      <c r="V13" s="43">
        <f t="shared" ref="V13:V25" si="20">IF(ISBLANK(A13)," ",(S13+T13+U13))</f>
        <v>630</v>
      </c>
      <c r="W13" s="186"/>
      <c r="X13" s="60" t="s">
        <v>139</v>
      </c>
      <c r="Y13" s="186">
        <v>1</v>
      </c>
      <c r="Z13" s="25" t="s">
        <v>47</v>
      </c>
      <c r="AA13" s="168" t="str">
        <f t="shared" si="13"/>
        <v>1</v>
      </c>
      <c r="AB13" s="121" t="str">
        <f t="shared" si="14"/>
        <v>2</v>
      </c>
      <c r="AC13" s="129">
        <f t="shared" si="9"/>
        <v>1</v>
      </c>
      <c r="AD13" s="148">
        <f t="shared" si="10"/>
        <v>2</v>
      </c>
      <c r="AE13" s="162" t="str">
        <f t="shared" si="18"/>
        <v>3</v>
      </c>
      <c r="AF13" s="162" t="str">
        <f t="shared" si="15"/>
        <v>1</v>
      </c>
      <c r="AG13" s="171">
        <f t="shared" si="17"/>
        <v>3</v>
      </c>
      <c r="AH13" s="129">
        <f t="shared" si="19"/>
        <v>1</v>
      </c>
      <c r="AI13" s="237">
        <f t="shared" si="16"/>
        <v>3</v>
      </c>
      <c r="AJ13" s="36"/>
    </row>
    <row r="14" spans="1:36" x14ac:dyDescent="0.25">
      <c r="A14" s="229">
        <v>41346</v>
      </c>
      <c r="B14" s="196"/>
      <c r="C14" s="196"/>
      <c r="D14" s="197" t="s">
        <v>33</v>
      </c>
      <c r="E14" s="198" t="str">
        <f t="shared" si="5"/>
        <v>200</v>
      </c>
      <c r="F14" s="199">
        <f t="shared" si="12"/>
        <v>200</v>
      </c>
      <c r="G14" s="200" t="s">
        <v>110</v>
      </c>
      <c r="H14" s="208">
        <v>41341</v>
      </c>
      <c r="I14" s="199" t="str">
        <f t="shared" si="7"/>
        <v>- de 3 mois</v>
      </c>
      <c r="J14" s="199">
        <f t="shared" si="8"/>
        <v>6</v>
      </c>
      <c r="K14" s="260">
        <v>41351</v>
      </c>
      <c r="L14" s="260">
        <v>41357</v>
      </c>
      <c r="M14" s="199">
        <v>0</v>
      </c>
      <c r="N14" s="206" t="s">
        <v>139</v>
      </c>
      <c r="O14" s="206"/>
      <c r="P14" s="202"/>
      <c r="Q14" s="197"/>
      <c r="R14" s="201"/>
      <c r="S14" s="197"/>
      <c r="T14" s="197"/>
      <c r="U14" s="197"/>
      <c r="V14" s="197">
        <f t="shared" si="20"/>
        <v>0</v>
      </c>
      <c r="W14" s="201"/>
      <c r="X14" s="245" t="s">
        <v>139</v>
      </c>
      <c r="Y14" s="206">
        <v>0</v>
      </c>
      <c r="Z14" s="249" t="s">
        <v>47</v>
      </c>
      <c r="AA14" s="210">
        <v>0</v>
      </c>
      <c r="AB14" s="199">
        <v>0</v>
      </c>
      <c r="AC14" s="211">
        <f t="shared" si="9"/>
        <v>0</v>
      </c>
      <c r="AD14" s="212">
        <f t="shared" si="10"/>
        <v>0</v>
      </c>
      <c r="AE14" s="213">
        <v>0</v>
      </c>
      <c r="AF14" s="213">
        <f t="shared" si="15"/>
        <v>0</v>
      </c>
      <c r="AG14" s="214">
        <f t="shared" si="17"/>
        <v>0</v>
      </c>
      <c r="AH14" s="211">
        <f t="shared" si="19"/>
        <v>0</v>
      </c>
      <c r="AI14" s="253" t="str">
        <f t="shared" si="16"/>
        <v>0</v>
      </c>
      <c r="AJ14" s="36"/>
    </row>
    <row r="15" spans="1:36" ht="30" x14ac:dyDescent="0.25">
      <c r="A15" s="230">
        <v>41345</v>
      </c>
      <c r="B15" s="189"/>
      <c r="C15" s="189"/>
      <c r="D15" s="207" t="s">
        <v>34</v>
      </c>
      <c r="E15" s="203" t="str">
        <f t="shared" si="5"/>
        <v>100</v>
      </c>
      <c r="F15" s="204">
        <f t="shared" si="12"/>
        <v>106</v>
      </c>
      <c r="G15" s="190" t="s">
        <v>110</v>
      </c>
      <c r="H15" s="192">
        <v>41155</v>
      </c>
      <c r="I15" s="204" t="str">
        <f t="shared" si="7"/>
        <v>De 6 à 9 mois</v>
      </c>
      <c r="J15" s="204">
        <f t="shared" si="8"/>
        <v>191</v>
      </c>
      <c r="K15" s="283" t="s">
        <v>37</v>
      </c>
      <c r="L15" s="284"/>
      <c r="M15" s="204" t="str">
        <f t="shared" si="6"/>
        <v>0</v>
      </c>
      <c r="N15" s="191"/>
      <c r="O15" s="193" t="s">
        <v>137</v>
      </c>
      <c r="P15" s="205" t="s">
        <v>78</v>
      </c>
      <c r="Q15" s="207" t="s">
        <v>124</v>
      </c>
      <c r="R15" s="191" t="s">
        <v>138</v>
      </c>
      <c r="S15" s="207">
        <v>400</v>
      </c>
      <c r="T15" s="207"/>
      <c r="U15" s="207"/>
      <c r="V15" s="207">
        <f t="shared" si="20"/>
        <v>400</v>
      </c>
      <c r="W15" s="191"/>
      <c r="X15" s="246" t="s">
        <v>76</v>
      </c>
      <c r="Y15" s="191">
        <v>0</v>
      </c>
      <c r="Z15" s="250" t="s">
        <v>47</v>
      </c>
      <c r="AA15" s="215" t="str">
        <f t="shared" si="13"/>
        <v>3</v>
      </c>
      <c r="AB15" s="204" t="str">
        <f t="shared" si="14"/>
        <v>0</v>
      </c>
      <c r="AC15" s="216">
        <f t="shared" si="9"/>
        <v>3</v>
      </c>
      <c r="AD15" s="217">
        <f t="shared" si="10"/>
        <v>0</v>
      </c>
      <c r="AE15" s="218" t="str">
        <f t="shared" si="18"/>
        <v>6</v>
      </c>
      <c r="AF15" s="218" t="str">
        <f t="shared" si="15"/>
        <v>3</v>
      </c>
      <c r="AG15" s="219">
        <f t="shared" si="17"/>
        <v>6</v>
      </c>
      <c r="AH15" s="216">
        <f t="shared" si="19"/>
        <v>3</v>
      </c>
      <c r="AI15" s="64" t="str">
        <f>IF(ISBLANK(A15)," ",IF(Y15=0,"0",MONTH(A15)))</f>
        <v>0</v>
      </c>
      <c r="AJ15" s="36"/>
    </row>
    <row r="16" spans="1:36" x14ac:dyDescent="0.25">
      <c r="A16" s="239"/>
      <c r="B16" s="243"/>
      <c r="C16" s="243"/>
      <c r="D16" s="186"/>
      <c r="E16" s="151"/>
      <c r="F16" s="121" t="str">
        <f t="shared" si="12"/>
        <v xml:space="preserve"> </v>
      </c>
      <c r="G16" s="19"/>
      <c r="H16" s="242"/>
      <c r="I16" s="88" t="str">
        <f t="shared" si="7"/>
        <v xml:space="preserve"> </v>
      </c>
      <c r="J16" s="88" t="str">
        <f t="shared" si="8"/>
        <v xml:space="preserve"> </v>
      </c>
      <c r="K16" s="261"/>
      <c r="L16" s="261"/>
      <c r="M16" s="88" t="str">
        <f t="shared" si="6"/>
        <v xml:space="preserve"> </v>
      </c>
      <c r="N16" s="9"/>
      <c r="O16" s="244"/>
      <c r="P16" s="158"/>
      <c r="Q16" s="18"/>
      <c r="R16" s="242"/>
      <c r="S16" s="186"/>
      <c r="T16" s="186"/>
      <c r="U16" s="186"/>
      <c r="V16" s="43" t="str">
        <f t="shared" si="20"/>
        <v xml:space="preserve"> </v>
      </c>
      <c r="W16" s="242"/>
      <c r="X16" s="247"/>
      <c r="Y16" s="242"/>
      <c r="Z16" s="251"/>
      <c r="AA16" s="168" t="str">
        <f t="shared" si="13"/>
        <v xml:space="preserve"> </v>
      </c>
      <c r="AB16" s="121" t="str">
        <f t="shared" si="14"/>
        <v xml:space="preserve"> </v>
      </c>
      <c r="AC16" s="129" t="str">
        <f t="shared" si="9"/>
        <v xml:space="preserve"> </v>
      </c>
      <c r="AD16" s="148" t="str">
        <f t="shared" si="10"/>
        <v xml:space="preserve"> </v>
      </c>
      <c r="AE16" s="162" t="str">
        <f t="shared" si="18"/>
        <v xml:space="preserve"> </v>
      </c>
      <c r="AF16" s="162" t="str">
        <f t="shared" si="15"/>
        <v xml:space="preserve"> </v>
      </c>
      <c r="AG16" s="171" t="str">
        <f t="shared" si="17"/>
        <v xml:space="preserve"> </v>
      </c>
      <c r="AH16" s="129" t="str">
        <f t="shared" si="19"/>
        <v xml:space="preserve"> </v>
      </c>
      <c r="AI16" s="237" t="str">
        <f t="shared" si="16"/>
        <v xml:space="preserve"> </v>
      </c>
      <c r="AJ16" s="36"/>
    </row>
    <row r="17" spans="1:36" x14ac:dyDescent="0.25">
      <c r="A17" s="240"/>
      <c r="B17" s="9"/>
      <c r="C17" s="9"/>
      <c r="D17" s="186"/>
      <c r="E17" s="151"/>
      <c r="F17" s="121" t="str">
        <f t="shared" si="12"/>
        <v xml:space="preserve"> </v>
      </c>
      <c r="G17" s="19"/>
      <c r="H17" s="242"/>
      <c r="I17" s="88" t="str">
        <f>IF(ISBLANK(A17)," ",IF(J17&gt;730,"+ de 2 ans",IF(J17&gt;549,"De 18 à 24 mois",IF(J17&gt;365,"+1 an",IF(J17&gt;275,"De 9 à 12 mois",IF(J17&gt;183,"De 6 à 9 mois",IF(J17&gt;92,"De 3 à 6 mois",IF(J17&lt;93,"- de 3 mois"))))))))</f>
        <v xml:space="preserve"> </v>
      </c>
      <c r="J17" s="88" t="str">
        <f t="shared" si="8"/>
        <v xml:space="preserve"> </v>
      </c>
      <c r="K17" s="261"/>
      <c r="L17" s="261"/>
      <c r="M17" s="88" t="str">
        <f>IF(ISBLANK(D17)," ",IF(COUNTIF(K17,"*PAS*"),"0",(L17-K17)+1))</f>
        <v xml:space="preserve"> </v>
      </c>
      <c r="N17" s="9"/>
      <c r="O17" s="244"/>
      <c r="P17" s="158"/>
      <c r="Q17" s="18"/>
      <c r="R17" s="242"/>
      <c r="S17" s="186"/>
      <c r="T17" s="186"/>
      <c r="U17" s="186"/>
      <c r="V17" s="43" t="str">
        <f t="shared" si="20"/>
        <v xml:space="preserve"> </v>
      </c>
      <c r="W17" s="242"/>
      <c r="X17" s="247"/>
      <c r="Y17" s="242"/>
      <c r="Z17" s="251"/>
      <c r="AA17" s="168" t="str">
        <f t="shared" si="13"/>
        <v xml:space="preserve"> </v>
      </c>
      <c r="AB17" s="121" t="str">
        <f t="shared" si="14"/>
        <v xml:space="preserve"> </v>
      </c>
      <c r="AC17" s="129" t="str">
        <f t="shared" si="9"/>
        <v xml:space="preserve"> </v>
      </c>
      <c r="AD17" s="148" t="str">
        <f t="shared" si="10"/>
        <v xml:space="preserve"> </v>
      </c>
      <c r="AE17" s="162" t="str">
        <f t="shared" si="18"/>
        <v xml:space="preserve"> </v>
      </c>
      <c r="AF17" s="162" t="str">
        <f t="shared" si="15"/>
        <v xml:space="preserve"> </v>
      </c>
      <c r="AG17" s="171" t="str">
        <f t="shared" si="17"/>
        <v xml:space="preserve"> </v>
      </c>
      <c r="AH17" s="129" t="str">
        <f t="shared" si="19"/>
        <v xml:space="preserve"> </v>
      </c>
      <c r="AI17" s="237" t="str">
        <f t="shared" si="16"/>
        <v xml:space="preserve"> </v>
      </c>
      <c r="AJ17" s="36" t="str">
        <f>IF(ISBLANK(A17)," ",MONTH(A17))</f>
        <v xml:space="preserve"> </v>
      </c>
    </row>
    <row r="18" spans="1:36" x14ac:dyDescent="0.25">
      <c r="A18" s="240"/>
      <c r="B18" s="9"/>
      <c r="C18" s="9"/>
      <c r="D18" s="186"/>
      <c r="E18" s="151"/>
      <c r="F18" s="121" t="str">
        <f t="shared" si="12"/>
        <v xml:space="preserve"> </v>
      </c>
      <c r="G18" s="19"/>
      <c r="H18" s="242"/>
      <c r="I18" s="88" t="str">
        <f t="shared" si="7"/>
        <v xml:space="preserve"> </v>
      </c>
      <c r="J18" s="88" t="str">
        <f t="shared" si="8"/>
        <v xml:space="preserve"> </v>
      </c>
      <c r="K18" s="261"/>
      <c r="L18" s="261"/>
      <c r="M18" s="88" t="str">
        <f t="shared" si="6"/>
        <v xml:space="preserve"> </v>
      </c>
      <c r="N18" s="9"/>
      <c r="O18" s="244"/>
      <c r="P18" s="158"/>
      <c r="Q18" s="18"/>
      <c r="R18" s="242"/>
      <c r="S18" s="186"/>
      <c r="T18" s="186"/>
      <c r="U18" s="186"/>
      <c r="V18" s="43" t="str">
        <f t="shared" si="20"/>
        <v xml:space="preserve"> </v>
      </c>
      <c r="W18" s="242"/>
      <c r="X18" s="247"/>
      <c r="Y18" s="242"/>
      <c r="Z18" s="251"/>
      <c r="AA18" s="168" t="str">
        <f t="shared" si="13"/>
        <v xml:space="preserve"> </v>
      </c>
      <c r="AB18" s="121" t="str">
        <f t="shared" si="14"/>
        <v xml:space="preserve"> </v>
      </c>
      <c r="AC18" s="129" t="str">
        <f t="shared" si="9"/>
        <v xml:space="preserve"> </v>
      </c>
      <c r="AD18" s="148" t="str">
        <f t="shared" si="10"/>
        <v xml:space="preserve"> </v>
      </c>
      <c r="AE18" s="162" t="str">
        <f t="shared" si="18"/>
        <v xml:space="preserve"> </v>
      </c>
      <c r="AF18" s="162" t="str">
        <f t="shared" si="15"/>
        <v xml:space="preserve"> </v>
      </c>
      <c r="AG18" s="171" t="str">
        <f t="shared" si="17"/>
        <v xml:space="preserve"> </v>
      </c>
      <c r="AH18" s="129" t="str">
        <f t="shared" si="19"/>
        <v xml:space="preserve"> </v>
      </c>
      <c r="AI18" s="237" t="str">
        <f t="shared" si="16"/>
        <v xml:space="preserve"> </v>
      </c>
      <c r="AJ18" s="36"/>
    </row>
    <row r="19" spans="1:36" x14ac:dyDescent="0.25">
      <c r="A19" s="240"/>
      <c r="B19" s="9"/>
      <c r="C19" s="9"/>
      <c r="D19" s="186"/>
      <c r="E19" s="151"/>
      <c r="F19" s="121" t="str">
        <f t="shared" si="12"/>
        <v xml:space="preserve"> </v>
      </c>
      <c r="G19" s="19"/>
      <c r="H19" s="242"/>
      <c r="I19" s="88" t="str">
        <f t="shared" si="7"/>
        <v xml:space="preserve"> </v>
      </c>
      <c r="J19" s="88" t="str">
        <f t="shared" si="8"/>
        <v xml:space="preserve"> </v>
      </c>
      <c r="K19" s="261"/>
      <c r="L19" s="261"/>
      <c r="M19" s="88" t="str">
        <f t="shared" si="6"/>
        <v xml:space="preserve"> </v>
      </c>
      <c r="N19" s="9"/>
      <c r="O19" s="244"/>
      <c r="P19" s="158"/>
      <c r="Q19" s="18"/>
      <c r="R19" s="242"/>
      <c r="S19" s="186"/>
      <c r="T19" s="186"/>
      <c r="U19" s="186"/>
      <c r="V19" s="43" t="str">
        <f t="shared" si="20"/>
        <v xml:space="preserve"> </v>
      </c>
      <c r="W19" s="242"/>
      <c r="X19" s="247"/>
      <c r="Y19" s="242"/>
      <c r="Z19" s="251"/>
      <c r="AA19" s="168" t="str">
        <f t="shared" si="13"/>
        <v xml:space="preserve"> </v>
      </c>
      <c r="AB19" s="121" t="str">
        <f t="shared" si="14"/>
        <v xml:space="preserve"> </v>
      </c>
      <c r="AC19" s="129" t="str">
        <f t="shared" si="9"/>
        <v xml:space="preserve"> </v>
      </c>
      <c r="AD19" s="148" t="str">
        <f t="shared" si="10"/>
        <v xml:space="preserve"> </v>
      </c>
      <c r="AE19" s="162" t="str">
        <f t="shared" si="18"/>
        <v xml:space="preserve"> </v>
      </c>
      <c r="AF19" s="162" t="str">
        <f t="shared" si="15"/>
        <v xml:space="preserve"> </v>
      </c>
      <c r="AG19" s="171" t="str">
        <f t="shared" si="17"/>
        <v xml:space="preserve"> </v>
      </c>
      <c r="AH19" s="129" t="str">
        <f t="shared" si="19"/>
        <v xml:space="preserve"> </v>
      </c>
      <c r="AI19" s="237" t="str">
        <f t="shared" si="16"/>
        <v xml:space="preserve"> </v>
      </c>
      <c r="AJ19" s="36"/>
    </row>
    <row r="20" spans="1:36" x14ac:dyDescent="0.25">
      <c r="A20" s="240"/>
      <c r="B20" s="9"/>
      <c r="C20" s="9"/>
      <c r="D20" s="186"/>
      <c r="E20" s="151"/>
      <c r="F20" s="121" t="str">
        <f t="shared" si="12"/>
        <v xml:space="preserve"> </v>
      </c>
      <c r="G20" s="19"/>
      <c r="H20" s="242"/>
      <c r="I20" s="88" t="str">
        <f t="shared" si="7"/>
        <v xml:space="preserve"> </v>
      </c>
      <c r="J20" s="88" t="str">
        <f t="shared" si="8"/>
        <v xml:space="preserve"> </v>
      </c>
      <c r="K20" s="261"/>
      <c r="L20" s="261"/>
      <c r="M20" s="88" t="str">
        <f t="shared" si="6"/>
        <v xml:space="preserve"> </v>
      </c>
      <c r="N20" s="9"/>
      <c r="O20" s="244"/>
      <c r="P20" s="158"/>
      <c r="Q20" s="18"/>
      <c r="R20" s="242"/>
      <c r="S20" s="186"/>
      <c r="T20" s="186"/>
      <c r="U20" s="186"/>
      <c r="V20" s="43" t="str">
        <f t="shared" si="20"/>
        <v xml:space="preserve"> </v>
      </c>
      <c r="W20" s="242"/>
      <c r="X20" s="247"/>
      <c r="Y20" s="242"/>
      <c r="Z20" s="251"/>
      <c r="AA20" s="168" t="str">
        <f t="shared" si="13"/>
        <v xml:space="preserve"> </v>
      </c>
      <c r="AB20" s="121" t="str">
        <f t="shared" si="14"/>
        <v xml:space="preserve"> </v>
      </c>
      <c r="AC20" s="129" t="str">
        <f t="shared" si="9"/>
        <v xml:space="preserve"> </v>
      </c>
      <c r="AD20" s="148" t="str">
        <f t="shared" si="10"/>
        <v xml:space="preserve"> </v>
      </c>
      <c r="AE20" s="162" t="str">
        <f t="shared" si="18"/>
        <v xml:space="preserve"> </v>
      </c>
      <c r="AF20" s="162" t="str">
        <f t="shared" si="15"/>
        <v xml:space="preserve"> </v>
      </c>
      <c r="AG20" s="171" t="str">
        <f t="shared" si="17"/>
        <v xml:space="preserve"> </v>
      </c>
      <c r="AH20" s="129" t="str">
        <f t="shared" si="19"/>
        <v xml:space="preserve"> </v>
      </c>
      <c r="AI20" s="237" t="str">
        <f t="shared" si="16"/>
        <v xml:space="preserve"> </v>
      </c>
      <c r="AJ20" s="36"/>
    </row>
    <row r="21" spans="1:36" x14ac:dyDescent="0.25">
      <c r="A21" s="240"/>
      <c r="B21" s="9"/>
      <c r="C21" s="9"/>
      <c r="D21" s="186"/>
      <c r="E21" s="151"/>
      <c r="F21" s="121" t="str">
        <f t="shared" si="12"/>
        <v xml:space="preserve"> </v>
      </c>
      <c r="G21" s="19"/>
      <c r="H21" s="242"/>
      <c r="I21" s="88" t="str">
        <f t="shared" si="7"/>
        <v xml:space="preserve"> </v>
      </c>
      <c r="J21" s="88" t="str">
        <f t="shared" si="8"/>
        <v xml:space="preserve"> </v>
      </c>
      <c r="K21" s="261"/>
      <c r="L21" s="261"/>
      <c r="M21" s="88" t="str">
        <f t="shared" si="6"/>
        <v xml:space="preserve"> </v>
      </c>
      <c r="N21" s="9"/>
      <c r="O21" s="244"/>
      <c r="P21" s="158"/>
      <c r="Q21" s="18"/>
      <c r="R21" s="242"/>
      <c r="S21" s="186"/>
      <c r="T21" s="186"/>
      <c r="U21" s="186"/>
      <c r="V21" s="43" t="str">
        <f t="shared" si="20"/>
        <v xml:space="preserve"> </v>
      </c>
      <c r="W21" s="242"/>
      <c r="X21" s="247"/>
      <c r="Y21" s="242"/>
      <c r="Z21" s="251"/>
      <c r="AA21" s="168" t="str">
        <f t="shared" si="13"/>
        <v xml:space="preserve"> </v>
      </c>
      <c r="AB21" s="121" t="str">
        <f t="shared" si="14"/>
        <v xml:space="preserve"> </v>
      </c>
      <c r="AC21" s="129" t="str">
        <f t="shared" si="9"/>
        <v xml:space="preserve"> </v>
      </c>
      <c r="AD21" s="148" t="str">
        <f t="shared" si="10"/>
        <v xml:space="preserve"> </v>
      </c>
      <c r="AE21" s="162" t="str">
        <f t="shared" si="18"/>
        <v xml:space="preserve"> </v>
      </c>
      <c r="AF21" s="162" t="str">
        <f t="shared" si="15"/>
        <v xml:space="preserve"> </v>
      </c>
      <c r="AG21" s="171" t="str">
        <f t="shared" si="17"/>
        <v xml:space="preserve"> </v>
      </c>
      <c r="AH21" s="129" t="str">
        <f t="shared" si="19"/>
        <v xml:space="preserve"> </v>
      </c>
      <c r="AI21" s="237" t="str">
        <f t="shared" si="16"/>
        <v xml:space="preserve"> </v>
      </c>
      <c r="AJ21" s="36"/>
    </row>
    <row r="22" spans="1:36" x14ac:dyDescent="0.25">
      <c r="A22" s="240"/>
      <c r="B22" s="9"/>
      <c r="C22" s="9"/>
      <c r="D22" s="186"/>
      <c r="E22" s="151"/>
      <c r="F22" s="121" t="str">
        <f t="shared" si="12"/>
        <v xml:space="preserve"> </v>
      </c>
      <c r="G22" s="19"/>
      <c r="H22" s="242"/>
      <c r="I22" s="88" t="str">
        <f t="shared" si="7"/>
        <v xml:space="preserve"> </v>
      </c>
      <c r="J22" s="88" t="str">
        <f t="shared" si="8"/>
        <v xml:space="preserve"> </v>
      </c>
      <c r="K22" s="261"/>
      <c r="L22" s="261"/>
      <c r="M22" s="88" t="str">
        <f t="shared" si="6"/>
        <v xml:space="preserve"> </v>
      </c>
      <c r="N22" s="9"/>
      <c r="O22" s="244"/>
      <c r="P22" s="158"/>
      <c r="Q22" s="18"/>
      <c r="R22" s="242"/>
      <c r="S22" s="186"/>
      <c r="T22" s="186"/>
      <c r="U22" s="186"/>
      <c r="V22" s="43" t="str">
        <f t="shared" si="20"/>
        <v xml:space="preserve"> </v>
      </c>
      <c r="W22" s="242"/>
      <c r="X22" s="247"/>
      <c r="Y22" s="242"/>
      <c r="Z22" s="251"/>
      <c r="AA22" s="168" t="str">
        <f t="shared" si="13"/>
        <v xml:space="preserve"> </v>
      </c>
      <c r="AB22" s="121" t="str">
        <f t="shared" si="14"/>
        <v xml:space="preserve"> </v>
      </c>
      <c r="AC22" s="129" t="str">
        <f t="shared" si="9"/>
        <v xml:space="preserve"> </v>
      </c>
      <c r="AD22" s="148" t="str">
        <f t="shared" si="10"/>
        <v xml:space="preserve"> </v>
      </c>
      <c r="AE22" s="162" t="str">
        <f t="shared" si="18"/>
        <v xml:space="preserve"> </v>
      </c>
      <c r="AF22" s="162" t="str">
        <f t="shared" si="15"/>
        <v xml:space="preserve"> </v>
      </c>
      <c r="AG22" s="171" t="str">
        <f t="shared" si="17"/>
        <v xml:space="preserve"> </v>
      </c>
      <c r="AH22" s="129" t="str">
        <f t="shared" si="19"/>
        <v xml:space="preserve"> </v>
      </c>
      <c r="AI22" s="237" t="str">
        <f t="shared" si="16"/>
        <v xml:space="preserve"> </v>
      </c>
      <c r="AJ22" s="36"/>
    </row>
    <row r="23" spans="1:36" x14ac:dyDescent="0.25">
      <c r="A23" s="240"/>
      <c r="B23" s="9"/>
      <c r="C23" s="9"/>
      <c r="D23" s="186"/>
      <c r="E23" s="151"/>
      <c r="F23" s="121" t="str">
        <f t="shared" si="12"/>
        <v xml:space="preserve"> </v>
      </c>
      <c r="G23" s="19"/>
      <c r="H23" s="242"/>
      <c r="I23" s="88" t="str">
        <f t="shared" si="7"/>
        <v xml:space="preserve"> </v>
      </c>
      <c r="J23" s="88" t="str">
        <f t="shared" si="8"/>
        <v xml:space="preserve"> </v>
      </c>
      <c r="K23" s="261"/>
      <c r="L23" s="261"/>
      <c r="M23" s="88" t="str">
        <f t="shared" si="6"/>
        <v xml:space="preserve"> </v>
      </c>
      <c r="N23" s="9"/>
      <c r="O23" s="244"/>
      <c r="P23" s="158"/>
      <c r="Q23" s="18"/>
      <c r="R23" s="242"/>
      <c r="S23" s="186"/>
      <c r="T23" s="186"/>
      <c r="U23" s="186"/>
      <c r="V23" s="43" t="str">
        <f t="shared" si="20"/>
        <v xml:space="preserve"> </v>
      </c>
      <c r="W23" s="242"/>
      <c r="X23" s="247"/>
      <c r="Y23" s="242"/>
      <c r="Z23" s="251"/>
      <c r="AA23" s="168" t="str">
        <f t="shared" si="13"/>
        <v xml:space="preserve"> </v>
      </c>
      <c r="AB23" s="121" t="str">
        <f t="shared" si="14"/>
        <v xml:space="preserve"> </v>
      </c>
      <c r="AC23" s="129" t="str">
        <f t="shared" si="9"/>
        <v xml:space="preserve"> </v>
      </c>
      <c r="AD23" s="148" t="str">
        <f t="shared" si="10"/>
        <v xml:space="preserve"> </v>
      </c>
      <c r="AE23" s="162" t="str">
        <f t="shared" si="18"/>
        <v xml:space="preserve"> </v>
      </c>
      <c r="AF23" s="162" t="str">
        <f t="shared" si="15"/>
        <v xml:space="preserve"> </v>
      </c>
      <c r="AG23" s="171" t="str">
        <f t="shared" si="17"/>
        <v xml:space="preserve"> </v>
      </c>
      <c r="AH23" s="129" t="str">
        <f t="shared" si="19"/>
        <v xml:space="preserve"> </v>
      </c>
      <c r="AI23" s="237" t="str">
        <f t="shared" si="16"/>
        <v xml:space="preserve"> </v>
      </c>
      <c r="AJ23" s="36"/>
    </row>
    <row r="24" spans="1:36" x14ac:dyDescent="0.25">
      <c r="A24" s="240"/>
      <c r="B24" s="9"/>
      <c r="C24" s="9"/>
      <c r="D24" s="186"/>
      <c r="E24" s="151"/>
      <c r="F24" s="121" t="str">
        <f t="shared" si="12"/>
        <v xml:space="preserve"> </v>
      </c>
      <c r="G24" s="19"/>
      <c r="H24" s="242"/>
      <c r="I24" s="88" t="str">
        <f t="shared" si="7"/>
        <v xml:space="preserve"> </v>
      </c>
      <c r="J24" s="88" t="str">
        <f t="shared" si="8"/>
        <v xml:space="preserve"> </v>
      </c>
      <c r="K24" s="261"/>
      <c r="L24" s="261"/>
      <c r="M24" s="88" t="str">
        <f t="shared" si="6"/>
        <v xml:space="preserve"> </v>
      </c>
      <c r="N24" s="9"/>
      <c r="O24" s="244"/>
      <c r="P24" s="158"/>
      <c r="Q24" s="18"/>
      <c r="R24" s="242"/>
      <c r="S24" s="186"/>
      <c r="T24" s="186"/>
      <c r="U24" s="186"/>
      <c r="V24" s="43" t="str">
        <f t="shared" si="20"/>
        <v xml:space="preserve"> </v>
      </c>
      <c r="W24" s="242"/>
      <c r="X24" s="247"/>
      <c r="Y24" s="242"/>
      <c r="Z24" s="251"/>
      <c r="AA24" s="168" t="str">
        <f t="shared" si="13"/>
        <v xml:space="preserve"> </v>
      </c>
      <c r="AB24" s="121" t="str">
        <f t="shared" si="14"/>
        <v xml:space="preserve"> </v>
      </c>
      <c r="AC24" s="129" t="str">
        <f t="shared" si="9"/>
        <v xml:space="preserve"> </v>
      </c>
      <c r="AD24" s="148" t="str">
        <f t="shared" si="10"/>
        <v xml:space="preserve"> </v>
      </c>
      <c r="AE24" s="162" t="str">
        <f t="shared" si="18"/>
        <v xml:space="preserve"> </v>
      </c>
      <c r="AF24" s="162" t="str">
        <f t="shared" si="15"/>
        <v xml:space="preserve"> </v>
      </c>
      <c r="AG24" s="171" t="str">
        <f t="shared" si="17"/>
        <v xml:space="preserve"> </v>
      </c>
      <c r="AH24" s="234" t="str">
        <f t="shared" si="19"/>
        <v xml:space="preserve"> </v>
      </c>
      <c r="AI24" s="237" t="str">
        <f t="shared" si="16"/>
        <v xml:space="preserve"> </v>
      </c>
      <c r="AJ24" s="36"/>
    </row>
    <row r="25" spans="1:36" ht="15" customHeight="1" thickBot="1" x14ac:dyDescent="0.3">
      <c r="A25" s="241"/>
      <c r="B25" s="66"/>
      <c r="C25" s="66"/>
      <c r="D25" s="44"/>
      <c r="E25" s="147" t="str">
        <f t="shared" si="5"/>
        <v xml:space="preserve"> </v>
      </c>
      <c r="F25" s="174" t="str">
        <f t="shared" si="12"/>
        <v xml:space="preserve"> </v>
      </c>
      <c r="G25" s="180"/>
      <c r="H25" s="62"/>
      <c r="I25" s="146" t="str">
        <f t="shared" si="7"/>
        <v xml:space="preserve"> </v>
      </c>
      <c r="J25" s="146" t="str">
        <f t="shared" si="8"/>
        <v xml:space="preserve"> </v>
      </c>
      <c r="K25" s="262"/>
      <c r="L25" s="263"/>
      <c r="M25" s="146" t="str">
        <f t="shared" si="6"/>
        <v xml:space="preserve"> </v>
      </c>
      <c r="N25" s="66"/>
      <c r="O25" s="63"/>
      <c r="P25" s="181"/>
      <c r="Q25" s="182"/>
      <c r="R25" s="44"/>
      <c r="S25" s="44"/>
      <c r="T25" s="44"/>
      <c r="U25" s="44"/>
      <c r="V25" s="65" t="str">
        <f t="shared" si="20"/>
        <v xml:space="preserve"> </v>
      </c>
      <c r="W25" s="44"/>
      <c r="X25" s="248"/>
      <c r="Y25" s="44"/>
      <c r="Z25" s="252"/>
      <c r="AA25" s="173" t="str">
        <f t="shared" si="13"/>
        <v xml:space="preserve"> </v>
      </c>
      <c r="AB25" s="174" t="str">
        <f t="shared" si="14"/>
        <v xml:space="preserve"> </v>
      </c>
      <c r="AC25" s="175" t="str">
        <f t="shared" si="9"/>
        <v xml:space="preserve"> </v>
      </c>
      <c r="AD25" s="176" t="str">
        <f t="shared" si="10"/>
        <v xml:space="preserve"> </v>
      </c>
      <c r="AE25" s="177" t="str">
        <f t="shared" si="18"/>
        <v xml:space="preserve"> </v>
      </c>
      <c r="AF25" s="177" t="str">
        <f t="shared" si="15"/>
        <v xml:space="preserve"> </v>
      </c>
      <c r="AG25" s="178" t="str">
        <f t="shared" si="17"/>
        <v xml:space="preserve"> </v>
      </c>
      <c r="AH25" s="235" t="str">
        <f t="shared" si="19"/>
        <v xml:space="preserve"> </v>
      </c>
      <c r="AI25" s="238" t="str">
        <f t="shared" si="16"/>
        <v xml:space="preserve"> </v>
      </c>
      <c r="AJ25" s="36"/>
    </row>
    <row r="26" spans="1:36" x14ac:dyDescent="0.25">
      <c r="Y26" s="10">
        <f>SUM(Y2:Y25)</f>
        <v>8</v>
      </c>
    </row>
    <row r="29" spans="1:36" x14ac:dyDescent="0.25">
      <c r="L29" s="70"/>
    </row>
    <row r="30" spans="1:36" x14ac:dyDescent="0.25">
      <c r="B30" s="285" t="s">
        <v>164</v>
      </c>
      <c r="C30" s="286"/>
    </row>
    <row r="31" spans="1:36" x14ac:dyDescent="0.25">
      <c r="B31" s="287" t="s">
        <v>165</v>
      </c>
      <c r="C31" s="288"/>
    </row>
    <row r="32" spans="1:36" x14ac:dyDescent="0.25">
      <c r="B32" s="289" t="s">
        <v>166</v>
      </c>
      <c r="C32" s="290"/>
    </row>
    <row r="33" spans="1:18" x14ac:dyDescent="0.25">
      <c r="B33" s="291" t="s">
        <v>167</v>
      </c>
      <c r="C33" s="292"/>
    </row>
    <row r="37" spans="1:18" ht="15.75" thickBot="1" x14ac:dyDescent="0.3"/>
    <row r="38" spans="1:18" x14ac:dyDescent="0.25">
      <c r="A38" s="48" t="s">
        <v>4</v>
      </c>
      <c r="B38" s="49" t="s">
        <v>24</v>
      </c>
      <c r="C38" s="51" t="s">
        <v>60</v>
      </c>
      <c r="D38" s="109" t="s">
        <v>100</v>
      </c>
      <c r="G38" s="49" t="s">
        <v>101</v>
      </c>
      <c r="H38" s="50" t="s">
        <v>25</v>
      </c>
      <c r="K38" s="23" t="s">
        <v>54</v>
      </c>
      <c r="L38" s="24" t="s">
        <v>85</v>
      </c>
      <c r="M38" s="24" t="s">
        <v>40</v>
      </c>
      <c r="N38" s="52" t="s">
        <v>60</v>
      </c>
      <c r="R38" s="11"/>
    </row>
    <row r="39" spans="1:18" x14ac:dyDescent="0.25">
      <c r="A39" s="8">
        <v>1</v>
      </c>
      <c r="B39" s="2" t="s">
        <v>0</v>
      </c>
      <c r="C39" s="134">
        <f t="shared" ref="C39:C49" si="21">H39/$H$50</f>
        <v>0.1</v>
      </c>
      <c r="D39" s="4">
        <f>SUMIF(($F$2:$F$25),101)/101</f>
        <v>1</v>
      </c>
      <c r="G39" s="4">
        <f>SUMIF(($F$2:$F$25),201)/201</f>
        <v>0</v>
      </c>
      <c r="H39" s="6">
        <f>SUMIF(($AG$2:$AG$25),1)</f>
        <v>1</v>
      </c>
      <c r="K39" s="21">
        <v>100</v>
      </c>
      <c r="L39" s="74" t="s">
        <v>82</v>
      </c>
      <c r="M39" s="4">
        <f>SUMIF(($S$2:$S$35),100)/100</f>
        <v>1</v>
      </c>
      <c r="N39" s="138">
        <f t="shared" ref="N39:N44" si="22">M39/$M$45</f>
        <v>0.1</v>
      </c>
      <c r="R39" s="11"/>
    </row>
    <row r="40" spans="1:18" x14ac:dyDescent="0.25">
      <c r="A40" s="8">
        <v>2</v>
      </c>
      <c r="B40" s="2" t="s">
        <v>1</v>
      </c>
      <c r="C40" s="134">
        <f t="shared" si="21"/>
        <v>0.1</v>
      </c>
      <c r="D40" s="4">
        <f>SUMIF(($F$2:$F$25),102)/102</f>
        <v>1</v>
      </c>
      <c r="G40" s="4">
        <f>SUMIF(($F$2:$F$25),202)/202</f>
        <v>0</v>
      </c>
      <c r="H40" s="6">
        <f>SUMIF(($AG$2:$AG$25),2)/2</f>
        <v>1</v>
      </c>
      <c r="K40" s="21">
        <v>200</v>
      </c>
      <c r="L40" s="77" t="s">
        <v>5</v>
      </c>
      <c r="M40" s="4">
        <f>SUMIF(($S$2:$S$35),200)/200</f>
        <v>3</v>
      </c>
      <c r="N40" s="138">
        <f t="shared" si="22"/>
        <v>0.3</v>
      </c>
      <c r="R40" s="11"/>
    </row>
    <row r="41" spans="1:18" x14ac:dyDescent="0.25">
      <c r="A41" s="8">
        <v>3</v>
      </c>
      <c r="B41" s="5" t="s">
        <v>2</v>
      </c>
      <c r="C41" s="134">
        <f t="shared" si="21"/>
        <v>0.1</v>
      </c>
      <c r="D41" s="4">
        <f>SUMIF(($F$2:$F$25),103)/103</f>
        <v>0</v>
      </c>
      <c r="G41" s="4">
        <f>SUMIF(($F$2:$F$25),203)/203</f>
        <v>1</v>
      </c>
      <c r="H41" s="6">
        <f>SUMIF(($AE2:$AG$25),3)/3</f>
        <v>1</v>
      </c>
      <c r="K41" s="21">
        <v>300</v>
      </c>
      <c r="L41" s="76" t="s">
        <v>79</v>
      </c>
      <c r="M41" s="4">
        <f>SUMIF(($S$2:$S$35),300)/300</f>
        <v>2</v>
      </c>
      <c r="N41" s="138">
        <f t="shared" si="22"/>
        <v>0.2</v>
      </c>
      <c r="R41" s="11"/>
    </row>
    <row r="42" spans="1:18" x14ac:dyDescent="0.25">
      <c r="A42" s="8">
        <v>4</v>
      </c>
      <c r="B42" s="2" t="s">
        <v>36</v>
      </c>
      <c r="C42" s="134">
        <f t="shared" si="21"/>
        <v>0</v>
      </c>
      <c r="D42" s="4">
        <f>SUMIF(($F$2:$F$25),104)/104</f>
        <v>0</v>
      </c>
      <c r="G42" s="4">
        <f>SUMIF(($F$2:$F$25),204)/204</f>
        <v>0</v>
      </c>
      <c r="H42" s="6">
        <f>SUMIF(($AG$2:$AG$25),4)/4</f>
        <v>0</v>
      </c>
      <c r="K42" s="21">
        <v>400</v>
      </c>
      <c r="L42" s="76" t="s">
        <v>7</v>
      </c>
      <c r="M42" s="4">
        <f>SUMIF(($S$2:$S$35),400)/400</f>
        <v>2</v>
      </c>
      <c r="N42" s="138">
        <f t="shared" si="22"/>
        <v>0.2</v>
      </c>
      <c r="R42" s="11"/>
    </row>
    <row r="43" spans="1:18" x14ac:dyDescent="0.25">
      <c r="A43" s="8">
        <v>5</v>
      </c>
      <c r="B43" s="2" t="s">
        <v>3</v>
      </c>
      <c r="C43" s="136">
        <f t="shared" si="21"/>
        <v>0</v>
      </c>
      <c r="D43" s="4">
        <f>SUMIF(($F$2:$F$25),105)/105</f>
        <v>0</v>
      </c>
      <c r="G43" s="4">
        <f>SUMIF(($F$2:$F$25),205)/205</f>
        <v>0</v>
      </c>
      <c r="H43" s="6">
        <f>SUMIF(($AG$2:$AG$25),5)/5</f>
        <v>0</v>
      </c>
      <c r="K43" s="21">
        <v>500</v>
      </c>
      <c r="L43" s="74" t="s">
        <v>84</v>
      </c>
      <c r="M43" s="4">
        <f>SUMIF(($S$2:$S$35),500)/500</f>
        <v>1</v>
      </c>
      <c r="N43" s="138">
        <f t="shared" si="22"/>
        <v>0.1</v>
      </c>
      <c r="R43" s="11"/>
    </row>
    <row r="44" spans="1:18" x14ac:dyDescent="0.25">
      <c r="A44" s="8">
        <v>6</v>
      </c>
      <c r="B44" s="14" t="s">
        <v>78</v>
      </c>
      <c r="C44" s="134">
        <f t="shared" si="21"/>
        <v>0.2</v>
      </c>
      <c r="D44" s="4">
        <f>SUMIF(($F$2:$F$25),106)/106</f>
        <v>2</v>
      </c>
      <c r="G44" s="4">
        <f>SUMIF(($F$2:$F$25),206)/206</f>
        <v>0</v>
      </c>
      <c r="H44" s="6">
        <f>SUMIF(($AG$2:$AG$25),6)/6</f>
        <v>2</v>
      </c>
      <c r="K44" s="73">
        <v>600</v>
      </c>
      <c r="L44" s="78" t="s">
        <v>83</v>
      </c>
      <c r="M44" s="4">
        <f>SUMIF(($S$2:$S$35),600)/600</f>
        <v>1</v>
      </c>
      <c r="N44" s="138">
        <f t="shared" si="22"/>
        <v>0.1</v>
      </c>
      <c r="R44" s="11"/>
    </row>
    <row r="45" spans="1:18" ht="15.75" thickBot="1" x14ac:dyDescent="0.3">
      <c r="A45" s="40">
        <v>7</v>
      </c>
      <c r="B45" s="15" t="s">
        <v>13</v>
      </c>
      <c r="C45" s="134">
        <f t="shared" si="21"/>
        <v>0</v>
      </c>
      <c r="D45" s="4">
        <f>SUMIF(($F$2:$F$25),107)/107</f>
        <v>0</v>
      </c>
      <c r="G45" s="4">
        <f>SUMIF(($F$2:$F$25),207)/207</f>
        <v>0</v>
      </c>
      <c r="H45" s="6">
        <f>SUMIF(($AG$2:$AG$25),7)/7</f>
        <v>0</v>
      </c>
      <c r="K45" s="280" t="s">
        <v>40</v>
      </c>
      <c r="L45" s="281"/>
      <c r="M45" s="22">
        <f>SUM(M39:M44)</f>
        <v>10</v>
      </c>
      <c r="N45" s="139">
        <f>SUM(N39:N43)</f>
        <v>0.9</v>
      </c>
      <c r="R45" s="11"/>
    </row>
    <row r="46" spans="1:18" x14ac:dyDescent="0.25">
      <c r="A46" s="40">
        <v>8</v>
      </c>
      <c r="B46" s="15" t="s">
        <v>77</v>
      </c>
      <c r="C46" s="134">
        <f t="shared" si="21"/>
        <v>0.2</v>
      </c>
      <c r="D46" s="4">
        <f>SUMIF(($F$2:$F$25),108)/108</f>
        <v>2</v>
      </c>
      <c r="G46" s="4">
        <f>SUMIF(($F$2:$F$25),208)/208</f>
        <v>0</v>
      </c>
      <c r="H46" s="6">
        <f>SUMIF(($AG$2:$AG$25),8)/8</f>
        <v>2</v>
      </c>
      <c r="R46" s="11"/>
    </row>
    <row r="47" spans="1:18" ht="30" x14ac:dyDescent="0.25">
      <c r="A47" s="40">
        <v>9</v>
      </c>
      <c r="B47" s="72" t="s">
        <v>80</v>
      </c>
      <c r="C47" s="134">
        <f t="shared" si="21"/>
        <v>0.1</v>
      </c>
      <c r="D47" s="4">
        <f>SUMIF(($F$2:$F$25),109)/109</f>
        <v>0</v>
      </c>
      <c r="G47" s="4">
        <f>SUMIF(($F$2:$F$25),209)/209</f>
        <v>1</v>
      </c>
      <c r="H47" s="6">
        <f>SUMIF(($AG$2:$AG$25),9)/9</f>
        <v>1</v>
      </c>
      <c r="R47" s="11"/>
    </row>
    <row r="48" spans="1:18" ht="30.75" thickBot="1" x14ac:dyDescent="0.3">
      <c r="A48" s="40">
        <v>10</v>
      </c>
      <c r="B48" s="72" t="s">
        <v>81</v>
      </c>
      <c r="C48" s="134">
        <f t="shared" si="21"/>
        <v>0.1</v>
      </c>
      <c r="D48" s="4">
        <f>SUMIF(($F$2:$F$25),110)/110</f>
        <v>0</v>
      </c>
      <c r="G48" s="4">
        <f>SUMIF(($F$2:$F$25),210)/210</f>
        <v>1</v>
      </c>
      <c r="H48" s="6">
        <f>SUMIF(($AG$2:$AG$25),10)/10</f>
        <v>1</v>
      </c>
      <c r="R48" s="11"/>
    </row>
    <row r="49" spans="1:18" x14ac:dyDescent="0.25">
      <c r="A49" s="71">
        <v>11</v>
      </c>
      <c r="B49" s="4" t="s">
        <v>35</v>
      </c>
      <c r="C49" s="134">
        <f t="shared" si="21"/>
        <v>0.1</v>
      </c>
      <c r="D49" s="4">
        <f>SUMIF(($F$2:$F$25),111)/111</f>
        <v>0</v>
      </c>
      <c r="G49" s="4">
        <f>SUMIF(($F$2:$F$25),211)/211</f>
        <v>1</v>
      </c>
      <c r="H49" s="6">
        <f>SUMIF(($AG$2:$AG$25),11)/11</f>
        <v>1</v>
      </c>
      <c r="K49" s="23" t="s">
        <v>55</v>
      </c>
      <c r="L49" s="24" t="s">
        <v>57</v>
      </c>
      <c r="M49" s="24" t="s">
        <v>40</v>
      </c>
      <c r="N49" s="53" t="s">
        <v>60</v>
      </c>
      <c r="R49" s="11"/>
    </row>
    <row r="50" spans="1:18" ht="15.75" thickBot="1" x14ac:dyDescent="0.3">
      <c r="A50" s="46" t="s">
        <v>87</v>
      </c>
      <c r="B50" s="47"/>
      <c r="C50" s="137">
        <f>SUM(C39:C49)</f>
        <v>0.99999999999999989</v>
      </c>
      <c r="D50" s="29">
        <f>SUM(D39:D49)</f>
        <v>6</v>
      </c>
      <c r="G50" s="29">
        <f>SUM(G39:G49)</f>
        <v>4</v>
      </c>
      <c r="H50" s="7">
        <f>SUM(H39:H49)</f>
        <v>10</v>
      </c>
      <c r="K50" s="21">
        <v>10</v>
      </c>
      <c r="L50" s="74"/>
      <c r="M50" s="4">
        <f>SUMIF(($T$2:$T$35),10)/10</f>
        <v>1</v>
      </c>
      <c r="N50" s="140">
        <f t="shared" ref="N50:N58" si="23">M50/$M$45</f>
        <v>0.1</v>
      </c>
      <c r="R50" s="11"/>
    </row>
    <row r="51" spans="1:18" x14ac:dyDescent="0.25">
      <c r="K51" s="21">
        <v>20</v>
      </c>
      <c r="L51" s="74"/>
      <c r="M51" s="4">
        <f>SUMIF(($T$2:$T$35),20)/20</f>
        <v>0</v>
      </c>
      <c r="N51" s="140">
        <f t="shared" si="23"/>
        <v>0</v>
      </c>
    </row>
    <row r="52" spans="1:18" x14ac:dyDescent="0.25">
      <c r="K52" s="21">
        <v>30</v>
      </c>
      <c r="L52" s="74"/>
      <c r="M52" s="4">
        <f>SUMIF(($T$2:$T$35),30)/30</f>
        <v>1</v>
      </c>
      <c r="N52" s="140">
        <f t="shared" si="23"/>
        <v>0.1</v>
      </c>
    </row>
    <row r="53" spans="1:18" ht="15.75" thickBot="1" x14ac:dyDescent="0.3">
      <c r="K53" s="21">
        <v>40</v>
      </c>
      <c r="L53" s="74"/>
      <c r="M53" s="4">
        <f>SUMIF(($T$2:$T$35),40)/40</f>
        <v>0</v>
      </c>
      <c r="N53" s="140">
        <f t="shared" si="23"/>
        <v>0</v>
      </c>
    </row>
    <row r="54" spans="1:18" ht="30" x14ac:dyDescent="0.25">
      <c r="A54" s="127" t="s">
        <v>61</v>
      </c>
      <c r="B54" s="128" t="s">
        <v>62</v>
      </c>
      <c r="C54" s="50" t="s">
        <v>25</v>
      </c>
      <c r="D54" s="3"/>
      <c r="E54" s="3"/>
      <c r="F54" s="3"/>
      <c r="K54" s="21">
        <v>50</v>
      </c>
      <c r="L54" s="75"/>
      <c r="M54" s="4">
        <f>SUMIF(($T$2:$T$35),50)/50</f>
        <v>1</v>
      </c>
      <c r="N54" s="140">
        <f t="shared" si="23"/>
        <v>0.1</v>
      </c>
    </row>
    <row r="55" spans="1:18" x14ac:dyDescent="0.25">
      <c r="A55" s="41">
        <v>1</v>
      </c>
      <c r="B55" s="4" t="s">
        <v>11</v>
      </c>
      <c r="C55" s="6">
        <f>SUMIF(($AH$2:$AH$35),1)</f>
        <v>1</v>
      </c>
      <c r="D55" s="45"/>
      <c r="E55" s="45"/>
      <c r="F55" s="45"/>
      <c r="K55" s="21">
        <v>60</v>
      </c>
      <c r="L55" s="74"/>
      <c r="M55" s="4">
        <f>SUMIF(($T$2:$T$35),60)/60</f>
        <v>0</v>
      </c>
      <c r="N55" s="140">
        <f t="shared" si="23"/>
        <v>0</v>
      </c>
    </row>
    <row r="56" spans="1:18" x14ac:dyDescent="0.25">
      <c r="A56" s="41">
        <v>2</v>
      </c>
      <c r="B56" s="4" t="s">
        <v>41</v>
      </c>
      <c r="C56" s="6">
        <f>SUMIF(($AH$2:$AH$35),2)/2</f>
        <v>1</v>
      </c>
      <c r="D56" s="45"/>
      <c r="E56" s="45"/>
      <c r="F56" s="45"/>
      <c r="K56" s="21">
        <v>70</v>
      </c>
      <c r="L56" s="74"/>
      <c r="M56" s="4">
        <f>SUMIF(($T$2:$T$35),70)/70</f>
        <v>0</v>
      </c>
      <c r="N56" s="140">
        <f t="shared" si="23"/>
        <v>0</v>
      </c>
    </row>
    <row r="57" spans="1:18" x14ac:dyDescent="0.25">
      <c r="A57" s="41">
        <v>3</v>
      </c>
      <c r="B57" s="4" t="s">
        <v>42</v>
      </c>
      <c r="C57" s="6">
        <f>SUMIF(($AH$2:$AH$35),3)/3</f>
        <v>7</v>
      </c>
      <c r="D57" s="45"/>
      <c r="E57" s="45"/>
      <c r="F57" s="45"/>
      <c r="K57" s="21">
        <v>80</v>
      </c>
      <c r="L57" s="74"/>
      <c r="M57" s="4">
        <f>SUMIF(($T$2:$T$35),80)/80</f>
        <v>0</v>
      </c>
      <c r="N57" s="140">
        <f t="shared" si="23"/>
        <v>0</v>
      </c>
    </row>
    <row r="58" spans="1:18" x14ac:dyDescent="0.25">
      <c r="A58" s="41">
        <v>4</v>
      </c>
      <c r="B58" s="4" t="s">
        <v>23</v>
      </c>
      <c r="C58" s="6">
        <f>SUMIF(($AH$2:$AH$35),4)/4</f>
        <v>0</v>
      </c>
      <c r="D58" s="45"/>
      <c r="E58" s="45"/>
      <c r="F58" s="45"/>
      <c r="K58" s="21">
        <v>90</v>
      </c>
      <c r="L58" s="74"/>
      <c r="M58" s="4">
        <f>SUMIF(($T$2:$T$35),90)/90</f>
        <v>1</v>
      </c>
      <c r="N58" s="140">
        <f t="shared" si="23"/>
        <v>0.1</v>
      </c>
    </row>
    <row r="59" spans="1:18" ht="15.75" thickBot="1" x14ac:dyDescent="0.3">
      <c r="A59" s="41">
        <v>5</v>
      </c>
      <c r="B59" s="4" t="s">
        <v>43</v>
      </c>
      <c r="C59" s="6">
        <f>SUMIF(($AH$2:$AH$35),5)/5</f>
        <v>1</v>
      </c>
      <c r="D59" s="45"/>
      <c r="E59" s="45"/>
      <c r="F59" s="45"/>
      <c r="K59" s="28"/>
      <c r="L59" s="82" t="s">
        <v>40</v>
      </c>
      <c r="M59" s="29">
        <f>SUM(M50:M58)</f>
        <v>4</v>
      </c>
      <c r="N59" s="141">
        <f>SUM(N50:N58)</f>
        <v>0.4</v>
      </c>
    </row>
    <row r="60" spans="1:18" ht="15.75" thickBot="1" x14ac:dyDescent="0.3">
      <c r="A60" s="265" t="s">
        <v>40</v>
      </c>
      <c r="B60" s="266"/>
      <c r="C60" s="7">
        <f>SUM(C55:C59)</f>
        <v>10</v>
      </c>
      <c r="D60" s="106"/>
      <c r="E60" s="106"/>
      <c r="F60" s="106"/>
    </row>
    <row r="61" spans="1:18" x14ac:dyDescent="0.25">
      <c r="A61" s="11"/>
      <c r="B61" s="11"/>
      <c r="C61" s="11"/>
      <c r="D61" s="11"/>
      <c r="E61" s="11"/>
      <c r="F61" s="11"/>
    </row>
    <row r="62" spans="1:18" x14ac:dyDescent="0.25">
      <c r="A62" s="11"/>
      <c r="B62" s="11"/>
      <c r="C62" s="11"/>
      <c r="D62" s="11"/>
      <c r="E62" s="11"/>
      <c r="F62" s="11"/>
    </row>
    <row r="63" spans="1:18" ht="15.75" thickBot="1" x14ac:dyDescent="0.3">
      <c r="A63" s="11"/>
      <c r="B63" s="11"/>
      <c r="C63" s="11"/>
      <c r="D63" s="11"/>
      <c r="E63" s="11"/>
      <c r="F63" s="11"/>
    </row>
    <row r="64" spans="1:18" x14ac:dyDescent="0.25">
      <c r="B64" s="12"/>
      <c r="C64" s="12"/>
      <c r="D64" s="12"/>
      <c r="E64" s="12"/>
      <c r="F64" s="12"/>
      <c r="K64" s="23" t="s">
        <v>58</v>
      </c>
      <c r="L64" s="24" t="s">
        <v>56</v>
      </c>
      <c r="M64" s="24" t="s">
        <v>40</v>
      </c>
      <c r="N64" s="53" t="s">
        <v>60</v>
      </c>
    </row>
    <row r="65" spans="1:14" x14ac:dyDescent="0.25">
      <c r="B65" s="11"/>
      <c r="C65" s="11"/>
      <c r="D65" s="13"/>
      <c r="E65" s="13"/>
      <c r="F65" s="13"/>
      <c r="K65" s="21">
        <v>1</v>
      </c>
      <c r="L65" s="76"/>
      <c r="M65" s="4">
        <f>SUMIF(($U$2:$U$35),1)/1</f>
        <v>0</v>
      </c>
      <c r="N65" s="140">
        <f t="shared" ref="N65:N74" si="24">M65/$M$45</f>
        <v>0</v>
      </c>
    </row>
    <row r="66" spans="1:14" x14ac:dyDescent="0.25">
      <c r="B66" s="11"/>
      <c r="C66" s="11"/>
      <c r="D66" s="11"/>
      <c r="E66" s="11"/>
      <c r="F66" s="11"/>
      <c r="K66" s="21">
        <v>2</v>
      </c>
      <c r="L66" s="74"/>
      <c r="M66" s="4">
        <f>SUMIF(($U$2:$U$35),2)/2</f>
        <v>0</v>
      </c>
      <c r="N66" s="140">
        <f t="shared" si="24"/>
        <v>0</v>
      </c>
    </row>
    <row r="67" spans="1:14" x14ac:dyDescent="0.25">
      <c r="B67" s="1"/>
      <c r="C67" s="11"/>
      <c r="D67" s="1"/>
      <c r="E67" s="1"/>
      <c r="F67" s="1"/>
      <c r="K67" s="21">
        <v>3</v>
      </c>
      <c r="L67" s="76"/>
      <c r="M67" s="4">
        <f>SUMIF(($U$2:$U$35),3)/3</f>
        <v>0</v>
      </c>
      <c r="N67" s="140">
        <f t="shared" si="24"/>
        <v>0</v>
      </c>
    </row>
    <row r="68" spans="1:14" x14ac:dyDescent="0.25">
      <c r="K68" s="21">
        <v>4</v>
      </c>
      <c r="L68" s="76"/>
      <c r="M68" s="4">
        <f>SUMIF(($U$2:$U$35),4)/4</f>
        <v>0</v>
      </c>
      <c r="N68" s="140">
        <f t="shared" si="24"/>
        <v>0</v>
      </c>
    </row>
    <row r="69" spans="1:14" x14ac:dyDescent="0.25">
      <c r="K69" s="21">
        <v>5</v>
      </c>
      <c r="L69" s="76"/>
      <c r="M69" s="4">
        <f>SUMIF(($U$2:$U$35),5)/5</f>
        <v>1</v>
      </c>
      <c r="N69" s="140">
        <f t="shared" si="24"/>
        <v>0.1</v>
      </c>
    </row>
    <row r="70" spans="1:14" x14ac:dyDescent="0.25">
      <c r="K70" s="21">
        <v>6</v>
      </c>
      <c r="L70" s="76"/>
      <c r="M70" s="4">
        <f>SUMIF(($U$2:$U$35),6)/6</f>
        <v>0</v>
      </c>
      <c r="N70" s="142">
        <f t="shared" si="24"/>
        <v>0</v>
      </c>
    </row>
    <row r="71" spans="1:14" x14ac:dyDescent="0.25">
      <c r="K71" s="27">
        <v>7</v>
      </c>
      <c r="L71" s="76"/>
      <c r="M71" s="4">
        <f>SUMIF(($U$2:$U$35),7)/7</f>
        <v>0</v>
      </c>
      <c r="N71" s="142">
        <f t="shared" si="24"/>
        <v>0</v>
      </c>
    </row>
    <row r="72" spans="1:14" x14ac:dyDescent="0.25">
      <c r="K72" s="58">
        <v>8</v>
      </c>
      <c r="L72" s="83"/>
      <c r="M72" s="54">
        <f>SUMIF(($U$2:$U$35),8)/8</f>
        <v>1</v>
      </c>
      <c r="N72" s="143">
        <f t="shared" si="24"/>
        <v>0.1</v>
      </c>
    </row>
    <row r="73" spans="1:14" x14ac:dyDescent="0.25">
      <c r="K73" s="21">
        <v>9</v>
      </c>
      <c r="L73" s="76"/>
      <c r="M73" s="4">
        <f>SUMIF(($U$2:$U$35),9)/9</f>
        <v>0</v>
      </c>
      <c r="N73" s="140">
        <f t="shared" si="24"/>
        <v>0</v>
      </c>
    </row>
    <row r="74" spans="1:14" ht="15.75" thickBot="1" x14ac:dyDescent="0.3">
      <c r="K74" s="79">
        <v>10</v>
      </c>
      <c r="L74" s="80"/>
      <c r="M74" s="4">
        <f>SUMIF(($U$2:$U$35),11)/11</f>
        <v>0</v>
      </c>
      <c r="N74" s="140">
        <f t="shared" si="24"/>
        <v>0</v>
      </c>
    </row>
    <row r="75" spans="1:14" ht="15.75" thickBot="1" x14ac:dyDescent="0.3">
      <c r="K75" s="37"/>
      <c r="L75" s="81" t="s">
        <v>40</v>
      </c>
      <c r="M75" s="57">
        <f>SUM(M65:M74)</f>
        <v>2</v>
      </c>
      <c r="N75" s="135">
        <f>SUM(N65:N72)</f>
        <v>0.2</v>
      </c>
    </row>
    <row r="77" spans="1:14" ht="15.75" thickBot="1" x14ac:dyDescent="0.3"/>
    <row r="78" spans="1:14" x14ac:dyDescent="0.25">
      <c r="A78" s="268" t="s">
        <v>102</v>
      </c>
      <c r="B78" s="269"/>
      <c r="C78" s="269"/>
      <c r="D78" s="269"/>
      <c r="E78" s="269"/>
      <c r="F78" s="269"/>
      <c r="G78" s="269"/>
      <c r="H78" s="269"/>
      <c r="I78" s="269"/>
      <c r="J78" s="269"/>
      <c r="K78" s="270"/>
    </row>
    <row r="79" spans="1:14" ht="13.5" customHeight="1" thickBot="1" x14ac:dyDescent="0.3">
      <c r="A79" s="271"/>
      <c r="B79" s="272"/>
      <c r="C79" s="272"/>
      <c r="D79" s="272"/>
      <c r="E79" s="272"/>
      <c r="F79" s="272"/>
      <c r="G79" s="272"/>
      <c r="H79" s="272"/>
      <c r="I79" s="272"/>
      <c r="J79" s="272"/>
      <c r="K79" s="273"/>
    </row>
    <row r="80" spans="1:14" ht="21.75" customHeight="1" thickBot="1" x14ac:dyDescent="0.3">
      <c r="A80" s="117"/>
      <c r="B80" s="277">
        <v>2013</v>
      </c>
      <c r="C80" s="278"/>
      <c r="D80" s="278"/>
      <c r="E80" s="278"/>
      <c r="F80" s="278"/>
      <c r="G80" s="278"/>
      <c r="H80" s="278"/>
      <c r="I80" s="278"/>
      <c r="J80" s="278"/>
      <c r="K80" s="279"/>
    </row>
    <row r="81" spans="1:13" ht="30.75" thickBot="1" x14ac:dyDescent="0.3">
      <c r="A81" s="58"/>
      <c r="B81" s="185" t="s">
        <v>89</v>
      </c>
      <c r="C81" s="187" t="s">
        <v>90</v>
      </c>
      <c r="D81" s="35" t="s">
        <v>91</v>
      </c>
      <c r="E81" s="4"/>
      <c r="F81" s="4"/>
      <c r="G81" s="35" t="s">
        <v>92</v>
      </c>
      <c r="H81" s="35" t="s">
        <v>93</v>
      </c>
      <c r="I81" s="35" t="s">
        <v>94</v>
      </c>
      <c r="J81" s="4"/>
      <c r="K81" s="132" t="s">
        <v>95</v>
      </c>
      <c r="L81" s="133" t="s">
        <v>40</v>
      </c>
    </row>
    <row r="82" spans="1:13" x14ac:dyDescent="0.25">
      <c r="A82" s="120" t="s">
        <v>96</v>
      </c>
      <c r="B82" s="56">
        <f>SUMIF(($AC$5:$AC$25),1)/1</f>
        <v>2</v>
      </c>
      <c r="C82" s="56">
        <f>SUMIF(($AC$5:$AC$25),2)/2</f>
        <v>0</v>
      </c>
      <c r="D82" s="56">
        <f>SUMIF(($AC$5:$AC$25),3)/3</f>
        <v>5</v>
      </c>
      <c r="E82" s="56"/>
      <c r="F82" s="56"/>
      <c r="G82" s="56">
        <f>SUMIF(($AC$5:$AC$25),4)/4</f>
        <v>0</v>
      </c>
      <c r="H82" s="56">
        <f>SUMIF(($AC$5:$AC$25),5)/5</f>
        <v>0</v>
      </c>
      <c r="I82" s="26">
        <f>SUMIF(($AC$5:$AC$25),6)/6</f>
        <v>0</v>
      </c>
      <c r="J82" s="131"/>
      <c r="K82" s="59">
        <f>SUMIF(($AC$2:$AC$25),7)/7</f>
        <v>3</v>
      </c>
      <c r="L82" s="30">
        <f>SUM(B82:K82)</f>
        <v>10</v>
      </c>
    </row>
    <row r="83" spans="1:13" x14ac:dyDescent="0.25">
      <c r="A83" s="116"/>
      <c r="B83" s="11"/>
      <c r="C83" s="11"/>
      <c r="D83" s="11"/>
      <c r="G83" s="11"/>
      <c r="H83" s="11"/>
      <c r="I83" s="11"/>
      <c r="K83" s="11"/>
    </row>
    <row r="84" spans="1:13" ht="15.75" thickBot="1" x14ac:dyDescent="0.3">
      <c r="A84" s="116"/>
      <c r="B84" s="11"/>
      <c r="C84" s="11"/>
      <c r="D84" s="11"/>
      <c r="G84" s="11"/>
      <c r="H84" s="11"/>
      <c r="I84" s="11"/>
      <c r="K84" s="11"/>
      <c r="M84" s="118"/>
    </row>
    <row r="85" spans="1:13" ht="18.75" customHeight="1" x14ac:dyDescent="0.25">
      <c r="A85" s="268" t="s">
        <v>108</v>
      </c>
      <c r="B85" s="269"/>
      <c r="C85" s="269"/>
      <c r="D85" s="269"/>
      <c r="E85" s="269"/>
      <c r="F85" s="269"/>
      <c r="G85" s="269"/>
      <c r="H85" s="269"/>
      <c r="I85" s="269"/>
      <c r="J85" s="269"/>
      <c r="K85" s="270"/>
    </row>
    <row r="86" spans="1:13" ht="3.75" customHeight="1" thickBot="1" x14ac:dyDescent="0.3">
      <c r="A86" s="271"/>
      <c r="B86" s="272"/>
      <c r="C86" s="272"/>
      <c r="D86" s="272"/>
      <c r="E86" s="272"/>
      <c r="F86" s="272"/>
      <c r="G86" s="272"/>
      <c r="H86" s="272"/>
      <c r="I86" s="272"/>
      <c r="J86" s="272"/>
      <c r="K86" s="273"/>
    </row>
    <row r="87" spans="1:13" ht="15.75" thickBot="1" x14ac:dyDescent="0.3">
      <c r="A87" s="274">
        <v>2013</v>
      </c>
      <c r="B87" s="275"/>
      <c r="C87" s="275"/>
      <c r="D87" s="275"/>
      <c r="E87" s="275"/>
      <c r="F87" s="275"/>
      <c r="G87" s="275"/>
      <c r="H87" s="275"/>
      <c r="I87" s="275"/>
      <c r="J87" s="275"/>
      <c r="K87" s="276"/>
    </row>
    <row r="88" spans="1:13" ht="12.95" customHeight="1" thickBot="1" x14ac:dyDescent="0.3">
      <c r="A88" s="111"/>
      <c r="B88" s="112" t="s">
        <v>107</v>
      </c>
      <c r="C88" s="113" t="s">
        <v>15</v>
      </c>
      <c r="D88" s="113" t="s">
        <v>16</v>
      </c>
      <c r="E88" s="17"/>
      <c r="F88" s="17"/>
      <c r="G88" s="113" t="s">
        <v>17</v>
      </c>
      <c r="H88" s="113" t="s">
        <v>18</v>
      </c>
      <c r="I88" s="114" t="s">
        <v>19</v>
      </c>
      <c r="K88" s="115" t="s">
        <v>97</v>
      </c>
    </row>
    <row r="89" spans="1:13" ht="21.75" customHeight="1" thickBot="1" x14ac:dyDescent="0.3">
      <c r="A89" s="119" t="s">
        <v>96</v>
      </c>
      <c r="B89" s="4">
        <f>SUMIF(($AD$5:$AD$25),1)/1</f>
        <v>0</v>
      </c>
      <c r="C89" s="4">
        <f>SUMIF(($AD$5:$AD$25),2)/2</f>
        <v>3</v>
      </c>
      <c r="D89" s="4">
        <f>SUMIF(($AD$5:$AD$25),3)/3</f>
        <v>0</v>
      </c>
      <c r="G89" s="4">
        <f>SUMIF(($AD$5:$AD$25),4)/4</f>
        <v>3</v>
      </c>
      <c r="H89" s="4">
        <f>SUMIF(($AD$5:$AD$25),5)/5</f>
        <v>2</v>
      </c>
      <c r="I89" s="4">
        <f>SUMIF(($AD$5:$AD$25),6)/6</f>
        <v>0</v>
      </c>
      <c r="K89" s="107">
        <f>SUM(B89:I89)</f>
        <v>8</v>
      </c>
    </row>
    <row r="90" spans="1:13" ht="21.75" customHeight="1" x14ac:dyDescent="0.25">
      <c r="A90" s="155"/>
      <c r="B90" s="11"/>
      <c r="C90" s="11"/>
      <c r="D90" s="11"/>
      <c r="G90" s="11"/>
      <c r="H90" s="11"/>
      <c r="I90" s="11"/>
      <c r="K90" s="156"/>
    </row>
    <row r="91" spans="1:13" ht="15.75" thickBot="1" x14ac:dyDescent="0.3"/>
    <row r="92" spans="1:13" x14ac:dyDescent="0.25">
      <c r="A92" s="268" t="s">
        <v>123</v>
      </c>
      <c r="B92" s="269"/>
      <c r="C92" s="269"/>
      <c r="D92" s="269"/>
      <c r="E92" s="269"/>
      <c r="F92" s="269"/>
      <c r="G92" s="270"/>
    </row>
    <row r="93" spans="1:13" ht="15.75" thickBot="1" x14ac:dyDescent="0.3">
      <c r="A93" s="271"/>
      <c r="B93" s="272"/>
      <c r="C93" s="272"/>
      <c r="D93" s="272"/>
      <c r="E93" s="272"/>
      <c r="F93" s="272"/>
      <c r="G93" s="273"/>
    </row>
    <row r="94" spans="1:13" ht="45.75" thickBot="1" x14ac:dyDescent="0.3">
      <c r="B94" s="220" t="s">
        <v>144</v>
      </c>
      <c r="C94" s="157" t="s">
        <v>140</v>
      </c>
      <c r="D94" s="157" t="s">
        <v>145</v>
      </c>
      <c r="E94" s="157"/>
      <c r="F94" s="157" t="s">
        <v>141</v>
      </c>
      <c r="G94" s="255" t="s">
        <v>146</v>
      </c>
      <c r="H94" s="220" t="s">
        <v>147</v>
      </c>
      <c r="I94" s="157" t="s">
        <v>142</v>
      </c>
      <c r="J94" s="157"/>
      <c r="K94" s="157" t="s">
        <v>143</v>
      </c>
    </row>
    <row r="95" spans="1:13" ht="15.75" thickBot="1" x14ac:dyDescent="0.3">
      <c r="A95" s="16" t="s">
        <v>111</v>
      </c>
      <c r="B95" s="4">
        <f>SUMIF(($AI$5:$AI$35),1)/1</f>
        <v>3</v>
      </c>
      <c r="C95" s="24">
        <f>SUM(B95)</f>
        <v>3</v>
      </c>
      <c r="D95" s="221">
        <f>B95*37.95</f>
        <v>113.85000000000001</v>
      </c>
      <c r="F95" s="221">
        <f>C95*37.95</f>
        <v>113.85000000000001</v>
      </c>
      <c r="G95" s="256">
        <v>14</v>
      </c>
      <c r="H95" s="24">
        <f>SUM(G95)</f>
        <v>14</v>
      </c>
      <c r="I95" s="221">
        <f>G95*0.0379</f>
        <v>0.53060000000000007</v>
      </c>
      <c r="K95" s="221">
        <f>H95*0.03795</f>
        <v>0.53129999999999999</v>
      </c>
    </row>
    <row r="96" spans="1:13" ht="15.75" thickBot="1" x14ac:dyDescent="0.3">
      <c r="A96" s="4" t="s">
        <v>112</v>
      </c>
      <c r="B96" s="4">
        <f>SUMIF(($AI$5:$AI$35),2)/2</f>
        <v>2</v>
      </c>
      <c r="C96" s="4">
        <f>SUM(B95:B96)</f>
        <v>5</v>
      </c>
      <c r="D96" s="221">
        <f t="shared" ref="D96:D106" si="25">B96*37.95</f>
        <v>75.900000000000006</v>
      </c>
      <c r="F96" s="221">
        <f>C96*18.95</f>
        <v>94.75</v>
      </c>
      <c r="G96" s="34">
        <v>43</v>
      </c>
      <c r="H96" s="4">
        <f>SUM(G95:G96)</f>
        <v>57</v>
      </c>
      <c r="I96" s="221">
        <f>G96*0.0379</f>
        <v>1.6297000000000001</v>
      </c>
      <c r="K96" s="221">
        <f>H96*0.01895</f>
        <v>1.0801500000000002</v>
      </c>
    </row>
    <row r="97" spans="1:11" ht="15.75" thickBot="1" x14ac:dyDescent="0.3">
      <c r="A97" s="4" t="s">
        <v>113</v>
      </c>
      <c r="B97" s="4">
        <f>SUMIF(($AI$5:$AI$35),3)/3</f>
        <v>3</v>
      </c>
      <c r="C97" s="4">
        <f>SUM(B95:B97)</f>
        <v>8</v>
      </c>
      <c r="D97" s="221">
        <f t="shared" si="25"/>
        <v>113.85000000000001</v>
      </c>
      <c r="F97" s="221">
        <f>C97*12.65</f>
        <v>101.2</v>
      </c>
      <c r="G97" s="34">
        <v>103</v>
      </c>
      <c r="H97" s="4">
        <f>SUM(G95:G97)</f>
        <v>160</v>
      </c>
      <c r="I97" s="221">
        <f t="shared" ref="I97:I106" si="26">G97*0.0379</f>
        <v>3.9037000000000002</v>
      </c>
      <c r="K97" s="221">
        <f>H97*0.01265</f>
        <v>2.024</v>
      </c>
    </row>
    <row r="98" spans="1:11" ht="15.75" thickBot="1" x14ac:dyDescent="0.3">
      <c r="A98" s="4" t="s">
        <v>114</v>
      </c>
      <c r="B98" s="4">
        <f>SUMIF(($AI$5:$AI$35),4)/4</f>
        <v>0</v>
      </c>
      <c r="C98" s="4">
        <f>SUM(B95:B98)</f>
        <v>8</v>
      </c>
      <c r="D98" s="221">
        <f t="shared" si="25"/>
        <v>0</v>
      </c>
      <c r="F98" s="221">
        <f>C98*9.48</f>
        <v>75.84</v>
      </c>
      <c r="G98" s="34"/>
      <c r="H98" s="4">
        <f>SUM(G95:G98)</f>
        <v>160</v>
      </c>
      <c r="I98" s="221">
        <f t="shared" si="26"/>
        <v>0</v>
      </c>
      <c r="K98" s="221">
        <f>H98*0.00948</f>
        <v>1.5168000000000001</v>
      </c>
    </row>
    <row r="99" spans="1:11" ht="15.75" thickBot="1" x14ac:dyDescent="0.3">
      <c r="A99" s="4" t="s">
        <v>115</v>
      </c>
      <c r="B99" s="4">
        <f>SUMIF(($AI$5:$AI$35),5)/5</f>
        <v>0</v>
      </c>
      <c r="C99" s="4">
        <f>SUM(B95:B99)</f>
        <v>8</v>
      </c>
      <c r="D99" s="221">
        <f t="shared" si="25"/>
        <v>0</v>
      </c>
      <c r="F99" s="221">
        <f>C99*7.59</f>
        <v>60.72</v>
      </c>
      <c r="G99" s="34"/>
      <c r="H99" s="4">
        <f>SUM(G95:G99)</f>
        <v>160</v>
      </c>
      <c r="I99" s="221">
        <f t="shared" si="26"/>
        <v>0</v>
      </c>
      <c r="K99" s="221">
        <f>H99*0.00759</f>
        <v>1.2144000000000001</v>
      </c>
    </row>
    <row r="100" spans="1:11" ht="15.75" thickBot="1" x14ac:dyDescent="0.3">
      <c r="A100" s="4" t="s">
        <v>116</v>
      </c>
      <c r="B100" s="4">
        <f>SUMIF(($AI$5:$AI$35),6)/6</f>
        <v>0</v>
      </c>
      <c r="C100" s="4">
        <f>SUM(B95:B100)</f>
        <v>8</v>
      </c>
      <c r="D100" s="221">
        <f t="shared" si="25"/>
        <v>0</v>
      </c>
      <c r="F100" s="221">
        <f>C100*6.32</f>
        <v>50.56</v>
      </c>
      <c r="G100" s="34"/>
      <c r="H100" s="4">
        <f>SUM(G95:G100)</f>
        <v>160</v>
      </c>
      <c r="I100" s="221">
        <f t="shared" si="26"/>
        <v>0</v>
      </c>
      <c r="K100" s="221">
        <f>H100*0.00632</f>
        <v>1.0112000000000001</v>
      </c>
    </row>
    <row r="101" spans="1:11" ht="15.75" thickBot="1" x14ac:dyDescent="0.3">
      <c r="A101" s="4" t="s">
        <v>117</v>
      </c>
      <c r="B101" s="4">
        <f>SUMIF(($AI$5:$AI$35),7)/7</f>
        <v>0</v>
      </c>
      <c r="C101" s="4">
        <f>SUM(B95:B101)</f>
        <v>8</v>
      </c>
      <c r="D101" s="221">
        <f t="shared" si="25"/>
        <v>0</v>
      </c>
      <c r="F101" s="221">
        <f>C101*5.42</f>
        <v>43.36</v>
      </c>
      <c r="G101" s="34"/>
      <c r="H101" s="4">
        <f>SUM(G95:G101)</f>
        <v>160</v>
      </c>
      <c r="I101" s="221">
        <f t="shared" si="26"/>
        <v>0</v>
      </c>
      <c r="K101" s="221">
        <f>H101*0.00542</f>
        <v>0.86720000000000008</v>
      </c>
    </row>
    <row r="102" spans="1:11" ht="15.75" thickBot="1" x14ac:dyDescent="0.3">
      <c r="A102" s="4" t="s">
        <v>118</v>
      </c>
      <c r="B102" s="4">
        <f>SUMIF(($AI$5:$AI$35),8)/8</f>
        <v>0</v>
      </c>
      <c r="C102" s="4">
        <f>SUM(B95:B102)</f>
        <v>8</v>
      </c>
      <c r="D102" s="221">
        <f t="shared" si="25"/>
        <v>0</v>
      </c>
      <c r="F102" s="221">
        <f>C102*4.74</f>
        <v>37.92</v>
      </c>
      <c r="G102" s="34"/>
      <c r="H102" s="4">
        <f>SUM(G95:G102)</f>
        <v>160</v>
      </c>
      <c r="I102" s="221">
        <f t="shared" si="26"/>
        <v>0</v>
      </c>
      <c r="K102" s="221">
        <f>H102*0.00474</f>
        <v>0.75840000000000007</v>
      </c>
    </row>
    <row r="103" spans="1:11" ht="15.75" thickBot="1" x14ac:dyDescent="0.3">
      <c r="A103" s="4" t="s">
        <v>119</v>
      </c>
      <c r="B103" s="4">
        <f>SUMIF(($AI$5:$AI$35),9)/9</f>
        <v>0</v>
      </c>
      <c r="C103" s="4">
        <f>SUM(B95:B103)</f>
        <v>8</v>
      </c>
      <c r="D103" s="221">
        <f t="shared" si="25"/>
        <v>0</v>
      </c>
      <c r="F103" s="221">
        <f>C103*4.21</f>
        <v>33.68</v>
      </c>
      <c r="G103" s="34"/>
      <c r="H103" s="4">
        <f>SUM(G95:G103)</f>
        <v>160</v>
      </c>
      <c r="I103" s="221">
        <f t="shared" si="26"/>
        <v>0</v>
      </c>
      <c r="K103" s="221">
        <f>H103*0.00421</f>
        <v>0.67359999999999998</v>
      </c>
    </row>
    <row r="104" spans="1:11" ht="15.75" thickBot="1" x14ac:dyDescent="0.3">
      <c r="A104" s="4" t="s">
        <v>120</v>
      </c>
      <c r="B104" s="4">
        <f>SUMIF(($AI$5:$AI$35),10)/10</f>
        <v>0</v>
      </c>
      <c r="C104" s="4">
        <f>SUM(B95:B104)</f>
        <v>8</v>
      </c>
      <c r="D104" s="221">
        <f t="shared" si="25"/>
        <v>0</v>
      </c>
      <c r="F104" s="221">
        <f>C104*3.79</f>
        <v>30.32</v>
      </c>
      <c r="G104" s="34"/>
      <c r="H104" s="4">
        <f>SUM(G95:G104)</f>
        <v>160</v>
      </c>
      <c r="I104" s="221">
        <f t="shared" si="26"/>
        <v>0</v>
      </c>
      <c r="K104" s="221">
        <f>H104*0.00379</f>
        <v>0.60640000000000005</v>
      </c>
    </row>
    <row r="105" spans="1:11" ht="15.75" thickBot="1" x14ac:dyDescent="0.3">
      <c r="A105" s="4" t="s">
        <v>121</v>
      </c>
      <c r="B105" s="4">
        <f>SUMIF(($AI$5:$AI$35),11)/11</f>
        <v>0</v>
      </c>
      <c r="C105" s="4">
        <f>SUM(B95:B105)</f>
        <v>8</v>
      </c>
      <c r="D105" s="221">
        <f t="shared" si="25"/>
        <v>0</v>
      </c>
      <c r="F105" s="221">
        <f>C105*3.49</f>
        <v>27.92</v>
      </c>
      <c r="G105" s="34"/>
      <c r="H105" s="4">
        <f>SUM(G95:G105)</f>
        <v>160</v>
      </c>
      <c r="I105" s="221">
        <f t="shared" si="26"/>
        <v>0</v>
      </c>
      <c r="K105" s="221">
        <f>H105*0.00349</f>
        <v>0.55840000000000001</v>
      </c>
    </row>
    <row r="106" spans="1:11" x14ac:dyDescent="0.25">
      <c r="A106" s="4" t="s">
        <v>122</v>
      </c>
      <c r="B106" s="4">
        <f>SUMIF(($AI$5:$AI$35),12)/12</f>
        <v>0</v>
      </c>
      <c r="C106" s="4">
        <f>SUM(B95:B106)</f>
        <v>8</v>
      </c>
      <c r="D106" s="221">
        <f t="shared" si="25"/>
        <v>0</v>
      </c>
      <c r="F106" s="221">
        <f>C106*3.16</f>
        <v>25.28</v>
      </c>
      <c r="G106" s="34"/>
      <c r="H106" s="4">
        <f>SUM(G95:G106)</f>
        <v>160</v>
      </c>
      <c r="I106" s="221">
        <f t="shared" si="26"/>
        <v>0</v>
      </c>
      <c r="K106" s="221">
        <f>H106*0.00316</f>
        <v>0.50560000000000005</v>
      </c>
    </row>
    <row r="107" spans="1:11" x14ac:dyDescent="0.25">
      <c r="B107" s="1"/>
      <c r="C107" s="11"/>
      <c r="D107" s="1"/>
      <c r="E107" s="11"/>
      <c r="F107" s="1"/>
      <c r="G107" s="1"/>
      <c r="H107" s="11"/>
      <c r="I107" s="222"/>
      <c r="J107" s="11"/>
    </row>
    <row r="108" spans="1:11" x14ac:dyDescent="0.25">
      <c r="A108" s="11"/>
      <c r="B108" s="1"/>
      <c r="C108" s="11"/>
      <c r="D108" s="1"/>
      <c r="E108" s="11"/>
      <c r="F108" s="1"/>
      <c r="G108" s="11"/>
      <c r="H108" s="11"/>
      <c r="I108" s="11"/>
      <c r="J108" s="11"/>
      <c r="K108" s="11"/>
    </row>
  </sheetData>
  <autoFilter ref="A1:Z26"/>
  <mergeCells count="12">
    <mergeCell ref="K45:L45"/>
    <mergeCell ref="A78:K79"/>
    <mergeCell ref="B80:K80"/>
    <mergeCell ref="A85:K86"/>
    <mergeCell ref="A87:K87"/>
    <mergeCell ref="A92:G93"/>
    <mergeCell ref="K5:L5"/>
    <mergeCell ref="K15:L15"/>
    <mergeCell ref="B30:C30"/>
    <mergeCell ref="B31:C31"/>
    <mergeCell ref="B32:C32"/>
    <mergeCell ref="B33:C33"/>
  </mergeCells>
  <dataValidations count="10">
    <dataValidation type="list" allowBlank="1" showInputMessage="1" showErrorMessage="1" sqref="Z2:Z25">
      <formula1>"Non,Oui"</formula1>
    </dataValidation>
    <dataValidation type="list" allowBlank="1" showInputMessage="1" showErrorMessage="1" sqref="Q5:Q25">
      <formula1>"Tête,Tronc,Membre,Psychologique,Autres"</formula1>
    </dataValidation>
    <dataValidation type="list" allowBlank="1" showInputMessage="1" showErrorMessage="1" sqref="P2:P25">
      <formula1>"Posture,Agression,Trajet,Chimique,Morsure,Chute,Stress,Blessure,Activité Physique,Manipulation Outils,Divers"</formula1>
    </dataValidation>
    <dataValidation type="date" allowBlank="1" showInputMessage="1" showErrorMessage="1" sqref="N5:N13 N15:N25">
      <formula1>41275</formula1>
      <formula2>43465</formula2>
    </dataValidation>
    <dataValidation type="date" allowBlank="1" showInputMessage="1" showErrorMessage="1" sqref="H5:H25">
      <formula1>39083</formula1>
      <formula2>42369</formula2>
    </dataValidation>
    <dataValidation type="list" allowBlank="1" showInputMessage="1" showErrorMessage="1" sqref="G5:G25">
      <formula1>"EMPLOYE,AGENT MAITRISE,CADRE"</formula1>
    </dataValidation>
    <dataValidation type="list" allowBlank="1" showInputMessage="1" showErrorMessage="1" sqref="U5:U25">
      <formula1>"1,2,3,4,5,6,7,8,9"</formula1>
    </dataValidation>
    <dataValidation type="list" allowBlank="1" showInputMessage="1" showErrorMessage="1" sqref="T5:T25">
      <formula1>"10,20,30,40,50,60,70,80,90"</formula1>
    </dataValidation>
    <dataValidation type="list" allowBlank="1" showInputMessage="1" showErrorMessage="1" sqref="S5:S25">
      <formula1>"100,200,300,400,500,600"</formula1>
    </dataValidation>
    <dataValidation type="list" allowBlank="1" showInputMessage="1" showErrorMessage="1" sqref="D2:D25">
      <formula1>"M,F"</formula1>
    </dataValidation>
  </dataValidations>
  <pageMargins left="0.75" right="0.75" top="1" bottom="1" header="0.5" footer="0.5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08"/>
  <sheetViews>
    <sheetView tabSelected="1" topLeftCell="K1" workbookViewId="0">
      <pane xSplit="4965" topLeftCell="AK1" activePane="topRight"/>
      <selection activeCell="G106" sqref="G106"/>
      <selection pane="topRight" activeCell="BD20" sqref="BD20"/>
    </sheetView>
  </sheetViews>
  <sheetFormatPr baseColWidth="10" defaultColWidth="10.85546875" defaultRowHeight="15" x14ac:dyDescent="0.25"/>
  <cols>
    <col min="1" max="1" width="21.85546875" style="10" customWidth="1"/>
    <col min="2" max="2" width="15.140625" style="10" customWidth="1"/>
    <col min="3" max="3" width="14.85546875" style="10" customWidth="1"/>
    <col min="4" max="4" width="14.7109375" style="10" customWidth="1"/>
    <col min="5" max="5" width="9.28515625" style="10" customWidth="1"/>
    <col min="6" max="6" width="14.42578125" style="10" customWidth="1"/>
    <col min="7" max="7" width="14.7109375" style="10" customWidth="1"/>
    <col min="8" max="8" width="10.85546875" style="10"/>
    <col min="9" max="9" width="13.140625" style="10" customWidth="1"/>
    <col min="10" max="10" width="15.85546875" style="10" bestFit="1" customWidth="1"/>
    <col min="11" max="11" width="15.42578125" style="10" customWidth="1"/>
    <col min="12" max="12" width="14.42578125" style="10" customWidth="1"/>
    <col min="13" max="13" width="13.7109375" style="10" customWidth="1"/>
    <col min="14" max="14" width="21" style="10" customWidth="1"/>
    <col min="15" max="15" width="47.140625" style="10" customWidth="1"/>
    <col min="16" max="16" width="13" style="10" customWidth="1"/>
    <col min="17" max="17" width="10.85546875" style="10"/>
    <col min="18" max="18" width="15.42578125" style="10" customWidth="1"/>
    <col min="19" max="19" width="16" style="10" customWidth="1"/>
    <col min="20" max="20" width="13.42578125" style="10" customWidth="1"/>
    <col min="21" max="21" width="13.7109375" style="10" customWidth="1"/>
    <col min="22" max="22" width="14.7109375" style="10" customWidth="1"/>
    <col min="23" max="23" width="14.85546875" style="10" customWidth="1"/>
    <col min="24" max="24" width="15.5703125" style="10" customWidth="1"/>
    <col min="25" max="25" width="16.28515625" style="10" customWidth="1"/>
    <col min="26" max="26" width="10.85546875" style="10"/>
    <col min="27" max="27" width="11.7109375" style="10" customWidth="1"/>
    <col min="28" max="28" width="10.85546875" style="10"/>
    <col min="29" max="29" width="11.7109375" style="10" customWidth="1"/>
    <col min="30" max="16384" width="10.85546875" style="10"/>
  </cols>
  <sheetData>
    <row r="1" spans="1:50" s="39" customFormat="1" ht="49.5" customHeight="1" x14ac:dyDescent="0.25">
      <c r="A1" s="67" t="s">
        <v>6</v>
      </c>
      <c r="B1" s="68" t="s">
        <v>27</v>
      </c>
      <c r="C1" s="68" t="s">
        <v>28</v>
      </c>
      <c r="D1" s="68" t="s">
        <v>32</v>
      </c>
      <c r="E1" s="68" t="s">
        <v>98</v>
      </c>
      <c r="F1" s="68" t="s">
        <v>99</v>
      </c>
      <c r="G1" s="84" t="s">
        <v>14</v>
      </c>
      <c r="H1" s="68" t="s">
        <v>8</v>
      </c>
      <c r="I1" s="68" t="s">
        <v>22</v>
      </c>
      <c r="J1" s="68" t="s">
        <v>109</v>
      </c>
      <c r="K1" s="68" t="s">
        <v>29</v>
      </c>
      <c r="L1" s="68" t="s">
        <v>30</v>
      </c>
      <c r="M1" s="68" t="s">
        <v>9</v>
      </c>
      <c r="N1" s="68" t="s">
        <v>161</v>
      </c>
      <c r="O1" s="68" t="s">
        <v>31</v>
      </c>
      <c r="P1" s="68" t="s">
        <v>26</v>
      </c>
      <c r="Q1" s="69" t="s">
        <v>44</v>
      </c>
      <c r="R1" s="68" t="s">
        <v>10</v>
      </c>
      <c r="S1" s="69" t="s">
        <v>51</v>
      </c>
      <c r="T1" s="69" t="s">
        <v>52</v>
      </c>
      <c r="U1" s="69" t="s">
        <v>53</v>
      </c>
      <c r="V1" s="69" t="s">
        <v>59</v>
      </c>
      <c r="W1" s="69" t="s">
        <v>39</v>
      </c>
      <c r="X1" s="69" t="s">
        <v>12</v>
      </c>
      <c r="Y1" s="69" t="s">
        <v>162</v>
      </c>
      <c r="Z1" s="122" t="s">
        <v>163</v>
      </c>
      <c r="AA1" s="164" t="s">
        <v>105</v>
      </c>
      <c r="AB1" s="126" t="s">
        <v>106</v>
      </c>
      <c r="AC1" s="130" t="s">
        <v>103</v>
      </c>
      <c r="AD1" s="126" t="s">
        <v>104</v>
      </c>
      <c r="AE1" s="68" t="s">
        <v>125</v>
      </c>
      <c r="AF1" s="69" t="s">
        <v>126</v>
      </c>
      <c r="AG1" s="163" t="s">
        <v>26</v>
      </c>
      <c r="AH1" s="231" t="s">
        <v>127</v>
      </c>
      <c r="AI1" s="42" t="s">
        <v>148</v>
      </c>
      <c r="AL1" s="267" t="s">
        <v>149</v>
      </c>
      <c r="AM1" s="267" t="s">
        <v>150</v>
      </c>
      <c r="AN1" s="267" t="s">
        <v>151</v>
      </c>
      <c r="AO1" s="267" t="s">
        <v>152</v>
      </c>
      <c r="AP1" s="267" t="s">
        <v>153</v>
      </c>
      <c r="AQ1" s="267" t="s">
        <v>154</v>
      </c>
      <c r="AR1" s="267" t="s">
        <v>155</v>
      </c>
      <c r="AS1" s="267" t="s">
        <v>156</v>
      </c>
      <c r="AT1" s="267" t="s">
        <v>157</v>
      </c>
      <c r="AU1" s="267" t="s">
        <v>158</v>
      </c>
      <c r="AV1" s="267" t="s">
        <v>159</v>
      </c>
      <c r="AW1" s="267" t="s">
        <v>160</v>
      </c>
      <c r="AX1" s="267" t="s">
        <v>25</v>
      </c>
    </row>
    <row r="2" spans="1:50" s="61" customFormat="1" ht="44.25" customHeight="1" x14ac:dyDescent="0.25">
      <c r="A2" s="224">
        <v>40975</v>
      </c>
      <c r="B2" s="20"/>
      <c r="C2" s="20"/>
      <c r="D2" s="85" t="s">
        <v>34</v>
      </c>
      <c r="E2" s="88" t="str">
        <f>IF(D2="M","100",IF(D2="F","200",IF(ISBLANK(D2)," ")))</f>
        <v>100</v>
      </c>
      <c r="F2" s="88"/>
      <c r="G2" s="85" t="s">
        <v>45</v>
      </c>
      <c r="H2" s="86">
        <v>40819</v>
      </c>
      <c r="I2" s="88" t="str">
        <f>IF(J2&gt;730,"+ de 2 ans",IF(J2&gt;549,"De 18 à 24 mois",IF(J2&gt;365,"+1 an",IF(J2&gt;275,"De 9 à 12 mois",IF(J2&gt;183,"De 6 à 9 mois",IF(J2&gt;92,"De 3 à 6 mois",IF(J2&lt;93,"- de 3 mois")))))))</f>
        <v>De 3 à 6 mois</v>
      </c>
      <c r="J2" s="88">
        <f t="shared" ref="J2:J4" si="0">(A2-H2)+1</f>
        <v>157</v>
      </c>
      <c r="K2" s="86">
        <v>41275</v>
      </c>
      <c r="L2" s="87">
        <v>41320</v>
      </c>
      <c r="M2" s="88">
        <f>(L2-K2)+1</f>
        <v>46</v>
      </c>
      <c r="N2" s="86"/>
      <c r="O2" s="89" t="s">
        <v>46</v>
      </c>
      <c r="P2" s="158"/>
      <c r="Q2" s="91"/>
      <c r="R2" s="89" t="s">
        <v>48</v>
      </c>
      <c r="S2" s="91"/>
      <c r="T2" s="91"/>
      <c r="U2" s="91"/>
      <c r="V2" s="85">
        <f t="shared" ref="V2:V4" si="1">S2+T2+U2</f>
        <v>0</v>
      </c>
      <c r="W2" s="92"/>
      <c r="X2" s="93" t="s">
        <v>74</v>
      </c>
      <c r="Y2" s="85">
        <v>0</v>
      </c>
      <c r="Z2" s="123" t="s">
        <v>49</v>
      </c>
      <c r="AA2" s="165"/>
      <c r="AB2" s="88"/>
      <c r="AC2" s="149"/>
      <c r="AD2" s="150"/>
      <c r="AE2" s="90">
        <v>0</v>
      </c>
      <c r="AF2" s="91">
        <v>0</v>
      </c>
      <c r="AG2" s="171">
        <f t="shared" ref="AG2:AG4" si="2">IF(ISBLANK(A2)," ",AE2+0)</f>
        <v>0</v>
      </c>
      <c r="AH2" s="129">
        <f t="shared" ref="AH2:AH4" si="3">IF(ISBLANK(A2)," ",AF2+0)</f>
        <v>0</v>
      </c>
      <c r="AI2" s="236"/>
      <c r="AL2" s="294">
        <f ca="1">IF(NOT(ISNUMBER($K2))=TRUE,"",IF(OR($K2="",$K2&gt;=DATE(YEAR($K2),COLUMN(AL2)-36,1),TODAY()&lt;DATE(YEAR($K2),COLUMN(AL2)-37,1),AND($L2&lt;&gt;"",$L2&lt;DATE(YEAR($K2),COLUMN(AL2)-37,1))),"",IF($L2="",MIN(TODAY(),DATE(YEAR($K2),COLUMN(AL2)-36,1)-1),MIN($L2,DATE(YEAR($K2),COLUMN(AL2)-36,1)-1))-MAX($K2,DATE(YEAR($K2),COLUMN(AL2)-37,1))+1))</f>
        <v>31</v>
      </c>
      <c r="AM2" s="293">
        <f t="shared" ref="AM2:AW17" ca="1" si="4">IF(NOT(ISNUMBER($K2))=TRUE,"",IF(OR($K2="",$K2&gt;=DATE(YEAR($K2),COLUMN(AM2)-36,1),TODAY()&lt;DATE(YEAR($K2),COLUMN(AM2)-37,1),AND($L2&lt;&gt;"",$L2&lt;DATE(YEAR($K2),COLUMN(AM2)-37,1))),"",IF($L2="",MIN(TODAY(),DATE(YEAR($K2),COLUMN(AM2)-36,1)-1),MIN($L2,DATE(YEAR($K2),COLUMN(AM2)-36,1)-1))-MAX($K2,DATE(YEAR($K2),COLUMN(AM2)-37,1))+1))</f>
        <v>15</v>
      </c>
      <c r="AN2" s="293" t="str">
        <f t="shared" ca="1" si="4"/>
        <v/>
      </c>
      <c r="AO2" s="293" t="str">
        <f t="shared" ca="1" si="4"/>
        <v/>
      </c>
      <c r="AP2" s="293" t="str">
        <f t="shared" ca="1" si="4"/>
        <v/>
      </c>
      <c r="AQ2" s="293" t="str">
        <f t="shared" ca="1" si="4"/>
        <v/>
      </c>
      <c r="AR2" s="293" t="str">
        <f t="shared" ca="1" si="4"/>
        <v/>
      </c>
      <c r="AS2" s="293" t="str">
        <f t="shared" ca="1" si="4"/>
        <v/>
      </c>
      <c r="AT2" s="293" t="str">
        <f t="shared" ca="1" si="4"/>
        <v/>
      </c>
      <c r="AU2" s="293" t="str">
        <f t="shared" ca="1" si="4"/>
        <v/>
      </c>
      <c r="AV2" s="293" t="str">
        <f t="shared" ca="1" si="4"/>
        <v/>
      </c>
      <c r="AW2" s="293" t="str">
        <f t="shared" ca="1" si="4"/>
        <v/>
      </c>
      <c r="AX2" s="298">
        <f ca="1">SUM(AL2:AW2)</f>
        <v>46</v>
      </c>
    </row>
    <row r="3" spans="1:50" s="31" customFormat="1" ht="45" x14ac:dyDescent="0.25">
      <c r="A3" s="225">
        <v>41089</v>
      </c>
      <c r="B3" s="94"/>
      <c r="C3" s="94"/>
      <c r="D3" s="89" t="s">
        <v>34</v>
      </c>
      <c r="E3" s="88" t="str">
        <f>IF(D3="M","100",IF(D3="F","200",IF(ISBLANK(D3)," ")))</f>
        <v>100</v>
      </c>
      <c r="F3" s="88"/>
      <c r="G3" s="89" t="s">
        <v>45</v>
      </c>
      <c r="H3" s="95">
        <v>40861</v>
      </c>
      <c r="I3" s="88" t="str">
        <f t="shared" ref="I3:I4" si="5">IF(J3&gt;730,"+ de 2 ans",IF(J3&gt;549,"De 18 à 24 mois",IF(J3&gt;365,"+1 an",IF(J3&gt;275,"De 9 à 12 mois",IF(J3&gt;183,"De 6 à 9 mois",IF(J3&gt;92,"De 3 à 6 mois",IF(J3&lt;93,"- de 3 mois")))))))</f>
        <v>De 6 à 9 mois</v>
      </c>
      <c r="J3" s="88">
        <f t="shared" si="0"/>
        <v>229</v>
      </c>
      <c r="K3" s="95">
        <v>41275</v>
      </c>
      <c r="L3" s="96">
        <v>41316</v>
      </c>
      <c r="M3" s="88">
        <f>(L3-K3)+1</f>
        <v>42</v>
      </c>
      <c r="N3" s="89"/>
      <c r="O3" s="89" t="s">
        <v>63</v>
      </c>
      <c r="P3" s="158"/>
      <c r="Q3" s="89"/>
      <c r="R3" s="89" t="s">
        <v>50</v>
      </c>
      <c r="S3" s="89"/>
      <c r="T3" s="89"/>
      <c r="U3" s="89"/>
      <c r="V3" s="85">
        <f t="shared" si="1"/>
        <v>0</v>
      </c>
      <c r="W3" s="89"/>
      <c r="X3" s="93" t="s">
        <v>74</v>
      </c>
      <c r="Y3" s="89">
        <v>0</v>
      </c>
      <c r="Z3" s="123" t="s">
        <v>49</v>
      </c>
      <c r="AA3" s="166"/>
      <c r="AB3" s="32"/>
      <c r="AC3" s="32"/>
      <c r="AD3" s="33"/>
      <c r="AE3" s="89">
        <v>0</v>
      </c>
      <c r="AF3" s="89">
        <v>0</v>
      </c>
      <c r="AG3" s="171">
        <f t="shared" si="2"/>
        <v>0</v>
      </c>
      <c r="AH3" s="129">
        <f t="shared" si="3"/>
        <v>0</v>
      </c>
      <c r="AI3" s="33"/>
      <c r="AL3" s="293">
        <f t="shared" ref="AL3:AW25" ca="1" si="6">IF(NOT(ISNUMBER($K3))=TRUE,"",IF(OR($K3="",$K3&gt;=DATE(YEAR($K3),COLUMN(AL3)-36,1),TODAY()&lt;DATE(YEAR($K3),COLUMN(AL3)-37,1),AND($L3&lt;&gt;"",$L3&lt;DATE(YEAR($K3),COLUMN(AL3)-37,1))),"",IF($L3="",MIN(TODAY(),DATE(YEAR($K3),COLUMN(AL3)-36,1)-1),MIN($L3,DATE(YEAR($K3),COLUMN(AL3)-36,1)-1))-MAX($K3,DATE(YEAR($K3),COLUMN(AL3)-37,1))+1))</f>
        <v>31</v>
      </c>
      <c r="AM3" s="293">
        <f t="shared" ca="1" si="4"/>
        <v>11</v>
      </c>
      <c r="AN3" s="293" t="str">
        <f t="shared" ca="1" si="4"/>
        <v/>
      </c>
      <c r="AO3" s="293" t="str">
        <f t="shared" ca="1" si="4"/>
        <v/>
      </c>
      <c r="AP3" s="293" t="str">
        <f t="shared" ca="1" si="4"/>
        <v/>
      </c>
      <c r="AQ3" s="293" t="str">
        <f t="shared" ca="1" si="4"/>
        <v/>
      </c>
      <c r="AR3" s="293" t="str">
        <f t="shared" ca="1" si="4"/>
        <v/>
      </c>
      <c r="AS3" s="293" t="str">
        <f t="shared" ca="1" si="4"/>
        <v/>
      </c>
      <c r="AT3" s="293" t="str">
        <f t="shared" ca="1" si="4"/>
        <v/>
      </c>
      <c r="AU3" s="293" t="str">
        <f t="shared" ca="1" si="4"/>
        <v/>
      </c>
      <c r="AV3" s="293" t="str">
        <f t="shared" ca="1" si="4"/>
        <v/>
      </c>
      <c r="AW3" s="293" t="str">
        <f t="shared" ca="1" si="4"/>
        <v/>
      </c>
      <c r="AX3" s="299">
        <f t="shared" ref="AX3:AX25" ca="1" si="7">SUM(AL3:AW3)</f>
        <v>42</v>
      </c>
    </row>
    <row r="4" spans="1:50" ht="30.75" thickBot="1" x14ac:dyDescent="0.3">
      <c r="A4" s="226">
        <v>41265</v>
      </c>
      <c r="B4" s="97"/>
      <c r="C4" s="97"/>
      <c r="D4" s="98" t="s">
        <v>33</v>
      </c>
      <c r="E4" s="108" t="str">
        <f t="shared" ref="E4:E25" si="8">IF(D4="M","100",IF(D4="F","200",IF(ISBLANK(D4)," ")))</f>
        <v>200</v>
      </c>
      <c r="F4" s="108"/>
      <c r="G4" s="98" t="s">
        <v>45</v>
      </c>
      <c r="H4" s="99">
        <v>41017</v>
      </c>
      <c r="I4" s="108" t="str">
        <f t="shared" si="5"/>
        <v>De 6 à 9 mois</v>
      </c>
      <c r="J4" s="108">
        <f t="shared" si="0"/>
        <v>249</v>
      </c>
      <c r="K4" s="99">
        <v>41275</v>
      </c>
      <c r="L4" s="100">
        <v>41275</v>
      </c>
      <c r="M4" s="108">
        <f t="shared" ref="M4:M25" si="9">IF(ISBLANK(D4)," ",IF(COUNTIF(K4,"*PAS*"),"0",(L4-K4)+1))</f>
        <v>1</v>
      </c>
      <c r="N4" s="99">
        <v>41276</v>
      </c>
      <c r="O4" s="101" t="s">
        <v>68</v>
      </c>
      <c r="P4" s="160"/>
      <c r="Q4" s="101"/>
      <c r="R4" s="101" t="s">
        <v>64</v>
      </c>
      <c r="S4" s="98"/>
      <c r="T4" s="98"/>
      <c r="U4" s="98"/>
      <c r="V4" s="102">
        <f t="shared" si="1"/>
        <v>0</v>
      </c>
      <c r="W4" s="98"/>
      <c r="X4" s="101" t="s">
        <v>72</v>
      </c>
      <c r="Y4" s="98">
        <v>0</v>
      </c>
      <c r="Z4" s="124" t="s">
        <v>47</v>
      </c>
      <c r="AA4" s="167"/>
      <c r="AB4" s="54"/>
      <c r="AC4" s="54"/>
      <c r="AD4" s="55"/>
      <c r="AE4" s="101">
        <v>0</v>
      </c>
      <c r="AF4" s="101">
        <v>0</v>
      </c>
      <c r="AG4" s="172">
        <f t="shared" si="2"/>
        <v>0</v>
      </c>
      <c r="AH4" s="232">
        <f t="shared" si="3"/>
        <v>0</v>
      </c>
      <c r="AI4" s="55"/>
      <c r="AL4" s="293">
        <f t="shared" ca="1" si="6"/>
        <v>1</v>
      </c>
      <c r="AM4" s="293" t="str">
        <f t="shared" ca="1" si="4"/>
        <v/>
      </c>
      <c r="AN4" s="293" t="str">
        <f t="shared" ca="1" si="4"/>
        <v/>
      </c>
      <c r="AO4" s="293" t="str">
        <f t="shared" ca="1" si="4"/>
        <v/>
      </c>
      <c r="AP4" s="293" t="str">
        <f t="shared" ca="1" si="4"/>
        <v/>
      </c>
      <c r="AQ4" s="293" t="str">
        <f t="shared" ca="1" si="4"/>
        <v/>
      </c>
      <c r="AR4" s="293" t="str">
        <f t="shared" ca="1" si="4"/>
        <v/>
      </c>
      <c r="AS4" s="293" t="str">
        <f t="shared" ca="1" si="4"/>
        <v/>
      </c>
      <c r="AT4" s="293" t="str">
        <f t="shared" ca="1" si="4"/>
        <v/>
      </c>
      <c r="AU4" s="293" t="str">
        <f t="shared" ca="1" si="4"/>
        <v/>
      </c>
      <c r="AV4" s="293" t="str">
        <f t="shared" ca="1" si="4"/>
        <v/>
      </c>
      <c r="AW4" s="293" t="str">
        <f t="shared" ca="1" si="4"/>
        <v/>
      </c>
      <c r="AX4" s="299">
        <f t="shared" ca="1" si="7"/>
        <v>1</v>
      </c>
    </row>
    <row r="5" spans="1:50" ht="30.75" thickTop="1" x14ac:dyDescent="0.25">
      <c r="A5" s="227">
        <v>41276</v>
      </c>
      <c r="B5" s="103"/>
      <c r="C5" s="103"/>
      <c r="D5" s="104" t="s">
        <v>33</v>
      </c>
      <c r="E5" s="110" t="str">
        <f t="shared" si="8"/>
        <v>200</v>
      </c>
      <c r="F5" s="154">
        <f>IF(ISBLANK(A5)," ",(E5+AG5))</f>
        <v>210</v>
      </c>
      <c r="G5" s="105" t="s">
        <v>110</v>
      </c>
      <c r="H5" s="264">
        <v>39815</v>
      </c>
      <c r="I5" s="110" t="str">
        <f t="shared" ref="I5:I25" si="10">IF(ISBLANK(A5)," ",IF(J5&gt;730,"+ de 2 ans",IF(J5&gt;549,"De 18 à 24 mois",IF(J5&gt;365,"+1 an",IF(J5&gt;275,"De 9 à 12 mois",IF(J5&gt;183,"De 6 à 9 mois",IF(J5&gt;92,"De 3 à 6 mois",IF(J5&lt;93,"- de 3 mois"))))))))</f>
        <v>+ de 2 ans</v>
      </c>
      <c r="J5" s="110">
        <f t="shared" ref="J5:J25" si="11">IF(ISBLANK(A5)," ",(A5-H5)+1)</f>
        <v>1462</v>
      </c>
      <c r="K5" s="282" t="s">
        <v>37</v>
      </c>
      <c r="L5" s="282"/>
      <c r="M5" s="110" t="str">
        <f>IF(ISBLANK(D5)," ",IF(COUNTIF(K5,"*PAS*"),"0",(L5-K5)+1))</f>
        <v>0</v>
      </c>
      <c r="N5" s="264"/>
      <c r="O5" s="105" t="s">
        <v>69</v>
      </c>
      <c r="P5" s="161" t="s">
        <v>86</v>
      </c>
      <c r="Q5" s="104" t="s">
        <v>124</v>
      </c>
      <c r="R5" s="105" t="s">
        <v>65</v>
      </c>
      <c r="S5" s="104">
        <v>100</v>
      </c>
      <c r="T5" s="104">
        <v>50</v>
      </c>
      <c r="U5" s="104"/>
      <c r="V5" s="104">
        <f>IF(ISBLANK(A5)," ",(S5+T5+U5))</f>
        <v>150</v>
      </c>
      <c r="W5" s="104"/>
      <c r="X5" s="105" t="s">
        <v>73</v>
      </c>
      <c r="Y5" s="104">
        <v>0</v>
      </c>
      <c r="Z5" s="125" t="s">
        <v>47</v>
      </c>
      <c r="AA5" s="169" t="str">
        <f>IF(ISBLANK(A5)," ",IF(J5&gt;730,"7",IF(J5&gt;549,"6",IF(J5&gt;365,"5",IF(J5&gt;275,"4",IF(J5&gt;183,"3",IF(J5&gt;92,"2",IF(J5=0,"0","1"))))))))</f>
        <v>7</v>
      </c>
      <c r="AB5" s="154" t="str">
        <f>IF(ISBLANK(A5)," ",IF(COUNTIF(K5,"*PAS*"),"0",IF(M5&gt;150,"6",IF(M5&gt;90,"5",IF(M5&gt;45,"4",IF(M5&gt;15,"3",IF(M5&gt;3,"2",IF(M5=0,"0","1"))))))))</f>
        <v>0</v>
      </c>
      <c r="AC5" s="145">
        <f t="shared" ref="AC5:AC25" si="12">IF(ISBLANK(A5)," ",AA5+0)</f>
        <v>7</v>
      </c>
      <c r="AD5" s="153">
        <f t="shared" ref="AD5:AD25" si="13">IF(ISBLANK(A5)," ",AB5+0)</f>
        <v>0</v>
      </c>
      <c r="AE5" s="170" t="str">
        <f t="shared" ref="AE5:AE8" si="14">IF(ISBLANK(A5)," ",IF(P5="Posture","1",IF(P5="Agression","2",IF(P5="Trajet","3",IF(P5="Chimique","4",IF(P5="Morsure","5",IF(P5="Chute","6",IF(P5="Stress","7",IF(P5="Blessure","8",IF(P5="Activité Physique","9",IF(P5="Manipulation OutilS","10",IF(P5="Divers","11"))))))))))))</f>
        <v>10</v>
      </c>
      <c r="AF5" s="170" t="str">
        <f>IF(ISBLANK(A5)," ",IF(Q5="Tête","1",IF(Q5="Tronc","2",IF(Q5="Membre","3",IF(Q5="Pschycologique","4",IF(Q5="Autres","5",))))))</f>
        <v>3</v>
      </c>
      <c r="AG5" s="179">
        <f>IF(ISBLANK(A5)," ",AE5+0)</f>
        <v>10</v>
      </c>
      <c r="AH5" s="233">
        <f>IF(ISBLANK(A5)," ",AF5+0)</f>
        <v>3</v>
      </c>
      <c r="AI5" s="254" t="str">
        <f>IF(ISBLANK(A5)," ",IF(Y5=0,"0",MONTH(A5)))</f>
        <v>0</v>
      </c>
      <c r="AJ5" s="36"/>
      <c r="AL5" s="293" t="str">
        <f t="shared" ca="1" si="6"/>
        <v/>
      </c>
      <c r="AM5" s="293" t="str">
        <f t="shared" ca="1" si="4"/>
        <v/>
      </c>
      <c r="AN5" s="293" t="str">
        <f t="shared" ca="1" si="4"/>
        <v/>
      </c>
      <c r="AO5" s="293" t="str">
        <f t="shared" ca="1" si="4"/>
        <v/>
      </c>
      <c r="AP5" s="293" t="str">
        <f t="shared" ca="1" si="4"/>
        <v/>
      </c>
      <c r="AQ5" s="293" t="str">
        <f t="shared" ca="1" si="4"/>
        <v/>
      </c>
      <c r="AR5" s="293" t="str">
        <f t="shared" ca="1" si="4"/>
        <v/>
      </c>
      <c r="AS5" s="293" t="str">
        <f t="shared" ca="1" si="4"/>
        <v/>
      </c>
      <c r="AT5" s="293" t="str">
        <f t="shared" ca="1" si="4"/>
        <v/>
      </c>
      <c r="AU5" s="293" t="str">
        <f t="shared" ca="1" si="4"/>
        <v/>
      </c>
      <c r="AV5" s="293" t="str">
        <f t="shared" ca="1" si="4"/>
        <v/>
      </c>
      <c r="AW5" s="293" t="str">
        <f t="shared" ca="1" si="4"/>
        <v/>
      </c>
      <c r="AX5" s="299">
        <f t="shared" ca="1" si="7"/>
        <v>0</v>
      </c>
    </row>
    <row r="6" spans="1:50" ht="45" x14ac:dyDescent="0.25">
      <c r="A6" s="223">
        <v>41295</v>
      </c>
      <c r="B6" s="185"/>
      <c r="C6" s="185"/>
      <c r="D6" s="186" t="s">
        <v>33</v>
      </c>
      <c r="E6" s="88" t="str">
        <f t="shared" si="8"/>
        <v>200</v>
      </c>
      <c r="F6" s="121">
        <f t="shared" ref="F6:F25" si="15">IF(ISBLANK(A6)," ",(E6+AG6))</f>
        <v>209</v>
      </c>
      <c r="G6" s="19" t="s">
        <v>110</v>
      </c>
      <c r="H6" s="188">
        <v>41038</v>
      </c>
      <c r="I6" s="88" t="str">
        <f t="shared" si="10"/>
        <v>De 6 à 9 mois</v>
      </c>
      <c r="J6" s="88">
        <f t="shared" si="11"/>
        <v>258</v>
      </c>
      <c r="K6" s="257">
        <v>41296</v>
      </c>
      <c r="L6" s="258">
        <v>41394</v>
      </c>
      <c r="M6" s="88">
        <f t="shared" si="9"/>
        <v>99</v>
      </c>
      <c r="N6" s="188"/>
      <c r="O6" s="184" t="s">
        <v>70</v>
      </c>
      <c r="P6" s="158" t="s">
        <v>80</v>
      </c>
      <c r="Q6" s="159" t="s">
        <v>124</v>
      </c>
      <c r="R6" s="184" t="s">
        <v>66</v>
      </c>
      <c r="S6" s="186">
        <v>500</v>
      </c>
      <c r="T6" s="186"/>
      <c r="U6" s="186"/>
      <c r="V6" s="43">
        <f>IF(ISBLANK(6)," ",(S6+T6+U6))</f>
        <v>500</v>
      </c>
      <c r="W6" s="184"/>
      <c r="X6" s="194" t="s">
        <v>74</v>
      </c>
      <c r="Y6" s="186">
        <v>1</v>
      </c>
      <c r="Z6" s="25" t="s">
        <v>47</v>
      </c>
      <c r="AA6" s="168" t="str">
        <f t="shared" ref="AA6:AA25" si="16">IF(ISBLANK(A6)," ",IF(J6&gt;730,"7",IF(J6&gt;549,"6",IF(J6&gt;365,"5",IF(J6&gt;275,"4",IF(J6&gt;183,"3",IF(J6&gt;92,"2",IF(J6=0,"0","1"))))))))</f>
        <v>3</v>
      </c>
      <c r="AB6" s="121" t="str">
        <f t="shared" ref="AB6:AB25" si="17">IF(ISBLANK(A6)," ",IF(COUNTIF(K6,"*PAS*"),"0",IF(M6&gt;150,"6",IF(M6&gt;90,"5",IF(M6&gt;45,"4",IF(M6&gt;15,"3",IF(M6&gt;3,"2",IF(M6=0,"0","1"))))))))</f>
        <v>5</v>
      </c>
      <c r="AC6" s="129">
        <f t="shared" si="12"/>
        <v>3</v>
      </c>
      <c r="AD6" s="152">
        <f t="shared" si="13"/>
        <v>5</v>
      </c>
      <c r="AE6" s="162" t="str">
        <f t="shared" si="14"/>
        <v>9</v>
      </c>
      <c r="AF6" s="162" t="str">
        <f t="shared" ref="AF6:AF25" si="18">IF(ISBLANK(A6)," ",IF(Q6="Tête","1",IF(Q6="Tronc","2",IF(Q6="Membre","3",IF(Q6="Pschycologique","4",IF(Q6="Autres","5",))))))</f>
        <v>3</v>
      </c>
      <c r="AG6" s="171">
        <f>IF(ISBLANK(A6)," ",AE6+0)</f>
        <v>9</v>
      </c>
      <c r="AH6" s="129">
        <f>IF(ISBLANK(A6)," ",AF6+0)</f>
        <v>3</v>
      </c>
      <c r="AI6" s="237">
        <f>IF(ISBLANK(A6)," ",IF(Y6=0,"0",MONTH(A6)))</f>
        <v>1</v>
      </c>
      <c r="AJ6" s="36"/>
      <c r="AL6" s="293">
        <f t="shared" ca="1" si="6"/>
        <v>10</v>
      </c>
      <c r="AM6" s="293">
        <f t="shared" ca="1" si="4"/>
        <v>28</v>
      </c>
      <c r="AN6" s="293">
        <f t="shared" ca="1" si="4"/>
        <v>31</v>
      </c>
      <c r="AO6" s="293">
        <f t="shared" ca="1" si="4"/>
        <v>30</v>
      </c>
      <c r="AP6" s="293" t="str">
        <f t="shared" ca="1" si="4"/>
        <v/>
      </c>
      <c r="AQ6" s="293" t="str">
        <f t="shared" ca="1" si="4"/>
        <v/>
      </c>
      <c r="AR6" s="293" t="str">
        <f t="shared" ca="1" si="4"/>
        <v/>
      </c>
      <c r="AS6" s="293" t="str">
        <f t="shared" ca="1" si="4"/>
        <v/>
      </c>
      <c r="AT6" s="293" t="str">
        <f t="shared" ca="1" si="4"/>
        <v/>
      </c>
      <c r="AU6" s="293" t="str">
        <f t="shared" ca="1" si="4"/>
        <v/>
      </c>
      <c r="AV6" s="293" t="str">
        <f t="shared" ca="1" si="4"/>
        <v/>
      </c>
      <c r="AW6" s="293" t="str">
        <f t="shared" ca="1" si="4"/>
        <v/>
      </c>
      <c r="AX6" s="299">
        <f t="shared" ca="1" si="7"/>
        <v>99</v>
      </c>
    </row>
    <row r="7" spans="1:50" ht="30" x14ac:dyDescent="0.25">
      <c r="A7" s="223">
        <v>41302</v>
      </c>
      <c r="B7" s="185"/>
      <c r="C7" s="185"/>
      <c r="D7" s="186" t="s">
        <v>33</v>
      </c>
      <c r="E7" s="88" t="str">
        <f t="shared" si="8"/>
        <v>200</v>
      </c>
      <c r="F7" s="121">
        <f t="shared" si="15"/>
        <v>211</v>
      </c>
      <c r="G7" s="19" t="s">
        <v>110</v>
      </c>
      <c r="H7" s="188">
        <v>41116</v>
      </c>
      <c r="I7" s="88" t="str">
        <f t="shared" si="10"/>
        <v>De 6 à 9 mois</v>
      </c>
      <c r="J7" s="88">
        <f t="shared" si="11"/>
        <v>187</v>
      </c>
      <c r="K7" s="257">
        <v>41303</v>
      </c>
      <c r="L7" s="258">
        <v>41394</v>
      </c>
      <c r="M7" s="88">
        <f t="shared" si="9"/>
        <v>92</v>
      </c>
      <c r="N7" s="188"/>
      <c r="O7" s="184" t="s">
        <v>71</v>
      </c>
      <c r="P7" s="158" t="s">
        <v>35</v>
      </c>
      <c r="Q7" s="18" t="s">
        <v>43</v>
      </c>
      <c r="R7" s="184" t="s">
        <v>67</v>
      </c>
      <c r="S7" s="186">
        <v>200</v>
      </c>
      <c r="T7" s="186"/>
      <c r="U7" s="186"/>
      <c r="V7" s="43">
        <f>IF(ISBLANK(7)," ",(S7+T7+U7))</f>
        <v>200</v>
      </c>
      <c r="W7" s="184"/>
      <c r="X7" s="194" t="s">
        <v>74</v>
      </c>
      <c r="Y7" s="186">
        <v>1</v>
      </c>
      <c r="Z7" s="25" t="s">
        <v>49</v>
      </c>
      <c r="AA7" s="168" t="str">
        <f t="shared" si="16"/>
        <v>3</v>
      </c>
      <c r="AB7" s="121" t="str">
        <f t="shared" si="17"/>
        <v>5</v>
      </c>
      <c r="AC7" s="129">
        <f t="shared" si="12"/>
        <v>3</v>
      </c>
      <c r="AD7" s="148">
        <f t="shared" si="13"/>
        <v>5</v>
      </c>
      <c r="AE7" s="162" t="str">
        <f t="shared" si="14"/>
        <v>11</v>
      </c>
      <c r="AF7" s="162" t="str">
        <f t="shared" si="18"/>
        <v>5</v>
      </c>
      <c r="AG7" s="171">
        <f>IF(ISBLANK(A7)," ",AE7+0)</f>
        <v>11</v>
      </c>
      <c r="AH7" s="129">
        <f>IF(ISBLANK(A7)," ",AF7+0)</f>
        <v>5</v>
      </c>
      <c r="AI7" s="237">
        <f t="shared" ref="AI7:AI25" si="19">IF(ISBLANK(A7)," ",IF(Y7=0,"0",MONTH(A7)))</f>
        <v>1</v>
      </c>
      <c r="AJ7" s="36"/>
      <c r="AL7" s="293">
        <f t="shared" ca="1" si="6"/>
        <v>3</v>
      </c>
      <c r="AM7" s="293">
        <f t="shared" ca="1" si="4"/>
        <v>28</v>
      </c>
      <c r="AN7" s="293">
        <f t="shared" ca="1" si="4"/>
        <v>31</v>
      </c>
      <c r="AO7" s="293">
        <f t="shared" ca="1" si="4"/>
        <v>30</v>
      </c>
      <c r="AP7" s="293" t="str">
        <f t="shared" ca="1" si="4"/>
        <v/>
      </c>
      <c r="AQ7" s="293" t="str">
        <f t="shared" ca="1" si="4"/>
        <v/>
      </c>
      <c r="AR7" s="293" t="str">
        <f t="shared" ca="1" si="4"/>
        <v/>
      </c>
      <c r="AS7" s="293" t="str">
        <f t="shared" ca="1" si="4"/>
        <v/>
      </c>
      <c r="AT7" s="293" t="str">
        <f t="shared" ca="1" si="4"/>
        <v/>
      </c>
      <c r="AU7" s="293" t="str">
        <f t="shared" ca="1" si="4"/>
        <v/>
      </c>
      <c r="AV7" s="293" t="str">
        <f t="shared" ca="1" si="4"/>
        <v/>
      </c>
      <c r="AW7" s="293" t="str">
        <f t="shared" ca="1" si="4"/>
        <v/>
      </c>
      <c r="AX7" s="299">
        <f t="shared" ca="1" si="7"/>
        <v>92</v>
      </c>
    </row>
    <row r="8" spans="1:50" ht="30" x14ac:dyDescent="0.25">
      <c r="A8" s="223">
        <v>41303</v>
      </c>
      <c r="B8" s="185"/>
      <c r="C8" s="185"/>
      <c r="D8" s="186" t="s">
        <v>34</v>
      </c>
      <c r="E8" s="88" t="str">
        <f t="shared" si="8"/>
        <v>100</v>
      </c>
      <c r="F8" s="121">
        <f t="shared" si="15"/>
        <v>102</v>
      </c>
      <c r="G8" s="19" t="s">
        <v>110</v>
      </c>
      <c r="H8" s="188">
        <v>40364</v>
      </c>
      <c r="I8" s="88" t="str">
        <f t="shared" si="10"/>
        <v>+ de 2 ans</v>
      </c>
      <c r="J8" s="88">
        <f t="shared" si="11"/>
        <v>940</v>
      </c>
      <c r="K8" s="257">
        <v>41304</v>
      </c>
      <c r="L8" s="259">
        <v>41307</v>
      </c>
      <c r="M8" s="88">
        <f t="shared" si="9"/>
        <v>4</v>
      </c>
      <c r="N8" s="209">
        <v>41309</v>
      </c>
      <c r="O8" s="184" t="s">
        <v>88</v>
      </c>
      <c r="P8" s="158" t="s">
        <v>21</v>
      </c>
      <c r="Q8" s="18" t="s">
        <v>124</v>
      </c>
      <c r="R8" s="184" t="s">
        <v>75</v>
      </c>
      <c r="S8" s="186">
        <v>300</v>
      </c>
      <c r="T8" s="186"/>
      <c r="U8" s="186"/>
      <c r="V8" s="43">
        <f>IF(ISBLANK(8)," ",(S8+T8+U8))</f>
        <v>300</v>
      </c>
      <c r="W8" s="186"/>
      <c r="X8" s="194" t="s">
        <v>76</v>
      </c>
      <c r="Y8" s="186">
        <v>1</v>
      </c>
      <c r="Z8" s="25" t="s">
        <v>47</v>
      </c>
      <c r="AA8" s="168" t="str">
        <f t="shared" si="16"/>
        <v>7</v>
      </c>
      <c r="AB8" s="121" t="str">
        <f t="shared" si="17"/>
        <v>2</v>
      </c>
      <c r="AC8" s="129">
        <f t="shared" si="12"/>
        <v>7</v>
      </c>
      <c r="AD8" s="148">
        <f t="shared" si="13"/>
        <v>2</v>
      </c>
      <c r="AE8" s="162" t="str">
        <f t="shared" si="14"/>
        <v>2</v>
      </c>
      <c r="AF8" s="162" t="str">
        <f t="shared" si="18"/>
        <v>3</v>
      </c>
      <c r="AG8" s="171">
        <f>IF(ISBLANK(A8)," ",AE8+0)</f>
        <v>2</v>
      </c>
      <c r="AH8" s="129">
        <f>IF(ISBLANK(A8)," ",AF8+0)</f>
        <v>3</v>
      </c>
      <c r="AI8" s="237">
        <f t="shared" si="19"/>
        <v>1</v>
      </c>
      <c r="AJ8" s="36"/>
      <c r="AL8" s="293">
        <f t="shared" ca="1" si="6"/>
        <v>2</v>
      </c>
      <c r="AM8" s="293">
        <f t="shared" ca="1" si="4"/>
        <v>2</v>
      </c>
      <c r="AN8" s="293" t="str">
        <f t="shared" ca="1" si="4"/>
        <v/>
      </c>
      <c r="AO8" s="293" t="str">
        <f t="shared" ca="1" si="4"/>
        <v/>
      </c>
      <c r="AP8" s="293" t="str">
        <f t="shared" ca="1" si="4"/>
        <v/>
      </c>
      <c r="AQ8" s="293" t="str">
        <f t="shared" ca="1" si="4"/>
        <v/>
      </c>
      <c r="AR8" s="293" t="str">
        <f t="shared" ca="1" si="4"/>
        <v/>
      </c>
      <c r="AS8" s="293" t="str">
        <f t="shared" ca="1" si="4"/>
        <v/>
      </c>
      <c r="AT8" s="293" t="str">
        <f t="shared" ca="1" si="4"/>
        <v/>
      </c>
      <c r="AU8" s="293" t="str">
        <f t="shared" ca="1" si="4"/>
        <v/>
      </c>
      <c r="AV8" s="293" t="str">
        <f t="shared" ca="1" si="4"/>
        <v/>
      </c>
      <c r="AW8" s="293" t="str">
        <f t="shared" ca="1" si="4"/>
        <v/>
      </c>
      <c r="AX8" s="299">
        <f t="shared" ca="1" si="7"/>
        <v>4</v>
      </c>
    </row>
    <row r="9" spans="1:50" ht="30" x14ac:dyDescent="0.25">
      <c r="A9" s="223">
        <v>41330</v>
      </c>
      <c r="B9" s="185"/>
      <c r="C9" s="185"/>
      <c r="D9" s="186" t="s">
        <v>34</v>
      </c>
      <c r="E9" s="144" t="str">
        <f t="shared" si="8"/>
        <v>100</v>
      </c>
      <c r="F9" s="121">
        <f t="shared" si="15"/>
        <v>108</v>
      </c>
      <c r="G9" s="19" t="s">
        <v>110</v>
      </c>
      <c r="H9" s="38">
        <v>40347</v>
      </c>
      <c r="I9" s="88" t="str">
        <f t="shared" si="10"/>
        <v>+ de 2 ans</v>
      </c>
      <c r="J9" s="88">
        <f t="shared" si="11"/>
        <v>984</v>
      </c>
      <c r="K9" s="257">
        <v>41331</v>
      </c>
      <c r="L9" s="258">
        <v>41378</v>
      </c>
      <c r="M9" s="88">
        <f t="shared" si="9"/>
        <v>48</v>
      </c>
      <c r="N9" s="188"/>
      <c r="O9" s="184" t="s">
        <v>128</v>
      </c>
      <c r="P9" s="158" t="s">
        <v>77</v>
      </c>
      <c r="Q9" s="18" t="s">
        <v>124</v>
      </c>
      <c r="R9" s="184" t="s">
        <v>129</v>
      </c>
      <c r="S9" s="186">
        <v>400</v>
      </c>
      <c r="T9" s="186">
        <v>10</v>
      </c>
      <c r="U9" s="186"/>
      <c r="V9" s="43">
        <f>IF(ISBLANK(9)," ",(S9+T9+U9))</f>
        <v>410</v>
      </c>
      <c r="W9" s="186"/>
      <c r="X9" s="194" t="s">
        <v>74</v>
      </c>
      <c r="Y9" s="186">
        <v>1</v>
      </c>
      <c r="Z9" s="25" t="s">
        <v>47</v>
      </c>
      <c r="AA9" s="168" t="str">
        <f t="shared" si="16"/>
        <v>7</v>
      </c>
      <c r="AB9" s="121" t="str">
        <f t="shared" si="17"/>
        <v>4</v>
      </c>
      <c r="AC9" s="129">
        <f t="shared" si="12"/>
        <v>7</v>
      </c>
      <c r="AD9" s="148">
        <f t="shared" si="13"/>
        <v>4</v>
      </c>
      <c r="AE9" s="162" t="str">
        <f>IF(ISBLANK(A9)," ",IF(P9="Posture","1",IF(P9="Agression","2",IF(P9="Trajet","3",IF(P9="Chimique","4",IF(P9="Morsure","5",IF(P9="Chute","6",IF(P9="Stress","7",IF(P9="Blessure","8",IF(P9="Activité Physique","9",IF(P9="Manipulation OutilS","10",IF(P9="Divers","11"))))))))))))</f>
        <v>8</v>
      </c>
      <c r="AF9" s="162" t="str">
        <f t="shared" si="18"/>
        <v>3</v>
      </c>
      <c r="AG9" s="171">
        <f t="shared" ref="AG9:AG25" si="20">IF(ISBLANK(A9)," ",AE9+0)</f>
        <v>8</v>
      </c>
      <c r="AH9" s="234">
        <f>IF(ISBLANK(A9)," ",AF9+0)</f>
        <v>3</v>
      </c>
      <c r="AI9" s="237">
        <f t="shared" si="19"/>
        <v>2</v>
      </c>
      <c r="AJ9" s="36"/>
      <c r="AL9" s="293" t="str">
        <f t="shared" ca="1" si="6"/>
        <v/>
      </c>
      <c r="AM9" s="293">
        <f t="shared" ca="1" si="4"/>
        <v>3</v>
      </c>
      <c r="AN9" s="293">
        <f t="shared" ca="1" si="4"/>
        <v>31</v>
      </c>
      <c r="AO9" s="293">
        <f t="shared" ca="1" si="4"/>
        <v>14</v>
      </c>
      <c r="AP9" s="293" t="str">
        <f t="shared" ca="1" si="4"/>
        <v/>
      </c>
      <c r="AQ9" s="293" t="str">
        <f t="shared" ca="1" si="4"/>
        <v/>
      </c>
      <c r="AR9" s="293" t="str">
        <f t="shared" ca="1" si="4"/>
        <v/>
      </c>
      <c r="AS9" s="293" t="str">
        <f t="shared" ca="1" si="4"/>
        <v/>
      </c>
      <c r="AT9" s="293" t="str">
        <f t="shared" ca="1" si="4"/>
        <v/>
      </c>
      <c r="AU9" s="293" t="str">
        <f t="shared" ca="1" si="4"/>
        <v/>
      </c>
      <c r="AV9" s="293" t="str">
        <f t="shared" ca="1" si="4"/>
        <v/>
      </c>
      <c r="AW9" s="293" t="str">
        <f t="shared" ca="1" si="4"/>
        <v/>
      </c>
      <c r="AX9" s="299">
        <f t="shared" ca="1" si="7"/>
        <v>48</v>
      </c>
    </row>
    <row r="10" spans="1:50" ht="30" x14ac:dyDescent="0.25">
      <c r="A10" s="223">
        <v>41333</v>
      </c>
      <c r="B10" s="185"/>
      <c r="C10" s="185"/>
      <c r="D10" s="186" t="s">
        <v>34</v>
      </c>
      <c r="E10" s="144" t="str">
        <f t="shared" si="8"/>
        <v>100</v>
      </c>
      <c r="F10" s="121">
        <f t="shared" si="15"/>
        <v>106</v>
      </c>
      <c r="G10" s="19" t="s">
        <v>110</v>
      </c>
      <c r="H10" s="188">
        <v>41244</v>
      </c>
      <c r="I10" s="88" t="str">
        <f t="shared" si="10"/>
        <v>- de 3 mois</v>
      </c>
      <c r="J10" s="88">
        <f t="shared" si="11"/>
        <v>90</v>
      </c>
      <c r="K10" s="257">
        <v>41334</v>
      </c>
      <c r="L10" s="258">
        <v>41386</v>
      </c>
      <c r="M10" s="88">
        <f t="shared" si="9"/>
        <v>53</v>
      </c>
      <c r="N10" s="188"/>
      <c r="O10" s="184" t="s">
        <v>130</v>
      </c>
      <c r="P10" s="158" t="s">
        <v>78</v>
      </c>
      <c r="Q10" s="18" t="s">
        <v>41</v>
      </c>
      <c r="R10" s="184" t="s">
        <v>131</v>
      </c>
      <c r="S10" s="186">
        <v>200</v>
      </c>
      <c r="T10" s="186"/>
      <c r="U10" s="186">
        <v>8</v>
      </c>
      <c r="V10" s="43">
        <f>IF(ISBLANK(A10)," ",(S10+T10+U10))</f>
        <v>208</v>
      </c>
      <c r="W10" s="186"/>
      <c r="X10" s="194" t="s">
        <v>74</v>
      </c>
      <c r="Y10" s="186">
        <v>1</v>
      </c>
      <c r="Z10" s="25" t="s">
        <v>47</v>
      </c>
      <c r="AA10" s="168" t="str">
        <f t="shared" si="16"/>
        <v>1</v>
      </c>
      <c r="AB10" s="121" t="str">
        <f t="shared" si="17"/>
        <v>4</v>
      </c>
      <c r="AC10" s="129">
        <f t="shared" si="12"/>
        <v>1</v>
      </c>
      <c r="AD10" s="148">
        <f t="shared" si="13"/>
        <v>4</v>
      </c>
      <c r="AE10" s="162" t="str">
        <f t="shared" ref="AE10:AE25" si="21">IF(ISBLANK(A10)," ",IF(P10="Posture","1",IF(P10="Agression","2",IF(P10="Trajet","3",IF(P10="Chimique","4",IF(P10="Morsure","5",IF(P10="Chute","6",IF(P10="Stress","7",IF(P10="Blessure","8",IF(P10="Activité Physique","9",IF(P10="Manipulation OutilS","10",IF(P10="Divers","11"))))))))))))</f>
        <v>6</v>
      </c>
      <c r="AF10" s="162" t="str">
        <f t="shared" si="18"/>
        <v>2</v>
      </c>
      <c r="AG10" s="171">
        <f t="shared" si="20"/>
        <v>6</v>
      </c>
      <c r="AH10" s="129">
        <f t="shared" ref="AH10:AH25" si="22">IF(ISBLANK(A10)," ",AF10+0)</f>
        <v>2</v>
      </c>
      <c r="AI10" s="237">
        <f t="shared" si="19"/>
        <v>2</v>
      </c>
      <c r="AJ10" s="36"/>
      <c r="AL10" s="293" t="str">
        <f t="shared" ca="1" si="6"/>
        <v/>
      </c>
      <c r="AM10" s="293" t="str">
        <f t="shared" ca="1" si="4"/>
        <v/>
      </c>
      <c r="AN10" s="293">
        <f t="shared" ca="1" si="4"/>
        <v>31</v>
      </c>
      <c r="AO10" s="293">
        <f t="shared" ca="1" si="4"/>
        <v>22</v>
      </c>
      <c r="AP10" s="293" t="str">
        <f t="shared" ca="1" si="4"/>
        <v/>
      </c>
      <c r="AQ10" s="293" t="str">
        <f t="shared" ca="1" si="4"/>
        <v/>
      </c>
      <c r="AR10" s="293" t="str">
        <f t="shared" ca="1" si="4"/>
        <v/>
      </c>
      <c r="AS10" s="293" t="str">
        <f t="shared" ca="1" si="4"/>
        <v/>
      </c>
      <c r="AT10" s="293" t="str">
        <f t="shared" ca="1" si="4"/>
        <v/>
      </c>
      <c r="AU10" s="293" t="str">
        <f t="shared" ca="1" si="4"/>
        <v/>
      </c>
      <c r="AV10" s="293" t="str">
        <f t="shared" ca="1" si="4"/>
        <v/>
      </c>
      <c r="AW10" s="293" t="str">
        <f t="shared" ca="1" si="4"/>
        <v/>
      </c>
      <c r="AX10" s="299">
        <f t="shared" ca="1" si="7"/>
        <v>53</v>
      </c>
    </row>
    <row r="11" spans="1:50" ht="30" x14ac:dyDescent="0.25">
      <c r="A11" s="223">
        <v>41337</v>
      </c>
      <c r="B11" s="185"/>
      <c r="C11" s="185"/>
      <c r="D11" s="186" t="s">
        <v>34</v>
      </c>
      <c r="E11" s="144" t="str">
        <f t="shared" si="8"/>
        <v>100</v>
      </c>
      <c r="F11" s="121">
        <f t="shared" si="15"/>
        <v>101</v>
      </c>
      <c r="G11" s="19" t="s">
        <v>110</v>
      </c>
      <c r="H11" s="188">
        <v>41082</v>
      </c>
      <c r="I11" s="88" t="str">
        <f t="shared" si="10"/>
        <v>De 6 à 9 mois</v>
      </c>
      <c r="J11" s="88">
        <f t="shared" si="11"/>
        <v>256</v>
      </c>
      <c r="K11" s="257">
        <v>41338</v>
      </c>
      <c r="L11" s="258">
        <v>41396</v>
      </c>
      <c r="M11" s="88">
        <f t="shared" si="9"/>
        <v>59</v>
      </c>
      <c r="N11" s="188"/>
      <c r="O11" s="184" t="s">
        <v>132</v>
      </c>
      <c r="P11" s="158" t="s">
        <v>20</v>
      </c>
      <c r="Q11" s="18" t="s">
        <v>124</v>
      </c>
      <c r="R11" s="184" t="s">
        <v>38</v>
      </c>
      <c r="S11" s="186">
        <v>300</v>
      </c>
      <c r="T11" s="186">
        <v>90</v>
      </c>
      <c r="U11" s="186"/>
      <c r="V11" s="43">
        <f>IF(ISBLANK(A11)," ",(S11+T11+U11))</f>
        <v>390</v>
      </c>
      <c r="W11" s="186"/>
      <c r="X11" s="194" t="s">
        <v>74</v>
      </c>
      <c r="Y11" s="186">
        <v>1</v>
      </c>
      <c r="Z11" s="25" t="s">
        <v>47</v>
      </c>
      <c r="AA11" s="168" t="str">
        <f t="shared" si="16"/>
        <v>3</v>
      </c>
      <c r="AB11" s="121" t="str">
        <f t="shared" si="17"/>
        <v>4</v>
      </c>
      <c r="AC11" s="129">
        <f t="shared" si="12"/>
        <v>3</v>
      </c>
      <c r="AD11" s="148">
        <f t="shared" si="13"/>
        <v>4</v>
      </c>
      <c r="AE11" s="162" t="str">
        <f t="shared" si="21"/>
        <v>1</v>
      </c>
      <c r="AF11" s="162" t="str">
        <f t="shared" si="18"/>
        <v>3</v>
      </c>
      <c r="AG11" s="171">
        <f t="shared" si="20"/>
        <v>1</v>
      </c>
      <c r="AH11" s="129">
        <f t="shared" si="22"/>
        <v>3</v>
      </c>
      <c r="AI11" s="237">
        <f t="shared" si="19"/>
        <v>3</v>
      </c>
      <c r="AJ11" s="36"/>
      <c r="AL11" s="293" t="str">
        <f t="shared" ca="1" si="6"/>
        <v/>
      </c>
      <c r="AM11" s="293" t="str">
        <f t="shared" ca="1" si="4"/>
        <v/>
      </c>
      <c r="AN11" s="293">
        <f t="shared" ca="1" si="4"/>
        <v>27</v>
      </c>
      <c r="AO11" s="293">
        <f t="shared" ca="1" si="4"/>
        <v>30</v>
      </c>
      <c r="AP11" s="293">
        <f t="shared" ca="1" si="4"/>
        <v>2</v>
      </c>
      <c r="AQ11" s="293" t="str">
        <f t="shared" ca="1" si="4"/>
        <v/>
      </c>
      <c r="AR11" s="293" t="str">
        <f t="shared" ca="1" si="4"/>
        <v/>
      </c>
      <c r="AS11" s="293" t="str">
        <f t="shared" ca="1" si="4"/>
        <v/>
      </c>
      <c r="AT11" s="293" t="str">
        <f t="shared" ca="1" si="4"/>
        <v/>
      </c>
      <c r="AU11" s="293" t="str">
        <f t="shared" ca="1" si="4"/>
        <v/>
      </c>
      <c r="AV11" s="293" t="str">
        <f t="shared" ca="1" si="4"/>
        <v/>
      </c>
      <c r="AW11" s="293" t="str">
        <f t="shared" ca="1" si="4"/>
        <v/>
      </c>
      <c r="AX11" s="299">
        <f t="shared" ca="1" si="7"/>
        <v>59</v>
      </c>
    </row>
    <row r="12" spans="1:50" ht="30" x14ac:dyDescent="0.25">
      <c r="A12" s="223">
        <v>41345</v>
      </c>
      <c r="B12" s="185"/>
      <c r="C12" s="185"/>
      <c r="D12" s="186" t="s">
        <v>34</v>
      </c>
      <c r="E12" s="144" t="str">
        <f t="shared" si="8"/>
        <v>100</v>
      </c>
      <c r="F12" s="121">
        <f t="shared" si="15"/>
        <v>108</v>
      </c>
      <c r="G12" s="19" t="s">
        <v>110</v>
      </c>
      <c r="H12" s="188">
        <v>41121</v>
      </c>
      <c r="I12" s="88" t="str">
        <f t="shared" si="10"/>
        <v>De 6 à 9 mois</v>
      </c>
      <c r="J12" s="88">
        <f t="shared" si="11"/>
        <v>225</v>
      </c>
      <c r="K12" s="257">
        <v>41346</v>
      </c>
      <c r="L12" s="257">
        <v>41350</v>
      </c>
      <c r="M12" s="88">
        <f t="shared" si="9"/>
        <v>5</v>
      </c>
      <c r="N12" s="195">
        <v>41351</v>
      </c>
      <c r="O12" s="184" t="s">
        <v>133</v>
      </c>
      <c r="P12" s="158" t="s">
        <v>77</v>
      </c>
      <c r="Q12" s="18" t="s">
        <v>124</v>
      </c>
      <c r="R12" s="184" t="s">
        <v>134</v>
      </c>
      <c r="S12" s="186">
        <v>200</v>
      </c>
      <c r="T12" s="186"/>
      <c r="U12" s="186">
        <v>5</v>
      </c>
      <c r="V12" s="43">
        <f>IF(ISBLANK(A12)," ",(S12+T12+U12))</f>
        <v>205</v>
      </c>
      <c r="W12" s="186"/>
      <c r="X12" s="194" t="s">
        <v>74</v>
      </c>
      <c r="Y12" s="186">
        <v>1</v>
      </c>
      <c r="Z12" s="25" t="s">
        <v>47</v>
      </c>
      <c r="AA12" s="168" t="str">
        <f t="shared" si="16"/>
        <v>3</v>
      </c>
      <c r="AB12" s="121" t="str">
        <f t="shared" si="17"/>
        <v>2</v>
      </c>
      <c r="AC12" s="129">
        <f t="shared" si="12"/>
        <v>3</v>
      </c>
      <c r="AD12" s="148">
        <f t="shared" si="13"/>
        <v>2</v>
      </c>
      <c r="AE12" s="162" t="str">
        <f t="shared" si="21"/>
        <v>8</v>
      </c>
      <c r="AF12" s="162" t="str">
        <f t="shared" si="18"/>
        <v>3</v>
      </c>
      <c r="AG12" s="171">
        <f t="shared" si="20"/>
        <v>8</v>
      </c>
      <c r="AH12" s="129">
        <f t="shared" si="22"/>
        <v>3</v>
      </c>
      <c r="AI12" s="237">
        <f t="shared" si="19"/>
        <v>3</v>
      </c>
      <c r="AJ12" s="36"/>
      <c r="AL12" s="293" t="str">
        <f t="shared" ca="1" si="6"/>
        <v/>
      </c>
      <c r="AM12" s="293" t="str">
        <f t="shared" ca="1" si="4"/>
        <v/>
      </c>
      <c r="AN12" s="293">
        <f t="shared" ca="1" si="4"/>
        <v>5</v>
      </c>
      <c r="AO12" s="293" t="str">
        <f t="shared" ca="1" si="4"/>
        <v/>
      </c>
      <c r="AP12" s="293" t="str">
        <f t="shared" ca="1" si="4"/>
        <v/>
      </c>
      <c r="AQ12" s="293" t="str">
        <f t="shared" ca="1" si="4"/>
        <v/>
      </c>
      <c r="AR12" s="293" t="str">
        <f t="shared" ca="1" si="4"/>
        <v/>
      </c>
      <c r="AS12" s="293" t="str">
        <f t="shared" ca="1" si="4"/>
        <v/>
      </c>
      <c r="AT12" s="293" t="str">
        <f t="shared" ca="1" si="4"/>
        <v/>
      </c>
      <c r="AU12" s="293" t="str">
        <f t="shared" ca="1" si="4"/>
        <v/>
      </c>
      <c r="AV12" s="293" t="str">
        <f t="shared" ca="1" si="4"/>
        <v/>
      </c>
      <c r="AW12" s="293" t="str">
        <f t="shared" ca="1" si="4"/>
        <v/>
      </c>
      <c r="AX12" s="299">
        <f t="shared" ca="1" si="7"/>
        <v>5</v>
      </c>
    </row>
    <row r="13" spans="1:50" x14ac:dyDescent="0.25">
      <c r="A13" s="228">
        <v>41345</v>
      </c>
      <c r="B13" s="187"/>
      <c r="C13" s="187"/>
      <c r="D13" s="186" t="s">
        <v>33</v>
      </c>
      <c r="E13" s="144" t="str">
        <f t="shared" si="8"/>
        <v>200</v>
      </c>
      <c r="F13" s="121">
        <f t="shared" si="15"/>
        <v>203</v>
      </c>
      <c r="G13" s="19" t="s">
        <v>110</v>
      </c>
      <c r="H13" s="183">
        <v>41341</v>
      </c>
      <c r="I13" s="88" t="str">
        <f t="shared" si="10"/>
        <v>- de 3 mois</v>
      </c>
      <c r="J13" s="88">
        <f t="shared" si="11"/>
        <v>5</v>
      </c>
      <c r="K13" s="257">
        <v>41346</v>
      </c>
      <c r="L13" s="257">
        <v>41347</v>
      </c>
      <c r="M13" s="88">
        <v>9</v>
      </c>
      <c r="N13" s="209">
        <v>41348</v>
      </c>
      <c r="O13" s="186" t="s">
        <v>135</v>
      </c>
      <c r="P13" s="158" t="s">
        <v>2</v>
      </c>
      <c r="Q13" s="18" t="s">
        <v>11</v>
      </c>
      <c r="R13" s="4" t="s">
        <v>136</v>
      </c>
      <c r="S13" s="186">
        <v>600</v>
      </c>
      <c r="T13" s="186">
        <v>30</v>
      </c>
      <c r="U13" s="186"/>
      <c r="V13" s="43">
        <f t="shared" ref="V13:V25" si="23">IF(ISBLANK(A13)," ",(S13+T13+U13))</f>
        <v>630</v>
      </c>
      <c r="W13" s="186"/>
      <c r="X13" s="60" t="s">
        <v>139</v>
      </c>
      <c r="Y13" s="186">
        <v>1</v>
      </c>
      <c r="Z13" s="25" t="s">
        <v>47</v>
      </c>
      <c r="AA13" s="168" t="str">
        <f t="shared" si="16"/>
        <v>1</v>
      </c>
      <c r="AB13" s="121" t="str">
        <f t="shared" si="17"/>
        <v>2</v>
      </c>
      <c r="AC13" s="129">
        <f t="shared" si="12"/>
        <v>1</v>
      </c>
      <c r="AD13" s="148">
        <f t="shared" si="13"/>
        <v>2</v>
      </c>
      <c r="AE13" s="162" t="str">
        <f t="shared" si="21"/>
        <v>3</v>
      </c>
      <c r="AF13" s="162" t="str">
        <f t="shared" si="18"/>
        <v>1</v>
      </c>
      <c r="AG13" s="171">
        <f t="shared" si="20"/>
        <v>3</v>
      </c>
      <c r="AH13" s="129">
        <f t="shared" si="22"/>
        <v>1</v>
      </c>
      <c r="AI13" s="237">
        <f t="shared" si="19"/>
        <v>3</v>
      </c>
      <c r="AJ13" s="36"/>
      <c r="AL13" s="293" t="str">
        <f t="shared" ca="1" si="6"/>
        <v/>
      </c>
      <c r="AM13" s="293" t="str">
        <f t="shared" ca="1" si="4"/>
        <v/>
      </c>
      <c r="AN13" s="293">
        <f t="shared" ca="1" si="4"/>
        <v>2</v>
      </c>
      <c r="AO13" s="293" t="str">
        <f t="shared" ca="1" si="4"/>
        <v/>
      </c>
      <c r="AP13" s="293" t="str">
        <f t="shared" ca="1" si="4"/>
        <v/>
      </c>
      <c r="AQ13" s="293" t="str">
        <f t="shared" ca="1" si="4"/>
        <v/>
      </c>
      <c r="AR13" s="293" t="str">
        <f t="shared" ca="1" si="4"/>
        <v/>
      </c>
      <c r="AS13" s="293" t="str">
        <f t="shared" ca="1" si="4"/>
        <v/>
      </c>
      <c r="AT13" s="293" t="str">
        <f t="shared" ca="1" si="4"/>
        <v/>
      </c>
      <c r="AU13" s="293" t="str">
        <f t="shared" ca="1" si="4"/>
        <v/>
      </c>
      <c r="AV13" s="293" t="str">
        <f t="shared" ca="1" si="4"/>
        <v/>
      </c>
      <c r="AW13" s="293" t="str">
        <f t="shared" ca="1" si="4"/>
        <v/>
      </c>
      <c r="AX13" s="299">
        <f t="shared" ca="1" si="7"/>
        <v>2</v>
      </c>
    </row>
    <row r="14" spans="1:50" x14ac:dyDescent="0.25">
      <c r="A14" s="229">
        <v>41346</v>
      </c>
      <c r="B14" s="196"/>
      <c r="C14" s="196"/>
      <c r="D14" s="197" t="s">
        <v>33</v>
      </c>
      <c r="E14" s="198" t="str">
        <f t="shared" si="8"/>
        <v>200</v>
      </c>
      <c r="F14" s="199">
        <f t="shared" si="15"/>
        <v>200</v>
      </c>
      <c r="G14" s="200" t="s">
        <v>110</v>
      </c>
      <c r="H14" s="208">
        <v>41341</v>
      </c>
      <c r="I14" s="199" t="str">
        <f t="shared" si="10"/>
        <v>- de 3 mois</v>
      </c>
      <c r="J14" s="199">
        <f t="shared" si="11"/>
        <v>6</v>
      </c>
      <c r="K14" s="260">
        <v>41351</v>
      </c>
      <c r="L14" s="260">
        <v>41357</v>
      </c>
      <c r="M14" s="199">
        <v>0</v>
      </c>
      <c r="N14" s="206" t="s">
        <v>139</v>
      </c>
      <c r="O14" s="206"/>
      <c r="P14" s="202"/>
      <c r="Q14" s="197"/>
      <c r="R14" s="201"/>
      <c r="S14" s="197"/>
      <c r="T14" s="197"/>
      <c r="U14" s="197"/>
      <c r="V14" s="197">
        <f t="shared" si="23"/>
        <v>0</v>
      </c>
      <c r="W14" s="201"/>
      <c r="X14" s="245" t="s">
        <v>139</v>
      </c>
      <c r="Y14" s="206">
        <v>0</v>
      </c>
      <c r="Z14" s="249" t="s">
        <v>47</v>
      </c>
      <c r="AA14" s="210">
        <v>0</v>
      </c>
      <c r="AB14" s="199">
        <v>0</v>
      </c>
      <c r="AC14" s="211">
        <f t="shared" si="12"/>
        <v>0</v>
      </c>
      <c r="AD14" s="212">
        <f t="shared" si="13"/>
        <v>0</v>
      </c>
      <c r="AE14" s="213">
        <v>0</v>
      </c>
      <c r="AF14" s="213">
        <f t="shared" si="18"/>
        <v>0</v>
      </c>
      <c r="AG14" s="214">
        <f t="shared" si="20"/>
        <v>0</v>
      </c>
      <c r="AH14" s="211">
        <f t="shared" si="22"/>
        <v>0</v>
      </c>
      <c r="AI14" s="253" t="str">
        <f t="shared" si="19"/>
        <v>0</v>
      </c>
      <c r="AJ14" s="36"/>
      <c r="AL14" s="293" t="str">
        <f t="shared" ca="1" si="6"/>
        <v/>
      </c>
      <c r="AM14" s="293" t="str">
        <f t="shared" ca="1" si="4"/>
        <v/>
      </c>
      <c r="AN14" s="293">
        <f t="shared" ca="1" si="4"/>
        <v>7</v>
      </c>
      <c r="AO14" s="293" t="str">
        <f t="shared" ca="1" si="4"/>
        <v/>
      </c>
      <c r="AP14" s="293" t="str">
        <f t="shared" ca="1" si="4"/>
        <v/>
      </c>
      <c r="AQ14" s="293" t="str">
        <f t="shared" ca="1" si="4"/>
        <v/>
      </c>
      <c r="AR14" s="293" t="str">
        <f t="shared" ca="1" si="4"/>
        <v/>
      </c>
      <c r="AS14" s="293" t="str">
        <f t="shared" ca="1" si="4"/>
        <v/>
      </c>
      <c r="AT14" s="293" t="str">
        <f t="shared" ca="1" si="4"/>
        <v/>
      </c>
      <c r="AU14" s="293" t="str">
        <f t="shared" ca="1" si="4"/>
        <v/>
      </c>
      <c r="AV14" s="293" t="str">
        <f t="shared" ca="1" si="4"/>
        <v/>
      </c>
      <c r="AW14" s="293" t="str">
        <f t="shared" ca="1" si="4"/>
        <v/>
      </c>
      <c r="AX14" s="299">
        <f t="shared" ca="1" si="7"/>
        <v>7</v>
      </c>
    </row>
    <row r="15" spans="1:50" ht="30" x14ac:dyDescent="0.25">
      <c r="A15" s="230">
        <v>41345</v>
      </c>
      <c r="B15" s="189"/>
      <c r="C15" s="189"/>
      <c r="D15" s="207" t="s">
        <v>34</v>
      </c>
      <c r="E15" s="203" t="str">
        <f t="shared" si="8"/>
        <v>100</v>
      </c>
      <c r="F15" s="204">
        <f t="shared" si="15"/>
        <v>106</v>
      </c>
      <c r="G15" s="190" t="s">
        <v>110</v>
      </c>
      <c r="H15" s="192">
        <v>41155</v>
      </c>
      <c r="I15" s="204" t="str">
        <f t="shared" si="10"/>
        <v>De 6 à 9 mois</v>
      </c>
      <c r="J15" s="204">
        <f t="shared" si="11"/>
        <v>191</v>
      </c>
      <c r="K15" s="283" t="s">
        <v>37</v>
      </c>
      <c r="L15" s="284"/>
      <c r="M15" s="204" t="str">
        <f t="shared" si="9"/>
        <v>0</v>
      </c>
      <c r="N15" s="191"/>
      <c r="O15" s="193" t="s">
        <v>137</v>
      </c>
      <c r="P15" s="205" t="s">
        <v>78</v>
      </c>
      <c r="Q15" s="207" t="s">
        <v>124</v>
      </c>
      <c r="R15" s="191" t="s">
        <v>138</v>
      </c>
      <c r="S15" s="207">
        <v>400</v>
      </c>
      <c r="T15" s="207"/>
      <c r="U15" s="207"/>
      <c r="V15" s="207">
        <f t="shared" si="23"/>
        <v>400</v>
      </c>
      <c r="W15" s="191"/>
      <c r="X15" s="246" t="s">
        <v>76</v>
      </c>
      <c r="Y15" s="191">
        <v>0</v>
      </c>
      <c r="Z15" s="250" t="s">
        <v>47</v>
      </c>
      <c r="AA15" s="215" t="str">
        <f t="shared" si="16"/>
        <v>3</v>
      </c>
      <c r="AB15" s="204" t="str">
        <f t="shared" si="17"/>
        <v>0</v>
      </c>
      <c r="AC15" s="216">
        <f t="shared" si="12"/>
        <v>3</v>
      </c>
      <c r="AD15" s="217">
        <f t="shared" si="13"/>
        <v>0</v>
      </c>
      <c r="AE15" s="218" t="str">
        <f t="shared" si="21"/>
        <v>6</v>
      </c>
      <c r="AF15" s="218" t="str">
        <f t="shared" si="18"/>
        <v>3</v>
      </c>
      <c r="AG15" s="219">
        <f t="shared" si="20"/>
        <v>6</v>
      </c>
      <c r="AH15" s="216">
        <f t="shared" si="22"/>
        <v>3</v>
      </c>
      <c r="AI15" s="64" t="str">
        <f>IF(ISBLANK(A15)," ",IF(Y15=0,"0",MONTH(A15)))</f>
        <v>0</v>
      </c>
      <c r="AJ15" s="36"/>
      <c r="AL15" s="293" t="str">
        <f t="shared" ca="1" si="6"/>
        <v/>
      </c>
      <c r="AM15" s="293" t="str">
        <f t="shared" ca="1" si="4"/>
        <v/>
      </c>
      <c r="AN15" s="293" t="str">
        <f t="shared" ca="1" si="4"/>
        <v/>
      </c>
      <c r="AO15" s="293" t="str">
        <f t="shared" ca="1" si="4"/>
        <v/>
      </c>
      <c r="AP15" s="293" t="str">
        <f t="shared" ca="1" si="4"/>
        <v/>
      </c>
      <c r="AQ15" s="293" t="str">
        <f t="shared" ca="1" si="4"/>
        <v/>
      </c>
      <c r="AR15" s="293" t="str">
        <f t="shared" ca="1" si="4"/>
        <v/>
      </c>
      <c r="AS15" s="293" t="str">
        <f t="shared" ca="1" si="4"/>
        <v/>
      </c>
      <c r="AT15" s="293" t="str">
        <f t="shared" ca="1" si="4"/>
        <v/>
      </c>
      <c r="AU15" s="293" t="str">
        <f t="shared" ca="1" si="4"/>
        <v/>
      </c>
      <c r="AV15" s="293" t="str">
        <f t="shared" ca="1" si="4"/>
        <v/>
      </c>
      <c r="AW15" s="293" t="str">
        <f t="shared" ca="1" si="4"/>
        <v/>
      </c>
      <c r="AX15" s="299">
        <f t="shared" ca="1" si="7"/>
        <v>0</v>
      </c>
    </row>
    <row r="16" spans="1:50" x14ac:dyDescent="0.25">
      <c r="A16" s="239"/>
      <c r="B16" s="243"/>
      <c r="C16" s="243"/>
      <c r="D16" s="186"/>
      <c r="E16" s="151"/>
      <c r="F16" s="121" t="str">
        <f t="shared" si="15"/>
        <v xml:space="preserve"> </v>
      </c>
      <c r="G16" s="19"/>
      <c r="H16" s="242"/>
      <c r="I16" s="88" t="str">
        <f t="shared" si="10"/>
        <v xml:space="preserve"> </v>
      </c>
      <c r="J16" s="88" t="str">
        <f t="shared" si="11"/>
        <v xml:space="preserve"> </v>
      </c>
      <c r="K16" s="261"/>
      <c r="L16" s="261"/>
      <c r="M16" s="88" t="str">
        <f t="shared" si="9"/>
        <v xml:space="preserve"> </v>
      </c>
      <c r="N16" s="9"/>
      <c r="O16" s="244"/>
      <c r="P16" s="158"/>
      <c r="Q16" s="18"/>
      <c r="R16" s="242"/>
      <c r="S16" s="186"/>
      <c r="T16" s="186"/>
      <c r="U16" s="186"/>
      <c r="V16" s="43" t="str">
        <f t="shared" si="23"/>
        <v xml:space="preserve"> </v>
      </c>
      <c r="W16" s="242"/>
      <c r="X16" s="247"/>
      <c r="Y16" s="242"/>
      <c r="Z16" s="251"/>
      <c r="AA16" s="168" t="str">
        <f t="shared" si="16"/>
        <v xml:space="preserve"> </v>
      </c>
      <c r="AB16" s="121" t="str">
        <f t="shared" si="17"/>
        <v xml:space="preserve"> </v>
      </c>
      <c r="AC16" s="129" t="str">
        <f t="shared" si="12"/>
        <v xml:space="preserve"> </v>
      </c>
      <c r="AD16" s="148" t="str">
        <f t="shared" si="13"/>
        <v xml:space="preserve"> </v>
      </c>
      <c r="AE16" s="162" t="str">
        <f t="shared" si="21"/>
        <v xml:space="preserve"> </v>
      </c>
      <c r="AF16" s="162" t="str">
        <f t="shared" si="18"/>
        <v xml:space="preserve"> </v>
      </c>
      <c r="AG16" s="171" t="str">
        <f t="shared" si="20"/>
        <v xml:space="preserve"> </v>
      </c>
      <c r="AH16" s="129" t="str">
        <f t="shared" si="22"/>
        <v xml:space="preserve"> </v>
      </c>
      <c r="AI16" s="237" t="str">
        <f t="shared" si="19"/>
        <v xml:space="preserve"> </v>
      </c>
      <c r="AJ16" s="36"/>
      <c r="AL16" s="293" t="str">
        <f t="shared" ca="1" si="6"/>
        <v/>
      </c>
      <c r="AM16" s="293" t="str">
        <f t="shared" ca="1" si="4"/>
        <v/>
      </c>
      <c r="AN16" s="293" t="str">
        <f t="shared" ca="1" si="4"/>
        <v/>
      </c>
      <c r="AO16" s="293" t="str">
        <f t="shared" ca="1" si="4"/>
        <v/>
      </c>
      <c r="AP16" s="293" t="str">
        <f t="shared" ca="1" si="4"/>
        <v/>
      </c>
      <c r="AQ16" s="293" t="str">
        <f t="shared" ca="1" si="4"/>
        <v/>
      </c>
      <c r="AR16" s="293" t="str">
        <f t="shared" ca="1" si="4"/>
        <v/>
      </c>
      <c r="AS16" s="293" t="str">
        <f t="shared" ca="1" si="4"/>
        <v/>
      </c>
      <c r="AT16" s="293" t="str">
        <f t="shared" ca="1" si="4"/>
        <v/>
      </c>
      <c r="AU16" s="293" t="str">
        <f t="shared" ca="1" si="4"/>
        <v/>
      </c>
      <c r="AV16" s="293" t="str">
        <f t="shared" ca="1" si="4"/>
        <v/>
      </c>
      <c r="AW16" s="293" t="str">
        <f t="shared" ca="1" si="4"/>
        <v/>
      </c>
      <c r="AX16" s="299">
        <f t="shared" ca="1" si="7"/>
        <v>0</v>
      </c>
    </row>
    <row r="17" spans="1:50" x14ac:dyDescent="0.25">
      <c r="A17" s="240"/>
      <c r="B17" s="9"/>
      <c r="C17" s="9"/>
      <c r="D17" s="186"/>
      <c r="E17" s="151"/>
      <c r="F17" s="121" t="str">
        <f t="shared" si="15"/>
        <v xml:space="preserve"> </v>
      </c>
      <c r="G17" s="19"/>
      <c r="H17" s="242"/>
      <c r="I17" s="88" t="str">
        <f>IF(ISBLANK(A17)," ",IF(J17&gt;730,"+ de 2 ans",IF(J17&gt;549,"De 18 à 24 mois",IF(J17&gt;365,"+1 an",IF(J17&gt;275,"De 9 à 12 mois",IF(J17&gt;183,"De 6 à 9 mois",IF(J17&gt;92,"De 3 à 6 mois",IF(J17&lt;93,"- de 3 mois"))))))))</f>
        <v xml:space="preserve"> </v>
      </c>
      <c r="J17" s="88" t="str">
        <f t="shared" si="11"/>
        <v xml:space="preserve"> </v>
      </c>
      <c r="K17" s="261"/>
      <c r="L17" s="261"/>
      <c r="M17" s="88" t="str">
        <f>IF(ISBLANK(D17)," ",IF(COUNTIF(K17,"*PAS*"),"0",(L17-K17)+1))</f>
        <v xml:space="preserve"> </v>
      </c>
      <c r="N17" s="9"/>
      <c r="O17" s="244"/>
      <c r="P17" s="158"/>
      <c r="Q17" s="18"/>
      <c r="R17" s="242"/>
      <c r="S17" s="186"/>
      <c r="T17" s="186"/>
      <c r="U17" s="186"/>
      <c r="V17" s="43" t="str">
        <f t="shared" si="23"/>
        <v xml:space="preserve"> </v>
      </c>
      <c r="W17" s="242"/>
      <c r="X17" s="247"/>
      <c r="Y17" s="242"/>
      <c r="Z17" s="251"/>
      <c r="AA17" s="168" t="str">
        <f t="shared" si="16"/>
        <v xml:space="preserve"> </v>
      </c>
      <c r="AB17" s="121" t="str">
        <f t="shared" si="17"/>
        <v xml:space="preserve"> </v>
      </c>
      <c r="AC17" s="129" t="str">
        <f t="shared" si="12"/>
        <v xml:space="preserve"> </v>
      </c>
      <c r="AD17" s="148" t="str">
        <f t="shared" si="13"/>
        <v xml:space="preserve"> </v>
      </c>
      <c r="AE17" s="162" t="str">
        <f t="shared" si="21"/>
        <v xml:space="preserve"> </v>
      </c>
      <c r="AF17" s="162" t="str">
        <f t="shared" si="18"/>
        <v xml:space="preserve"> </v>
      </c>
      <c r="AG17" s="171" t="str">
        <f t="shared" si="20"/>
        <v xml:space="preserve"> </v>
      </c>
      <c r="AH17" s="129" t="str">
        <f t="shared" si="22"/>
        <v xml:space="preserve"> </v>
      </c>
      <c r="AI17" s="237" t="str">
        <f t="shared" si="19"/>
        <v xml:space="preserve"> </v>
      </c>
      <c r="AJ17" s="36"/>
      <c r="AK17" s="10" t="str">
        <f>IF(ISBLANK(A17)," ",MONTH(A17))</f>
        <v xml:space="preserve"> </v>
      </c>
      <c r="AL17" s="293" t="str">
        <f t="shared" ca="1" si="6"/>
        <v/>
      </c>
      <c r="AM17" s="293" t="str">
        <f t="shared" ca="1" si="4"/>
        <v/>
      </c>
      <c r="AN17" s="293" t="str">
        <f t="shared" ca="1" si="4"/>
        <v/>
      </c>
      <c r="AO17" s="293" t="str">
        <f t="shared" ca="1" si="4"/>
        <v/>
      </c>
      <c r="AP17" s="293" t="str">
        <f t="shared" ca="1" si="4"/>
        <v/>
      </c>
      <c r="AQ17" s="293" t="str">
        <f t="shared" ca="1" si="4"/>
        <v/>
      </c>
      <c r="AR17" s="293" t="str">
        <f t="shared" ca="1" si="4"/>
        <v/>
      </c>
      <c r="AS17" s="293" t="str">
        <f t="shared" ca="1" si="4"/>
        <v/>
      </c>
      <c r="AT17" s="293" t="str">
        <f t="shared" ca="1" si="4"/>
        <v/>
      </c>
      <c r="AU17" s="293" t="str">
        <f t="shared" ca="1" si="4"/>
        <v/>
      </c>
      <c r="AV17" s="293" t="str">
        <f t="shared" ca="1" si="4"/>
        <v/>
      </c>
      <c r="AW17" s="293" t="str">
        <f t="shared" ca="1" si="4"/>
        <v/>
      </c>
      <c r="AX17" s="299">
        <f t="shared" ca="1" si="7"/>
        <v>0</v>
      </c>
    </row>
    <row r="18" spans="1:50" x14ac:dyDescent="0.25">
      <c r="A18" s="240"/>
      <c r="B18" s="9"/>
      <c r="C18" s="9"/>
      <c r="D18" s="186"/>
      <c r="E18" s="151"/>
      <c r="F18" s="121" t="str">
        <f t="shared" si="15"/>
        <v xml:space="preserve"> </v>
      </c>
      <c r="G18" s="19"/>
      <c r="H18" s="242"/>
      <c r="I18" s="88" t="str">
        <f t="shared" si="10"/>
        <v xml:space="preserve"> </v>
      </c>
      <c r="J18" s="88" t="str">
        <f t="shared" si="11"/>
        <v xml:space="preserve"> </v>
      </c>
      <c r="K18" s="261"/>
      <c r="L18" s="261"/>
      <c r="M18" s="88" t="str">
        <f t="shared" si="9"/>
        <v xml:space="preserve"> </v>
      </c>
      <c r="N18" s="9"/>
      <c r="O18" s="244"/>
      <c r="P18" s="158"/>
      <c r="Q18" s="18"/>
      <c r="R18" s="242"/>
      <c r="S18" s="186"/>
      <c r="T18" s="186"/>
      <c r="U18" s="186"/>
      <c r="V18" s="43" t="str">
        <f t="shared" si="23"/>
        <v xml:space="preserve"> </v>
      </c>
      <c r="W18" s="242"/>
      <c r="X18" s="247"/>
      <c r="Y18" s="242"/>
      <c r="Z18" s="251"/>
      <c r="AA18" s="168" t="str">
        <f t="shared" si="16"/>
        <v xml:space="preserve"> </v>
      </c>
      <c r="AB18" s="121" t="str">
        <f t="shared" si="17"/>
        <v xml:space="preserve"> </v>
      </c>
      <c r="AC18" s="129" t="str">
        <f t="shared" si="12"/>
        <v xml:space="preserve"> </v>
      </c>
      <c r="AD18" s="148" t="str">
        <f t="shared" si="13"/>
        <v xml:space="preserve"> </v>
      </c>
      <c r="AE18" s="162" t="str">
        <f t="shared" si="21"/>
        <v xml:space="preserve"> </v>
      </c>
      <c r="AF18" s="162" t="str">
        <f t="shared" si="18"/>
        <v xml:space="preserve"> </v>
      </c>
      <c r="AG18" s="171" t="str">
        <f t="shared" si="20"/>
        <v xml:space="preserve"> </v>
      </c>
      <c r="AH18" s="129" t="str">
        <f t="shared" si="22"/>
        <v xml:space="preserve"> </v>
      </c>
      <c r="AI18" s="237" t="str">
        <f t="shared" si="19"/>
        <v xml:space="preserve"> </v>
      </c>
      <c r="AJ18" s="36"/>
      <c r="AL18" s="293" t="str">
        <f t="shared" ca="1" si="6"/>
        <v/>
      </c>
      <c r="AM18" s="293" t="str">
        <f t="shared" ca="1" si="6"/>
        <v/>
      </c>
      <c r="AN18" s="293" t="str">
        <f t="shared" ca="1" si="6"/>
        <v/>
      </c>
      <c r="AO18" s="293" t="str">
        <f t="shared" ca="1" si="6"/>
        <v/>
      </c>
      <c r="AP18" s="293" t="str">
        <f t="shared" ca="1" si="6"/>
        <v/>
      </c>
      <c r="AQ18" s="293" t="str">
        <f t="shared" ca="1" si="6"/>
        <v/>
      </c>
      <c r="AR18" s="293" t="str">
        <f t="shared" ca="1" si="6"/>
        <v/>
      </c>
      <c r="AS18" s="293" t="str">
        <f t="shared" ca="1" si="6"/>
        <v/>
      </c>
      <c r="AT18" s="293" t="str">
        <f t="shared" ca="1" si="6"/>
        <v/>
      </c>
      <c r="AU18" s="293" t="str">
        <f t="shared" ca="1" si="6"/>
        <v/>
      </c>
      <c r="AV18" s="293" t="str">
        <f t="shared" ca="1" si="6"/>
        <v/>
      </c>
      <c r="AW18" s="293" t="str">
        <f t="shared" ca="1" si="6"/>
        <v/>
      </c>
      <c r="AX18" s="299">
        <f t="shared" ca="1" si="7"/>
        <v>0</v>
      </c>
    </row>
    <row r="19" spans="1:50" x14ac:dyDescent="0.25">
      <c r="A19" s="240"/>
      <c r="B19" s="9"/>
      <c r="C19" s="9"/>
      <c r="D19" s="186"/>
      <c r="E19" s="151"/>
      <c r="F19" s="121" t="str">
        <f t="shared" si="15"/>
        <v xml:space="preserve"> </v>
      </c>
      <c r="G19" s="19"/>
      <c r="H19" s="242"/>
      <c r="I19" s="88" t="str">
        <f t="shared" si="10"/>
        <v xml:space="preserve"> </v>
      </c>
      <c r="J19" s="88" t="str">
        <f t="shared" si="11"/>
        <v xml:space="preserve"> </v>
      </c>
      <c r="K19" s="261"/>
      <c r="L19" s="261"/>
      <c r="M19" s="88" t="str">
        <f t="shared" si="9"/>
        <v xml:space="preserve"> </v>
      </c>
      <c r="N19" s="9"/>
      <c r="O19" s="244"/>
      <c r="P19" s="158"/>
      <c r="Q19" s="18"/>
      <c r="R19" s="242"/>
      <c r="S19" s="186"/>
      <c r="T19" s="186"/>
      <c r="U19" s="186"/>
      <c r="V19" s="43" t="str">
        <f t="shared" si="23"/>
        <v xml:space="preserve"> </v>
      </c>
      <c r="W19" s="242"/>
      <c r="X19" s="247"/>
      <c r="Y19" s="242"/>
      <c r="Z19" s="251"/>
      <c r="AA19" s="168" t="str">
        <f t="shared" si="16"/>
        <v xml:space="preserve"> </v>
      </c>
      <c r="AB19" s="121" t="str">
        <f t="shared" si="17"/>
        <v xml:space="preserve"> </v>
      </c>
      <c r="AC19" s="129" t="str">
        <f t="shared" si="12"/>
        <v xml:space="preserve"> </v>
      </c>
      <c r="AD19" s="148" t="str">
        <f t="shared" si="13"/>
        <v xml:space="preserve"> </v>
      </c>
      <c r="AE19" s="162" t="str">
        <f t="shared" si="21"/>
        <v xml:space="preserve"> </v>
      </c>
      <c r="AF19" s="162" t="str">
        <f t="shared" si="18"/>
        <v xml:space="preserve"> </v>
      </c>
      <c r="AG19" s="171" t="str">
        <f t="shared" si="20"/>
        <v xml:space="preserve"> </v>
      </c>
      <c r="AH19" s="129" t="str">
        <f t="shared" si="22"/>
        <v xml:space="preserve"> </v>
      </c>
      <c r="AI19" s="237" t="str">
        <f t="shared" si="19"/>
        <v xml:space="preserve"> </v>
      </c>
      <c r="AJ19" s="36"/>
      <c r="AL19" s="293" t="str">
        <f t="shared" ca="1" si="6"/>
        <v/>
      </c>
      <c r="AM19" s="293" t="str">
        <f t="shared" ca="1" si="6"/>
        <v/>
      </c>
      <c r="AN19" s="293" t="str">
        <f t="shared" ca="1" si="6"/>
        <v/>
      </c>
      <c r="AO19" s="293" t="str">
        <f t="shared" ca="1" si="6"/>
        <v/>
      </c>
      <c r="AP19" s="293" t="str">
        <f t="shared" ca="1" si="6"/>
        <v/>
      </c>
      <c r="AQ19" s="293" t="str">
        <f t="shared" ca="1" si="6"/>
        <v/>
      </c>
      <c r="AR19" s="293" t="str">
        <f t="shared" ca="1" si="6"/>
        <v/>
      </c>
      <c r="AS19" s="293" t="str">
        <f t="shared" ca="1" si="6"/>
        <v/>
      </c>
      <c r="AT19" s="293" t="str">
        <f t="shared" ca="1" si="6"/>
        <v/>
      </c>
      <c r="AU19" s="293" t="str">
        <f t="shared" ca="1" si="6"/>
        <v/>
      </c>
      <c r="AV19" s="293" t="str">
        <f t="shared" ca="1" si="6"/>
        <v/>
      </c>
      <c r="AW19" s="293" t="str">
        <f t="shared" ca="1" si="6"/>
        <v/>
      </c>
      <c r="AX19" s="299">
        <f t="shared" ca="1" si="7"/>
        <v>0</v>
      </c>
    </row>
    <row r="20" spans="1:50" x14ac:dyDescent="0.25">
      <c r="A20" s="240"/>
      <c r="B20" s="9"/>
      <c r="C20" s="9"/>
      <c r="D20" s="186"/>
      <c r="E20" s="151"/>
      <c r="F20" s="121" t="str">
        <f t="shared" si="15"/>
        <v xml:space="preserve"> </v>
      </c>
      <c r="G20" s="19"/>
      <c r="H20" s="242"/>
      <c r="I20" s="88" t="str">
        <f t="shared" si="10"/>
        <v xml:space="preserve"> </v>
      </c>
      <c r="J20" s="88" t="str">
        <f t="shared" si="11"/>
        <v xml:space="preserve"> </v>
      </c>
      <c r="K20" s="261"/>
      <c r="L20" s="261"/>
      <c r="M20" s="88" t="str">
        <f t="shared" si="9"/>
        <v xml:space="preserve"> </v>
      </c>
      <c r="N20" s="9"/>
      <c r="O20" s="244"/>
      <c r="P20" s="158"/>
      <c r="Q20" s="18"/>
      <c r="R20" s="242"/>
      <c r="S20" s="186"/>
      <c r="T20" s="186"/>
      <c r="U20" s="186"/>
      <c r="V20" s="43" t="str">
        <f t="shared" si="23"/>
        <v xml:space="preserve"> </v>
      </c>
      <c r="W20" s="242"/>
      <c r="X20" s="247"/>
      <c r="Y20" s="242"/>
      <c r="Z20" s="251"/>
      <c r="AA20" s="168" t="str">
        <f t="shared" si="16"/>
        <v xml:space="preserve"> </v>
      </c>
      <c r="AB20" s="121" t="str">
        <f t="shared" si="17"/>
        <v xml:space="preserve"> </v>
      </c>
      <c r="AC20" s="129" t="str">
        <f t="shared" si="12"/>
        <v xml:space="preserve"> </v>
      </c>
      <c r="AD20" s="148" t="str">
        <f t="shared" si="13"/>
        <v xml:space="preserve"> </v>
      </c>
      <c r="AE20" s="162" t="str">
        <f t="shared" si="21"/>
        <v xml:space="preserve"> </v>
      </c>
      <c r="AF20" s="162" t="str">
        <f t="shared" si="18"/>
        <v xml:space="preserve"> </v>
      </c>
      <c r="AG20" s="171" t="str">
        <f t="shared" si="20"/>
        <v xml:space="preserve"> </v>
      </c>
      <c r="AH20" s="129" t="str">
        <f t="shared" si="22"/>
        <v xml:space="preserve"> </v>
      </c>
      <c r="AI20" s="237" t="str">
        <f t="shared" si="19"/>
        <v xml:space="preserve"> </v>
      </c>
      <c r="AJ20" s="36"/>
      <c r="AL20" s="293" t="str">
        <f t="shared" ca="1" si="6"/>
        <v/>
      </c>
      <c r="AM20" s="293" t="str">
        <f t="shared" ca="1" si="6"/>
        <v/>
      </c>
      <c r="AN20" s="293" t="str">
        <f t="shared" ca="1" si="6"/>
        <v/>
      </c>
      <c r="AO20" s="293" t="str">
        <f t="shared" ca="1" si="6"/>
        <v/>
      </c>
      <c r="AP20" s="293" t="str">
        <f t="shared" ca="1" si="6"/>
        <v/>
      </c>
      <c r="AQ20" s="293" t="str">
        <f t="shared" ca="1" si="6"/>
        <v/>
      </c>
      <c r="AR20" s="293" t="str">
        <f t="shared" ca="1" si="6"/>
        <v/>
      </c>
      <c r="AS20" s="293" t="str">
        <f t="shared" ca="1" si="6"/>
        <v/>
      </c>
      <c r="AT20" s="293" t="str">
        <f t="shared" ca="1" si="6"/>
        <v/>
      </c>
      <c r="AU20" s="293" t="str">
        <f t="shared" ca="1" si="6"/>
        <v/>
      </c>
      <c r="AV20" s="293" t="str">
        <f t="shared" ca="1" si="6"/>
        <v/>
      </c>
      <c r="AW20" s="293" t="str">
        <f t="shared" ca="1" si="6"/>
        <v/>
      </c>
      <c r="AX20" s="299">
        <f t="shared" ca="1" si="7"/>
        <v>0</v>
      </c>
    </row>
    <row r="21" spans="1:50" x14ac:dyDescent="0.25">
      <c r="A21" s="240"/>
      <c r="B21" s="9"/>
      <c r="C21" s="9"/>
      <c r="D21" s="186"/>
      <c r="E21" s="151"/>
      <c r="F21" s="121" t="str">
        <f t="shared" si="15"/>
        <v xml:space="preserve"> </v>
      </c>
      <c r="G21" s="19"/>
      <c r="H21" s="242"/>
      <c r="I21" s="88" t="str">
        <f t="shared" si="10"/>
        <v xml:space="preserve"> </v>
      </c>
      <c r="J21" s="88" t="str">
        <f t="shared" si="11"/>
        <v xml:space="preserve"> </v>
      </c>
      <c r="K21" s="261"/>
      <c r="L21" s="261"/>
      <c r="M21" s="88" t="str">
        <f t="shared" si="9"/>
        <v xml:space="preserve"> </v>
      </c>
      <c r="N21" s="9"/>
      <c r="O21" s="244"/>
      <c r="P21" s="158"/>
      <c r="Q21" s="18"/>
      <c r="R21" s="242"/>
      <c r="S21" s="186"/>
      <c r="T21" s="186"/>
      <c r="U21" s="186"/>
      <c r="V21" s="43" t="str">
        <f t="shared" si="23"/>
        <v xml:space="preserve"> </v>
      </c>
      <c r="W21" s="242"/>
      <c r="X21" s="247"/>
      <c r="Y21" s="242"/>
      <c r="Z21" s="251"/>
      <c r="AA21" s="168" t="str">
        <f t="shared" si="16"/>
        <v xml:space="preserve"> </v>
      </c>
      <c r="AB21" s="121" t="str">
        <f t="shared" si="17"/>
        <v xml:space="preserve"> </v>
      </c>
      <c r="AC21" s="129" t="str">
        <f t="shared" si="12"/>
        <v xml:space="preserve"> </v>
      </c>
      <c r="AD21" s="148" t="str">
        <f t="shared" si="13"/>
        <v xml:space="preserve"> </v>
      </c>
      <c r="AE21" s="162" t="str">
        <f t="shared" si="21"/>
        <v xml:space="preserve"> </v>
      </c>
      <c r="AF21" s="162" t="str">
        <f t="shared" si="18"/>
        <v xml:space="preserve"> </v>
      </c>
      <c r="AG21" s="171" t="str">
        <f t="shared" si="20"/>
        <v xml:space="preserve"> </v>
      </c>
      <c r="AH21" s="129" t="str">
        <f t="shared" si="22"/>
        <v xml:space="preserve"> </v>
      </c>
      <c r="AI21" s="237" t="str">
        <f t="shared" si="19"/>
        <v xml:space="preserve"> </v>
      </c>
      <c r="AJ21" s="36"/>
      <c r="AL21" s="293" t="str">
        <f t="shared" ca="1" si="6"/>
        <v/>
      </c>
      <c r="AM21" s="293" t="str">
        <f t="shared" ca="1" si="6"/>
        <v/>
      </c>
      <c r="AN21" s="293" t="str">
        <f t="shared" ca="1" si="6"/>
        <v/>
      </c>
      <c r="AO21" s="293" t="str">
        <f t="shared" ca="1" si="6"/>
        <v/>
      </c>
      <c r="AP21" s="293" t="str">
        <f t="shared" ca="1" si="6"/>
        <v/>
      </c>
      <c r="AQ21" s="293" t="str">
        <f t="shared" ca="1" si="6"/>
        <v/>
      </c>
      <c r="AR21" s="293" t="str">
        <f t="shared" ca="1" si="6"/>
        <v/>
      </c>
      <c r="AS21" s="293" t="str">
        <f t="shared" ca="1" si="6"/>
        <v/>
      </c>
      <c r="AT21" s="293" t="str">
        <f t="shared" ca="1" si="6"/>
        <v/>
      </c>
      <c r="AU21" s="293" t="str">
        <f t="shared" ca="1" si="6"/>
        <v/>
      </c>
      <c r="AV21" s="293" t="str">
        <f t="shared" ca="1" si="6"/>
        <v/>
      </c>
      <c r="AW21" s="293" t="str">
        <f t="shared" ca="1" si="6"/>
        <v/>
      </c>
      <c r="AX21" s="299">
        <f t="shared" ca="1" si="7"/>
        <v>0</v>
      </c>
    </row>
    <row r="22" spans="1:50" x14ac:dyDescent="0.25">
      <c r="A22" s="240"/>
      <c r="B22" s="9"/>
      <c r="C22" s="9"/>
      <c r="D22" s="186"/>
      <c r="E22" s="151"/>
      <c r="F22" s="121" t="str">
        <f t="shared" si="15"/>
        <v xml:space="preserve"> </v>
      </c>
      <c r="G22" s="19"/>
      <c r="H22" s="242"/>
      <c r="I22" s="88" t="str">
        <f t="shared" si="10"/>
        <v xml:space="preserve"> </v>
      </c>
      <c r="J22" s="88" t="str">
        <f t="shared" si="11"/>
        <v xml:space="preserve"> </v>
      </c>
      <c r="K22" s="295">
        <v>41305</v>
      </c>
      <c r="L22" s="296"/>
      <c r="M22" s="88" t="str">
        <f t="shared" si="9"/>
        <v xml:space="preserve"> </v>
      </c>
      <c r="N22" s="9"/>
      <c r="O22" s="244"/>
      <c r="P22" s="158"/>
      <c r="Q22" s="18"/>
      <c r="R22" s="242"/>
      <c r="S22" s="186"/>
      <c r="T22" s="186"/>
      <c r="U22" s="186"/>
      <c r="V22" s="43" t="str">
        <f t="shared" si="23"/>
        <v xml:space="preserve"> </v>
      </c>
      <c r="W22" s="242"/>
      <c r="X22" s="247"/>
      <c r="Y22" s="242"/>
      <c r="Z22" s="251"/>
      <c r="AA22" s="168" t="str">
        <f t="shared" si="16"/>
        <v xml:space="preserve"> </v>
      </c>
      <c r="AB22" s="121" t="str">
        <f t="shared" si="17"/>
        <v xml:space="preserve"> </v>
      </c>
      <c r="AC22" s="129" t="str">
        <f t="shared" si="12"/>
        <v xml:space="preserve"> </v>
      </c>
      <c r="AD22" s="148" t="str">
        <f t="shared" si="13"/>
        <v xml:space="preserve"> </v>
      </c>
      <c r="AE22" s="162" t="str">
        <f t="shared" si="21"/>
        <v xml:space="preserve"> </v>
      </c>
      <c r="AF22" s="162" t="str">
        <f t="shared" si="18"/>
        <v xml:space="preserve"> </v>
      </c>
      <c r="AG22" s="171" t="str">
        <f t="shared" si="20"/>
        <v xml:space="preserve"> </v>
      </c>
      <c r="AH22" s="129" t="str">
        <f t="shared" si="22"/>
        <v xml:space="preserve"> </v>
      </c>
      <c r="AI22" s="237" t="str">
        <f t="shared" si="19"/>
        <v xml:space="preserve"> </v>
      </c>
      <c r="AJ22" s="36"/>
      <c r="AL22" s="293">
        <f t="shared" ca="1" si="6"/>
        <v>1</v>
      </c>
      <c r="AM22" s="293">
        <f t="shared" ca="1" si="6"/>
        <v>28</v>
      </c>
      <c r="AN22" s="293">
        <f t="shared" ca="1" si="6"/>
        <v>31</v>
      </c>
      <c r="AO22" s="293">
        <f t="shared" ca="1" si="6"/>
        <v>30</v>
      </c>
      <c r="AP22" s="293">
        <f t="shared" ca="1" si="6"/>
        <v>7</v>
      </c>
      <c r="AQ22" s="293" t="str">
        <f t="shared" ca="1" si="6"/>
        <v/>
      </c>
      <c r="AR22" s="293" t="str">
        <f t="shared" ca="1" si="6"/>
        <v/>
      </c>
      <c r="AS22" s="293" t="str">
        <f t="shared" ca="1" si="6"/>
        <v/>
      </c>
      <c r="AT22" s="293" t="str">
        <f t="shared" ca="1" si="6"/>
        <v/>
      </c>
      <c r="AU22" s="293" t="str">
        <f t="shared" ca="1" si="6"/>
        <v/>
      </c>
      <c r="AV22" s="293" t="str">
        <f t="shared" ca="1" si="6"/>
        <v/>
      </c>
      <c r="AW22" s="293" t="str">
        <f t="shared" ca="1" si="6"/>
        <v/>
      </c>
      <c r="AX22" s="299">
        <f t="shared" ca="1" si="7"/>
        <v>97</v>
      </c>
    </row>
    <row r="23" spans="1:50" x14ac:dyDescent="0.25">
      <c r="A23" s="240"/>
      <c r="B23" s="9"/>
      <c r="C23" s="9"/>
      <c r="D23" s="186"/>
      <c r="E23" s="151"/>
      <c r="F23" s="121" t="str">
        <f t="shared" si="15"/>
        <v xml:space="preserve"> </v>
      </c>
      <c r="G23" s="19"/>
      <c r="H23" s="242"/>
      <c r="I23" s="88" t="str">
        <f t="shared" si="10"/>
        <v xml:space="preserve"> </v>
      </c>
      <c r="J23" s="88" t="str">
        <f t="shared" si="11"/>
        <v xml:space="preserve"> </v>
      </c>
      <c r="K23" s="295">
        <v>41397</v>
      </c>
      <c r="L23" s="296"/>
      <c r="M23" s="88" t="str">
        <f t="shared" si="9"/>
        <v xml:space="preserve"> </v>
      </c>
      <c r="N23" s="9"/>
      <c r="O23" s="244"/>
      <c r="P23" s="158"/>
      <c r="Q23" s="18"/>
      <c r="R23" s="242"/>
      <c r="S23" s="186"/>
      <c r="T23" s="186"/>
      <c r="U23" s="186"/>
      <c r="V23" s="43" t="str">
        <f t="shared" si="23"/>
        <v xml:space="preserve"> </v>
      </c>
      <c r="W23" s="242"/>
      <c r="X23" s="247"/>
      <c r="Y23" s="242"/>
      <c r="Z23" s="251"/>
      <c r="AA23" s="168" t="str">
        <f t="shared" si="16"/>
        <v xml:space="preserve"> </v>
      </c>
      <c r="AB23" s="121" t="str">
        <f t="shared" si="17"/>
        <v xml:space="preserve"> </v>
      </c>
      <c r="AC23" s="129" t="str">
        <f t="shared" si="12"/>
        <v xml:space="preserve"> </v>
      </c>
      <c r="AD23" s="148" t="str">
        <f t="shared" si="13"/>
        <v xml:space="preserve"> </v>
      </c>
      <c r="AE23" s="162" t="str">
        <f t="shared" si="21"/>
        <v xml:space="preserve"> </v>
      </c>
      <c r="AF23" s="162" t="str">
        <f t="shared" si="18"/>
        <v xml:space="preserve"> </v>
      </c>
      <c r="AG23" s="171" t="str">
        <f t="shared" si="20"/>
        <v xml:space="preserve"> </v>
      </c>
      <c r="AH23" s="129" t="str">
        <f t="shared" si="22"/>
        <v xml:space="preserve"> </v>
      </c>
      <c r="AI23" s="237" t="str">
        <f t="shared" si="19"/>
        <v xml:space="preserve"> </v>
      </c>
      <c r="AJ23" s="36"/>
      <c r="AL23" s="293" t="str">
        <f t="shared" ca="1" si="6"/>
        <v/>
      </c>
      <c r="AM23" s="293" t="str">
        <f t="shared" ca="1" si="6"/>
        <v/>
      </c>
      <c r="AN23" s="293" t="str">
        <f t="shared" ca="1" si="6"/>
        <v/>
      </c>
      <c r="AO23" s="293" t="str">
        <f t="shared" ca="1" si="6"/>
        <v/>
      </c>
      <c r="AP23" s="293">
        <f t="shared" ca="1" si="6"/>
        <v>5</v>
      </c>
      <c r="AQ23" s="293" t="str">
        <f t="shared" ca="1" si="6"/>
        <v/>
      </c>
      <c r="AR23" s="293" t="str">
        <f t="shared" ca="1" si="6"/>
        <v/>
      </c>
      <c r="AS23" s="293" t="str">
        <f t="shared" ca="1" si="6"/>
        <v/>
      </c>
      <c r="AT23" s="293" t="str">
        <f t="shared" ca="1" si="6"/>
        <v/>
      </c>
      <c r="AU23" s="293" t="str">
        <f t="shared" ca="1" si="6"/>
        <v/>
      </c>
      <c r="AV23" s="293" t="str">
        <f t="shared" ca="1" si="6"/>
        <v/>
      </c>
      <c r="AW23" s="293" t="str">
        <f t="shared" ca="1" si="6"/>
        <v/>
      </c>
      <c r="AX23" s="299">
        <f t="shared" ca="1" si="7"/>
        <v>5</v>
      </c>
    </row>
    <row r="24" spans="1:50" x14ac:dyDescent="0.25">
      <c r="A24" s="240"/>
      <c r="B24" s="9"/>
      <c r="C24" s="9"/>
      <c r="D24" s="186"/>
      <c r="E24" s="151"/>
      <c r="F24" s="121" t="str">
        <f t="shared" si="15"/>
        <v xml:space="preserve"> </v>
      </c>
      <c r="G24" s="19"/>
      <c r="H24" s="242"/>
      <c r="I24" s="88" t="str">
        <f t="shared" si="10"/>
        <v xml:space="preserve"> </v>
      </c>
      <c r="J24" s="88" t="str">
        <f t="shared" si="11"/>
        <v xml:space="preserve"> </v>
      </c>
      <c r="K24" s="295">
        <v>40544</v>
      </c>
      <c r="L24" s="295">
        <v>40908</v>
      </c>
      <c r="M24" s="88" t="str">
        <f t="shared" si="9"/>
        <v xml:space="preserve"> </v>
      </c>
      <c r="N24" s="9"/>
      <c r="O24" s="244"/>
      <c r="P24" s="158"/>
      <c r="Q24" s="18"/>
      <c r="R24" s="242"/>
      <c r="S24" s="186"/>
      <c r="T24" s="186"/>
      <c r="U24" s="186"/>
      <c r="V24" s="43" t="str">
        <f t="shared" si="23"/>
        <v xml:space="preserve"> </v>
      </c>
      <c r="W24" s="242"/>
      <c r="X24" s="247"/>
      <c r="Y24" s="242"/>
      <c r="Z24" s="251"/>
      <c r="AA24" s="168" t="str">
        <f t="shared" si="16"/>
        <v xml:space="preserve"> </v>
      </c>
      <c r="AB24" s="121" t="str">
        <f t="shared" si="17"/>
        <v xml:space="preserve"> </v>
      </c>
      <c r="AC24" s="129" t="str">
        <f t="shared" si="12"/>
        <v xml:space="preserve"> </v>
      </c>
      <c r="AD24" s="148" t="str">
        <f t="shared" si="13"/>
        <v xml:space="preserve"> </v>
      </c>
      <c r="AE24" s="162" t="str">
        <f t="shared" si="21"/>
        <v xml:space="preserve"> </v>
      </c>
      <c r="AF24" s="162" t="str">
        <f t="shared" si="18"/>
        <v xml:space="preserve"> </v>
      </c>
      <c r="AG24" s="171" t="str">
        <f t="shared" si="20"/>
        <v xml:space="preserve"> </v>
      </c>
      <c r="AH24" s="234" t="str">
        <f t="shared" si="22"/>
        <v xml:space="preserve"> </v>
      </c>
      <c r="AI24" s="237" t="str">
        <f t="shared" si="19"/>
        <v xml:space="preserve"> </v>
      </c>
      <c r="AJ24" s="36"/>
      <c r="AL24" s="293">
        <f t="shared" ca="1" si="6"/>
        <v>31</v>
      </c>
      <c r="AM24" s="293">
        <f t="shared" ca="1" si="6"/>
        <v>28</v>
      </c>
      <c r="AN24" s="293">
        <f t="shared" ca="1" si="6"/>
        <v>31</v>
      </c>
      <c r="AO24" s="293">
        <f t="shared" ca="1" si="6"/>
        <v>30</v>
      </c>
      <c r="AP24" s="293">
        <f t="shared" ca="1" si="6"/>
        <v>31</v>
      </c>
      <c r="AQ24" s="293">
        <f t="shared" ca="1" si="6"/>
        <v>30</v>
      </c>
      <c r="AR24" s="293">
        <f t="shared" ca="1" si="6"/>
        <v>31</v>
      </c>
      <c r="AS24" s="293">
        <f t="shared" ca="1" si="6"/>
        <v>31</v>
      </c>
      <c r="AT24" s="293">
        <f t="shared" ca="1" si="6"/>
        <v>30</v>
      </c>
      <c r="AU24" s="293">
        <f t="shared" ca="1" si="6"/>
        <v>31</v>
      </c>
      <c r="AV24" s="293">
        <f t="shared" ca="1" si="6"/>
        <v>30</v>
      </c>
      <c r="AW24" s="293">
        <f t="shared" ca="1" si="6"/>
        <v>31</v>
      </c>
      <c r="AX24" s="299">
        <f t="shared" ca="1" si="7"/>
        <v>365</v>
      </c>
    </row>
    <row r="25" spans="1:50" ht="15" customHeight="1" thickBot="1" x14ac:dyDescent="0.3">
      <c r="A25" s="241"/>
      <c r="B25" s="66"/>
      <c r="C25" s="66"/>
      <c r="D25" s="44"/>
      <c r="E25" s="147" t="str">
        <f t="shared" si="8"/>
        <v xml:space="preserve"> </v>
      </c>
      <c r="F25" s="174" t="str">
        <f t="shared" si="15"/>
        <v xml:space="preserve"> </v>
      </c>
      <c r="G25" s="180"/>
      <c r="H25" s="62"/>
      <c r="I25" s="146" t="str">
        <f t="shared" si="10"/>
        <v xml:space="preserve"> </v>
      </c>
      <c r="J25" s="146" t="str">
        <f t="shared" si="11"/>
        <v xml:space="preserve"> </v>
      </c>
      <c r="K25" s="297">
        <v>40909</v>
      </c>
      <c r="L25" s="297">
        <v>41274</v>
      </c>
      <c r="M25" s="146" t="str">
        <f t="shared" si="9"/>
        <v xml:space="preserve"> </v>
      </c>
      <c r="N25" s="66"/>
      <c r="O25" s="63"/>
      <c r="P25" s="181"/>
      <c r="Q25" s="182"/>
      <c r="R25" s="44"/>
      <c r="S25" s="44"/>
      <c r="T25" s="44"/>
      <c r="U25" s="44"/>
      <c r="V25" s="65" t="str">
        <f t="shared" si="23"/>
        <v xml:space="preserve"> </v>
      </c>
      <c r="W25" s="44"/>
      <c r="X25" s="248"/>
      <c r="Y25" s="44"/>
      <c r="Z25" s="252"/>
      <c r="AA25" s="173" t="str">
        <f t="shared" si="16"/>
        <v xml:space="preserve"> </v>
      </c>
      <c r="AB25" s="174" t="str">
        <f t="shared" si="17"/>
        <v xml:space="preserve"> </v>
      </c>
      <c r="AC25" s="175" t="str">
        <f t="shared" si="12"/>
        <v xml:space="preserve"> </v>
      </c>
      <c r="AD25" s="176" t="str">
        <f t="shared" si="13"/>
        <v xml:space="preserve"> </v>
      </c>
      <c r="AE25" s="177" t="str">
        <f t="shared" si="21"/>
        <v xml:space="preserve"> </v>
      </c>
      <c r="AF25" s="177" t="str">
        <f t="shared" si="18"/>
        <v xml:space="preserve"> </v>
      </c>
      <c r="AG25" s="178" t="str">
        <f t="shared" si="20"/>
        <v xml:space="preserve"> </v>
      </c>
      <c r="AH25" s="235" t="str">
        <f t="shared" si="22"/>
        <v xml:space="preserve"> </v>
      </c>
      <c r="AI25" s="238" t="str">
        <f t="shared" si="19"/>
        <v xml:space="preserve"> </v>
      </c>
      <c r="AJ25" s="36"/>
      <c r="AL25" s="293">
        <f t="shared" ca="1" si="6"/>
        <v>31</v>
      </c>
      <c r="AM25" s="293">
        <f t="shared" ca="1" si="6"/>
        <v>29</v>
      </c>
      <c r="AN25" s="293">
        <f t="shared" ca="1" si="6"/>
        <v>31</v>
      </c>
      <c r="AO25" s="293">
        <f t="shared" ca="1" si="6"/>
        <v>30</v>
      </c>
      <c r="AP25" s="293">
        <f t="shared" ca="1" si="6"/>
        <v>31</v>
      </c>
      <c r="AQ25" s="293">
        <f t="shared" ca="1" si="6"/>
        <v>30</v>
      </c>
      <c r="AR25" s="293">
        <f t="shared" ca="1" si="6"/>
        <v>31</v>
      </c>
      <c r="AS25" s="293">
        <f t="shared" ca="1" si="6"/>
        <v>31</v>
      </c>
      <c r="AT25" s="293">
        <f t="shared" ca="1" si="6"/>
        <v>30</v>
      </c>
      <c r="AU25" s="293">
        <f t="shared" ca="1" si="6"/>
        <v>31</v>
      </c>
      <c r="AV25" s="293">
        <f t="shared" ca="1" si="6"/>
        <v>30</v>
      </c>
      <c r="AW25" s="293">
        <f t="shared" ca="1" si="6"/>
        <v>31</v>
      </c>
      <c r="AX25" s="299">
        <f t="shared" ca="1" si="7"/>
        <v>366</v>
      </c>
    </row>
    <row r="26" spans="1:50" x14ac:dyDescent="0.25">
      <c r="Y26" s="10">
        <f>SUM(Y2:Y25)</f>
        <v>8</v>
      </c>
      <c r="AL26" s="301">
        <f ca="1">SUM(AL2:AL25)</f>
        <v>141</v>
      </c>
      <c r="AM26" s="300">
        <f t="shared" ref="AM26:AW26" ca="1" si="24">SUM(AM2:AM25)</f>
        <v>172</v>
      </c>
      <c r="AN26" s="300">
        <f t="shared" ca="1" si="24"/>
        <v>258</v>
      </c>
      <c r="AO26" s="300">
        <f t="shared" ca="1" si="24"/>
        <v>216</v>
      </c>
      <c r="AP26" s="300">
        <f t="shared" ca="1" si="24"/>
        <v>76</v>
      </c>
      <c r="AQ26" s="300">
        <f t="shared" ca="1" si="24"/>
        <v>60</v>
      </c>
      <c r="AR26" s="300">
        <f t="shared" ca="1" si="24"/>
        <v>62</v>
      </c>
      <c r="AS26" s="300">
        <f t="shared" ca="1" si="24"/>
        <v>62</v>
      </c>
      <c r="AT26" s="300">
        <f t="shared" ca="1" si="24"/>
        <v>60</v>
      </c>
      <c r="AU26" s="300">
        <f t="shared" ca="1" si="24"/>
        <v>62</v>
      </c>
      <c r="AV26" s="300">
        <f t="shared" ca="1" si="24"/>
        <v>60</v>
      </c>
      <c r="AW26" s="300">
        <f t="shared" ca="1" si="24"/>
        <v>62</v>
      </c>
    </row>
    <row r="29" spans="1:50" x14ac:dyDescent="0.25">
      <c r="L29" s="70"/>
    </row>
    <row r="30" spans="1:50" x14ac:dyDescent="0.25">
      <c r="B30" s="285" t="s">
        <v>164</v>
      </c>
      <c r="C30" s="286"/>
    </row>
    <row r="31" spans="1:50" x14ac:dyDescent="0.25">
      <c r="B31" s="287" t="s">
        <v>165</v>
      </c>
      <c r="C31" s="288"/>
    </row>
    <row r="32" spans="1:50" x14ac:dyDescent="0.25">
      <c r="B32" s="289" t="s">
        <v>166</v>
      </c>
      <c r="C32" s="290"/>
    </row>
    <row r="33" spans="1:18" x14ac:dyDescent="0.25">
      <c r="B33" s="291" t="s">
        <v>167</v>
      </c>
      <c r="C33" s="292"/>
    </row>
    <row r="37" spans="1:18" ht="15.75" thickBot="1" x14ac:dyDescent="0.3"/>
    <row r="38" spans="1:18" x14ac:dyDescent="0.25">
      <c r="A38" s="48" t="s">
        <v>4</v>
      </c>
      <c r="B38" s="49" t="s">
        <v>24</v>
      </c>
      <c r="C38" s="51" t="s">
        <v>60</v>
      </c>
      <c r="D38" s="109" t="s">
        <v>100</v>
      </c>
      <c r="G38" s="49" t="s">
        <v>101</v>
      </c>
      <c r="H38" s="50" t="s">
        <v>25</v>
      </c>
      <c r="K38" s="23" t="s">
        <v>54</v>
      </c>
      <c r="L38" s="24" t="s">
        <v>85</v>
      </c>
      <c r="M38" s="24" t="s">
        <v>40</v>
      </c>
      <c r="N38" s="52" t="s">
        <v>60</v>
      </c>
      <c r="R38" s="11"/>
    </row>
    <row r="39" spans="1:18" x14ac:dyDescent="0.25">
      <c r="A39" s="8">
        <v>1</v>
      </c>
      <c r="B39" s="2" t="s">
        <v>0</v>
      </c>
      <c r="C39" s="134">
        <f t="shared" ref="C39:C49" si="25">H39/$H$50</f>
        <v>0.1</v>
      </c>
      <c r="D39" s="4">
        <f>SUMIF(($F$2:$F$25),101)/101</f>
        <v>1</v>
      </c>
      <c r="G39" s="4">
        <f>SUMIF(($F$2:$F$25),201)/201</f>
        <v>0</v>
      </c>
      <c r="H39" s="6">
        <f>SUMIF(($AG$2:$AG$25),1)</f>
        <v>1</v>
      </c>
      <c r="K39" s="21">
        <v>100</v>
      </c>
      <c r="L39" s="74" t="s">
        <v>82</v>
      </c>
      <c r="M39" s="4">
        <f>SUMIF(($S$2:$S$35),100)/100</f>
        <v>1</v>
      </c>
      <c r="N39" s="138">
        <f t="shared" ref="N39:N44" si="26">M39/$M$45</f>
        <v>0.1</v>
      </c>
      <c r="R39" s="11"/>
    </row>
    <row r="40" spans="1:18" x14ac:dyDescent="0.25">
      <c r="A40" s="8">
        <v>2</v>
      </c>
      <c r="B40" s="2" t="s">
        <v>1</v>
      </c>
      <c r="C40" s="134">
        <f t="shared" si="25"/>
        <v>0.1</v>
      </c>
      <c r="D40" s="4">
        <f>SUMIF(($F$2:$F$25),102)/102</f>
        <v>1</v>
      </c>
      <c r="G40" s="4">
        <f>SUMIF(($F$2:$F$25),202)/202</f>
        <v>0</v>
      </c>
      <c r="H40" s="6">
        <f>SUMIF(($AG$2:$AG$25),2)/2</f>
        <v>1</v>
      </c>
      <c r="K40" s="21">
        <v>200</v>
      </c>
      <c r="L40" s="77" t="s">
        <v>5</v>
      </c>
      <c r="M40" s="4">
        <f>SUMIF(($S$2:$S$35),200)/200</f>
        <v>3</v>
      </c>
      <c r="N40" s="138">
        <f t="shared" si="26"/>
        <v>0.3</v>
      </c>
      <c r="R40" s="11"/>
    </row>
    <row r="41" spans="1:18" x14ac:dyDescent="0.25">
      <c r="A41" s="8">
        <v>3</v>
      </c>
      <c r="B41" s="5" t="s">
        <v>2</v>
      </c>
      <c r="C41" s="134">
        <f t="shared" si="25"/>
        <v>0.1</v>
      </c>
      <c r="D41" s="4">
        <f>SUMIF(($F$2:$F$25),103)/103</f>
        <v>0</v>
      </c>
      <c r="G41" s="4">
        <f>SUMIF(($F$2:$F$25),203)/203</f>
        <v>1</v>
      </c>
      <c r="H41" s="6">
        <f>SUMIF(($AE2:$AG$25),3)/3</f>
        <v>1</v>
      </c>
      <c r="K41" s="21">
        <v>300</v>
      </c>
      <c r="L41" s="76" t="s">
        <v>79</v>
      </c>
      <c r="M41" s="4">
        <f>SUMIF(($S$2:$S$35),300)/300</f>
        <v>2</v>
      </c>
      <c r="N41" s="138">
        <f t="shared" si="26"/>
        <v>0.2</v>
      </c>
      <c r="R41" s="11"/>
    </row>
    <row r="42" spans="1:18" x14ac:dyDescent="0.25">
      <c r="A42" s="8">
        <v>4</v>
      </c>
      <c r="B42" s="2" t="s">
        <v>36</v>
      </c>
      <c r="C42" s="134">
        <f t="shared" si="25"/>
        <v>0</v>
      </c>
      <c r="D42" s="4">
        <f>SUMIF(($F$2:$F$25),104)/104</f>
        <v>0</v>
      </c>
      <c r="G42" s="4">
        <f>SUMIF(($F$2:$F$25),204)/204</f>
        <v>0</v>
      </c>
      <c r="H42" s="6">
        <f>SUMIF(($AG$2:$AG$25),4)/4</f>
        <v>0</v>
      </c>
      <c r="K42" s="21">
        <v>400</v>
      </c>
      <c r="L42" s="76" t="s">
        <v>7</v>
      </c>
      <c r="M42" s="4">
        <f>SUMIF(($S$2:$S$35),400)/400</f>
        <v>2</v>
      </c>
      <c r="N42" s="138">
        <f t="shared" si="26"/>
        <v>0.2</v>
      </c>
      <c r="R42" s="11"/>
    </row>
    <row r="43" spans="1:18" x14ac:dyDescent="0.25">
      <c r="A43" s="8">
        <v>5</v>
      </c>
      <c r="B43" s="2" t="s">
        <v>3</v>
      </c>
      <c r="C43" s="136">
        <f t="shared" si="25"/>
        <v>0</v>
      </c>
      <c r="D43" s="4">
        <f>SUMIF(($F$2:$F$25),105)/105</f>
        <v>0</v>
      </c>
      <c r="G43" s="4">
        <f>SUMIF(($F$2:$F$25),205)/205</f>
        <v>0</v>
      </c>
      <c r="H43" s="6">
        <f>SUMIF(($AG$2:$AG$25),5)/5</f>
        <v>0</v>
      </c>
      <c r="K43" s="21">
        <v>500</v>
      </c>
      <c r="L43" s="74" t="s">
        <v>84</v>
      </c>
      <c r="M43" s="4">
        <f>SUMIF(($S$2:$S$35),500)/500</f>
        <v>1</v>
      </c>
      <c r="N43" s="138">
        <f t="shared" si="26"/>
        <v>0.1</v>
      </c>
      <c r="R43" s="11"/>
    </row>
    <row r="44" spans="1:18" x14ac:dyDescent="0.25">
      <c r="A44" s="8">
        <v>6</v>
      </c>
      <c r="B44" s="14" t="s">
        <v>78</v>
      </c>
      <c r="C44" s="134">
        <f t="shared" si="25"/>
        <v>0.2</v>
      </c>
      <c r="D44" s="4">
        <f>SUMIF(($F$2:$F$25),106)/106</f>
        <v>2</v>
      </c>
      <c r="G44" s="4">
        <f>SUMIF(($F$2:$F$25),206)/206</f>
        <v>0</v>
      </c>
      <c r="H44" s="6">
        <f>SUMIF(($AG$2:$AG$25),6)/6</f>
        <v>2</v>
      </c>
      <c r="K44" s="73">
        <v>600</v>
      </c>
      <c r="L44" s="78" t="s">
        <v>83</v>
      </c>
      <c r="M44" s="4">
        <f>SUMIF(($S$2:$S$35),600)/600</f>
        <v>1</v>
      </c>
      <c r="N44" s="138">
        <f t="shared" si="26"/>
        <v>0.1</v>
      </c>
      <c r="R44" s="11"/>
    </row>
    <row r="45" spans="1:18" ht="15.75" thickBot="1" x14ac:dyDescent="0.3">
      <c r="A45" s="40">
        <v>7</v>
      </c>
      <c r="B45" s="15" t="s">
        <v>13</v>
      </c>
      <c r="C45" s="134">
        <f t="shared" si="25"/>
        <v>0</v>
      </c>
      <c r="D45" s="4">
        <f>SUMIF(($F$2:$F$25),107)/107</f>
        <v>0</v>
      </c>
      <c r="G45" s="4">
        <f>SUMIF(($F$2:$F$25),207)/207</f>
        <v>0</v>
      </c>
      <c r="H45" s="6">
        <f>SUMIF(($AG$2:$AG$25),7)/7</f>
        <v>0</v>
      </c>
      <c r="K45" s="280" t="s">
        <v>40</v>
      </c>
      <c r="L45" s="281"/>
      <c r="M45" s="22">
        <f>SUM(M39:M44)</f>
        <v>10</v>
      </c>
      <c r="N45" s="139">
        <f>SUM(N39:N43)</f>
        <v>0.9</v>
      </c>
      <c r="R45" s="11"/>
    </row>
    <row r="46" spans="1:18" x14ac:dyDescent="0.25">
      <c r="A46" s="40">
        <v>8</v>
      </c>
      <c r="B46" s="15" t="s">
        <v>77</v>
      </c>
      <c r="C46" s="134">
        <f t="shared" si="25"/>
        <v>0.2</v>
      </c>
      <c r="D46" s="4">
        <f>SUMIF(($F$2:$F$25),108)/108</f>
        <v>2</v>
      </c>
      <c r="G46" s="4">
        <f>SUMIF(($F$2:$F$25),208)/208</f>
        <v>0</v>
      </c>
      <c r="H46" s="6">
        <f>SUMIF(($AG$2:$AG$25),8)/8</f>
        <v>2</v>
      </c>
      <c r="R46" s="11"/>
    </row>
    <row r="47" spans="1:18" ht="30" x14ac:dyDescent="0.25">
      <c r="A47" s="40">
        <v>9</v>
      </c>
      <c r="B47" s="72" t="s">
        <v>80</v>
      </c>
      <c r="C47" s="134">
        <f t="shared" si="25"/>
        <v>0.1</v>
      </c>
      <c r="D47" s="4">
        <f>SUMIF(($F$2:$F$25),109)/109</f>
        <v>0</v>
      </c>
      <c r="G47" s="4">
        <f>SUMIF(($F$2:$F$25),209)/209</f>
        <v>1</v>
      </c>
      <c r="H47" s="6">
        <f>SUMIF(($AG$2:$AG$25),9)/9</f>
        <v>1</v>
      </c>
      <c r="R47" s="11"/>
    </row>
    <row r="48" spans="1:18" ht="30.75" thickBot="1" x14ac:dyDescent="0.3">
      <c r="A48" s="40">
        <v>10</v>
      </c>
      <c r="B48" s="72" t="s">
        <v>81</v>
      </c>
      <c r="C48" s="134">
        <f t="shared" si="25"/>
        <v>0.1</v>
      </c>
      <c r="D48" s="4">
        <f>SUMIF(($F$2:$F$25),110)/110</f>
        <v>0</v>
      </c>
      <c r="G48" s="4">
        <f>SUMIF(($F$2:$F$25),210)/210</f>
        <v>1</v>
      </c>
      <c r="H48" s="6">
        <f>SUMIF(($AG$2:$AG$25),10)/10</f>
        <v>1</v>
      </c>
      <c r="R48" s="11"/>
    </row>
    <row r="49" spans="1:18" x14ac:dyDescent="0.25">
      <c r="A49" s="71">
        <v>11</v>
      </c>
      <c r="B49" s="4" t="s">
        <v>35</v>
      </c>
      <c r="C49" s="134">
        <f t="shared" si="25"/>
        <v>0.1</v>
      </c>
      <c r="D49" s="4">
        <f>SUMIF(($F$2:$F$25),111)/111</f>
        <v>0</v>
      </c>
      <c r="G49" s="4">
        <f>SUMIF(($F$2:$F$25),211)/211</f>
        <v>1</v>
      </c>
      <c r="H49" s="6">
        <f>SUMIF(($AG$2:$AG$25),11)/11</f>
        <v>1</v>
      </c>
      <c r="K49" s="23" t="s">
        <v>55</v>
      </c>
      <c r="L49" s="24" t="s">
        <v>57</v>
      </c>
      <c r="M49" s="24" t="s">
        <v>40</v>
      </c>
      <c r="N49" s="53" t="s">
        <v>60</v>
      </c>
      <c r="R49" s="11"/>
    </row>
    <row r="50" spans="1:18" ht="15.75" thickBot="1" x14ac:dyDescent="0.3">
      <c r="A50" s="46" t="s">
        <v>87</v>
      </c>
      <c r="B50" s="47"/>
      <c r="C50" s="137">
        <f>SUM(C39:C49)</f>
        <v>0.99999999999999989</v>
      </c>
      <c r="D50" s="29">
        <f>SUM(D39:D49)</f>
        <v>6</v>
      </c>
      <c r="G50" s="29">
        <f>SUM(G39:G49)</f>
        <v>4</v>
      </c>
      <c r="H50" s="7">
        <f>SUM(H39:H49)</f>
        <v>10</v>
      </c>
      <c r="K50" s="21">
        <v>10</v>
      </c>
      <c r="L50" s="74"/>
      <c r="M50" s="4">
        <f>SUMIF(($T$2:$T$35),10)/10</f>
        <v>1</v>
      </c>
      <c r="N50" s="140">
        <f t="shared" ref="N50:N58" si="27">M50/$M$45</f>
        <v>0.1</v>
      </c>
      <c r="R50" s="11"/>
    </row>
    <row r="51" spans="1:18" x14ac:dyDescent="0.25">
      <c r="K51" s="21">
        <v>20</v>
      </c>
      <c r="L51" s="74"/>
      <c r="M51" s="4">
        <f>SUMIF(($T$2:$T$35),20)/20</f>
        <v>0</v>
      </c>
      <c r="N51" s="140">
        <f t="shared" si="27"/>
        <v>0</v>
      </c>
    </row>
    <row r="52" spans="1:18" x14ac:dyDescent="0.25">
      <c r="K52" s="21">
        <v>30</v>
      </c>
      <c r="L52" s="74"/>
      <c r="M52" s="4">
        <f>SUMIF(($T$2:$T$35),30)/30</f>
        <v>1</v>
      </c>
      <c r="N52" s="140">
        <f t="shared" si="27"/>
        <v>0.1</v>
      </c>
    </row>
    <row r="53" spans="1:18" ht="15.75" thickBot="1" x14ac:dyDescent="0.3">
      <c r="K53" s="21">
        <v>40</v>
      </c>
      <c r="L53" s="74"/>
      <c r="M53" s="4">
        <f>SUMIF(($T$2:$T$35),40)/40</f>
        <v>0</v>
      </c>
      <c r="N53" s="140">
        <f t="shared" si="27"/>
        <v>0</v>
      </c>
    </row>
    <row r="54" spans="1:18" ht="30" x14ac:dyDescent="0.25">
      <c r="A54" s="127" t="s">
        <v>61</v>
      </c>
      <c r="B54" s="128" t="s">
        <v>62</v>
      </c>
      <c r="C54" s="50" t="s">
        <v>25</v>
      </c>
      <c r="D54" s="3"/>
      <c r="E54" s="3"/>
      <c r="F54" s="3"/>
      <c r="K54" s="21">
        <v>50</v>
      </c>
      <c r="L54" s="75"/>
      <c r="M54" s="4">
        <f>SUMIF(($T$2:$T$35),50)/50</f>
        <v>1</v>
      </c>
      <c r="N54" s="140">
        <f t="shared" si="27"/>
        <v>0.1</v>
      </c>
    </row>
    <row r="55" spans="1:18" x14ac:dyDescent="0.25">
      <c r="A55" s="41">
        <v>1</v>
      </c>
      <c r="B55" s="4" t="s">
        <v>11</v>
      </c>
      <c r="C55" s="6">
        <f>SUMIF(($AH$2:$AH$35),1)</f>
        <v>1</v>
      </c>
      <c r="D55" s="45"/>
      <c r="E55" s="45"/>
      <c r="F55" s="45"/>
      <c r="K55" s="21">
        <v>60</v>
      </c>
      <c r="L55" s="74"/>
      <c r="M55" s="4">
        <f>SUMIF(($T$2:$T$35),60)/60</f>
        <v>0</v>
      </c>
      <c r="N55" s="140">
        <f t="shared" si="27"/>
        <v>0</v>
      </c>
    </row>
    <row r="56" spans="1:18" x14ac:dyDescent="0.25">
      <c r="A56" s="41">
        <v>2</v>
      </c>
      <c r="B56" s="4" t="s">
        <v>41</v>
      </c>
      <c r="C56" s="6">
        <f>SUMIF(($AH$2:$AH$35),2)/2</f>
        <v>1</v>
      </c>
      <c r="D56" s="45"/>
      <c r="E56" s="45"/>
      <c r="F56" s="45"/>
      <c r="K56" s="21">
        <v>70</v>
      </c>
      <c r="L56" s="74"/>
      <c r="M56" s="4">
        <f>SUMIF(($T$2:$T$35),70)/70</f>
        <v>0</v>
      </c>
      <c r="N56" s="140">
        <f t="shared" si="27"/>
        <v>0</v>
      </c>
    </row>
    <row r="57" spans="1:18" x14ac:dyDescent="0.25">
      <c r="A57" s="41">
        <v>3</v>
      </c>
      <c r="B57" s="4" t="s">
        <v>42</v>
      </c>
      <c r="C57" s="6">
        <f>SUMIF(($AH$2:$AH$35),3)/3</f>
        <v>7</v>
      </c>
      <c r="D57" s="45"/>
      <c r="E57" s="45"/>
      <c r="F57" s="45"/>
      <c r="K57" s="21">
        <v>80</v>
      </c>
      <c r="L57" s="74"/>
      <c r="M57" s="4">
        <f>SUMIF(($T$2:$T$35),80)/80</f>
        <v>0</v>
      </c>
      <c r="N57" s="140">
        <f t="shared" si="27"/>
        <v>0</v>
      </c>
    </row>
    <row r="58" spans="1:18" x14ac:dyDescent="0.25">
      <c r="A58" s="41">
        <v>4</v>
      </c>
      <c r="B58" s="4" t="s">
        <v>23</v>
      </c>
      <c r="C58" s="6">
        <f>SUMIF(($AH$2:$AH$35),4)/4</f>
        <v>0</v>
      </c>
      <c r="D58" s="45"/>
      <c r="E58" s="45"/>
      <c r="F58" s="45"/>
      <c r="K58" s="21">
        <v>90</v>
      </c>
      <c r="L58" s="74"/>
      <c r="M58" s="4">
        <f>SUMIF(($T$2:$T$35),90)/90</f>
        <v>1</v>
      </c>
      <c r="N58" s="140">
        <f t="shared" si="27"/>
        <v>0.1</v>
      </c>
    </row>
    <row r="59" spans="1:18" ht="15.75" thickBot="1" x14ac:dyDescent="0.3">
      <c r="A59" s="41">
        <v>5</v>
      </c>
      <c r="B59" s="4" t="s">
        <v>43</v>
      </c>
      <c r="C59" s="6">
        <f>SUMIF(($AH$2:$AH$35),5)/5</f>
        <v>1</v>
      </c>
      <c r="D59" s="45"/>
      <c r="E59" s="45"/>
      <c r="F59" s="45"/>
      <c r="K59" s="28"/>
      <c r="L59" s="82" t="s">
        <v>40</v>
      </c>
      <c r="M59" s="29">
        <f>SUM(M50:M58)</f>
        <v>4</v>
      </c>
      <c r="N59" s="141">
        <f>SUM(N50:N58)</f>
        <v>0.4</v>
      </c>
    </row>
    <row r="60" spans="1:18" ht="15.75" thickBot="1" x14ac:dyDescent="0.3">
      <c r="A60" s="265" t="s">
        <v>40</v>
      </c>
      <c r="B60" s="266"/>
      <c r="C60" s="7">
        <f>SUM(C55:C59)</f>
        <v>10</v>
      </c>
      <c r="D60" s="106"/>
      <c r="E60" s="106"/>
      <c r="F60" s="106"/>
    </row>
    <row r="61" spans="1:18" x14ac:dyDescent="0.25">
      <c r="A61" s="11"/>
      <c r="B61" s="11"/>
      <c r="C61" s="11"/>
      <c r="D61" s="11"/>
      <c r="E61" s="11"/>
      <c r="F61" s="11"/>
    </row>
    <row r="62" spans="1:18" x14ac:dyDescent="0.25">
      <c r="A62" s="11"/>
      <c r="B62" s="11"/>
      <c r="C62" s="11"/>
      <c r="D62" s="11"/>
      <c r="E62" s="11"/>
      <c r="F62" s="11"/>
    </row>
    <row r="63" spans="1:18" ht="15.75" thickBot="1" x14ac:dyDescent="0.3">
      <c r="A63" s="11"/>
      <c r="B63" s="11"/>
      <c r="C63" s="11"/>
      <c r="D63" s="11"/>
      <c r="E63" s="11"/>
      <c r="F63" s="11"/>
    </row>
    <row r="64" spans="1:18" x14ac:dyDescent="0.25">
      <c r="B64" s="12"/>
      <c r="C64" s="12"/>
      <c r="D64" s="12"/>
      <c r="E64" s="12"/>
      <c r="F64" s="12"/>
      <c r="K64" s="23" t="s">
        <v>58</v>
      </c>
      <c r="L64" s="24" t="s">
        <v>56</v>
      </c>
      <c r="M64" s="24" t="s">
        <v>40</v>
      </c>
      <c r="N64" s="53" t="s">
        <v>60</v>
      </c>
    </row>
    <row r="65" spans="1:14" x14ac:dyDescent="0.25">
      <c r="B65" s="11"/>
      <c r="C65" s="11"/>
      <c r="D65" s="13"/>
      <c r="E65" s="13"/>
      <c r="F65" s="13"/>
      <c r="K65" s="21">
        <v>1</v>
      </c>
      <c r="L65" s="76"/>
      <c r="M65" s="4">
        <f>SUMIF(($U$2:$U$35),1)/1</f>
        <v>0</v>
      </c>
      <c r="N65" s="140">
        <f t="shared" ref="N65:N74" si="28">M65/$M$45</f>
        <v>0</v>
      </c>
    </row>
    <row r="66" spans="1:14" x14ac:dyDescent="0.25">
      <c r="B66" s="11"/>
      <c r="C66" s="11"/>
      <c r="D66" s="11"/>
      <c r="E66" s="11"/>
      <c r="F66" s="11"/>
      <c r="K66" s="21">
        <v>2</v>
      </c>
      <c r="L66" s="74"/>
      <c r="M66" s="4">
        <f>SUMIF(($U$2:$U$35),2)/2</f>
        <v>0</v>
      </c>
      <c r="N66" s="140">
        <f t="shared" si="28"/>
        <v>0</v>
      </c>
    </row>
    <row r="67" spans="1:14" x14ac:dyDescent="0.25">
      <c r="B67" s="1"/>
      <c r="C67" s="11"/>
      <c r="D67" s="1"/>
      <c r="E67" s="1"/>
      <c r="F67" s="1"/>
      <c r="K67" s="21">
        <v>3</v>
      </c>
      <c r="L67" s="76"/>
      <c r="M67" s="4">
        <f>SUMIF(($U$2:$U$35),3)/3</f>
        <v>0</v>
      </c>
      <c r="N67" s="140">
        <f t="shared" si="28"/>
        <v>0</v>
      </c>
    </row>
    <row r="68" spans="1:14" x14ac:dyDescent="0.25">
      <c r="K68" s="21">
        <v>4</v>
      </c>
      <c r="L68" s="76"/>
      <c r="M68" s="4">
        <f>SUMIF(($U$2:$U$35),4)/4</f>
        <v>0</v>
      </c>
      <c r="N68" s="140">
        <f t="shared" si="28"/>
        <v>0</v>
      </c>
    </row>
    <row r="69" spans="1:14" x14ac:dyDescent="0.25">
      <c r="K69" s="21">
        <v>5</v>
      </c>
      <c r="L69" s="76"/>
      <c r="M69" s="4">
        <f>SUMIF(($U$2:$U$35),5)/5</f>
        <v>1</v>
      </c>
      <c r="N69" s="140">
        <f t="shared" si="28"/>
        <v>0.1</v>
      </c>
    </row>
    <row r="70" spans="1:14" x14ac:dyDescent="0.25">
      <c r="K70" s="21">
        <v>6</v>
      </c>
      <c r="L70" s="76"/>
      <c r="M70" s="4">
        <f>SUMIF(($U$2:$U$35),6)/6</f>
        <v>0</v>
      </c>
      <c r="N70" s="142">
        <f t="shared" si="28"/>
        <v>0</v>
      </c>
    </row>
    <row r="71" spans="1:14" x14ac:dyDescent="0.25">
      <c r="K71" s="27">
        <v>7</v>
      </c>
      <c r="L71" s="76"/>
      <c r="M71" s="4">
        <f>SUMIF(($U$2:$U$35),7)/7</f>
        <v>0</v>
      </c>
      <c r="N71" s="142">
        <f t="shared" si="28"/>
        <v>0</v>
      </c>
    </row>
    <row r="72" spans="1:14" x14ac:dyDescent="0.25">
      <c r="K72" s="58">
        <v>8</v>
      </c>
      <c r="L72" s="83"/>
      <c r="M72" s="54">
        <f>SUMIF(($U$2:$U$35),8)/8</f>
        <v>1</v>
      </c>
      <c r="N72" s="143">
        <f t="shared" si="28"/>
        <v>0.1</v>
      </c>
    </row>
    <row r="73" spans="1:14" x14ac:dyDescent="0.25">
      <c r="K73" s="21">
        <v>9</v>
      </c>
      <c r="L73" s="76"/>
      <c r="M73" s="4">
        <f>SUMIF(($U$2:$U$35),9)/9</f>
        <v>0</v>
      </c>
      <c r="N73" s="140">
        <f t="shared" si="28"/>
        <v>0</v>
      </c>
    </row>
    <row r="74" spans="1:14" ht="15.75" thickBot="1" x14ac:dyDescent="0.3">
      <c r="K74" s="79">
        <v>10</v>
      </c>
      <c r="L74" s="80"/>
      <c r="M74" s="4">
        <f>SUMIF(($U$2:$U$35),11)/11</f>
        <v>0</v>
      </c>
      <c r="N74" s="140">
        <f t="shared" si="28"/>
        <v>0</v>
      </c>
    </row>
    <row r="75" spans="1:14" ht="15.75" thickBot="1" x14ac:dyDescent="0.3">
      <c r="K75" s="37"/>
      <c r="L75" s="81" t="s">
        <v>40</v>
      </c>
      <c r="M75" s="57">
        <f>SUM(M65:M74)</f>
        <v>2</v>
      </c>
      <c r="N75" s="135">
        <f>SUM(N65:N72)</f>
        <v>0.2</v>
      </c>
    </row>
    <row r="77" spans="1:14" ht="15.75" thickBot="1" x14ac:dyDescent="0.3"/>
    <row r="78" spans="1:14" x14ac:dyDescent="0.25">
      <c r="A78" s="268" t="s">
        <v>102</v>
      </c>
      <c r="B78" s="269"/>
      <c r="C78" s="269"/>
      <c r="D78" s="269"/>
      <c r="E78" s="269"/>
      <c r="F78" s="269"/>
      <c r="G78" s="269"/>
      <c r="H78" s="269"/>
      <c r="I78" s="269"/>
      <c r="J78" s="269"/>
      <c r="K78" s="270"/>
    </row>
    <row r="79" spans="1:14" ht="13.5" customHeight="1" thickBot="1" x14ac:dyDescent="0.3">
      <c r="A79" s="271"/>
      <c r="B79" s="272"/>
      <c r="C79" s="272"/>
      <c r="D79" s="272"/>
      <c r="E79" s="272"/>
      <c r="F79" s="272"/>
      <c r="G79" s="272"/>
      <c r="H79" s="272"/>
      <c r="I79" s="272"/>
      <c r="J79" s="272"/>
      <c r="K79" s="273"/>
    </row>
    <row r="80" spans="1:14" ht="21.75" customHeight="1" thickBot="1" x14ac:dyDescent="0.3">
      <c r="A80" s="117"/>
      <c r="B80" s="277">
        <v>2013</v>
      </c>
      <c r="C80" s="278"/>
      <c r="D80" s="278"/>
      <c r="E80" s="278"/>
      <c r="F80" s="278"/>
      <c r="G80" s="278"/>
      <c r="H80" s="278"/>
      <c r="I80" s="278"/>
      <c r="J80" s="278"/>
      <c r="K80" s="279"/>
    </row>
    <row r="81" spans="1:13" ht="30.75" thickBot="1" x14ac:dyDescent="0.3">
      <c r="A81" s="58"/>
      <c r="B81" s="185" t="s">
        <v>89</v>
      </c>
      <c r="C81" s="187" t="s">
        <v>90</v>
      </c>
      <c r="D81" s="35" t="s">
        <v>91</v>
      </c>
      <c r="E81" s="4"/>
      <c r="F81" s="4"/>
      <c r="G81" s="35" t="s">
        <v>92</v>
      </c>
      <c r="H81" s="35" t="s">
        <v>93</v>
      </c>
      <c r="I81" s="35" t="s">
        <v>94</v>
      </c>
      <c r="J81" s="4"/>
      <c r="K81" s="132" t="s">
        <v>95</v>
      </c>
      <c r="L81" s="133" t="s">
        <v>40</v>
      </c>
    </row>
    <row r="82" spans="1:13" x14ac:dyDescent="0.25">
      <c r="A82" s="120" t="s">
        <v>96</v>
      </c>
      <c r="B82" s="56">
        <f>SUMIF(($AC$5:$AC$25),1)/1</f>
        <v>2</v>
      </c>
      <c r="C82" s="56">
        <f>SUMIF(($AC$5:$AC$25),2)/2</f>
        <v>0</v>
      </c>
      <c r="D82" s="56">
        <f>SUMIF(($AC$5:$AC$25),3)/3</f>
        <v>5</v>
      </c>
      <c r="E82" s="56"/>
      <c r="F82" s="56"/>
      <c r="G82" s="56">
        <f>SUMIF(($AC$5:$AC$25),4)/4</f>
        <v>0</v>
      </c>
      <c r="H82" s="56">
        <f>SUMIF(($AC$5:$AC$25),5)/5</f>
        <v>0</v>
      </c>
      <c r="I82" s="26">
        <f>SUMIF(($AC$5:$AC$25),6)/6</f>
        <v>0</v>
      </c>
      <c r="J82" s="131"/>
      <c r="K82" s="59">
        <f>SUMIF(($AC$2:$AC$25),7)/7</f>
        <v>3</v>
      </c>
      <c r="L82" s="30">
        <f>SUM(B82:K82)</f>
        <v>10</v>
      </c>
    </row>
    <row r="83" spans="1:13" x14ac:dyDescent="0.25">
      <c r="A83" s="116"/>
      <c r="B83" s="11"/>
      <c r="C83" s="11"/>
      <c r="D83" s="11"/>
      <c r="G83" s="11"/>
      <c r="H83" s="11"/>
      <c r="I83" s="11"/>
      <c r="K83" s="11"/>
    </row>
    <row r="84" spans="1:13" ht="15.75" thickBot="1" x14ac:dyDescent="0.3">
      <c r="A84" s="116"/>
      <c r="B84" s="11"/>
      <c r="C84" s="11"/>
      <c r="D84" s="11"/>
      <c r="G84" s="11"/>
      <c r="H84" s="11"/>
      <c r="I84" s="11"/>
      <c r="K84" s="11"/>
      <c r="M84" s="118"/>
    </row>
    <row r="85" spans="1:13" ht="18.75" customHeight="1" x14ac:dyDescent="0.25">
      <c r="A85" s="268" t="s">
        <v>108</v>
      </c>
      <c r="B85" s="269"/>
      <c r="C85" s="269"/>
      <c r="D85" s="269"/>
      <c r="E85" s="269"/>
      <c r="F85" s="269"/>
      <c r="G85" s="269"/>
      <c r="H85" s="269"/>
      <c r="I85" s="269"/>
      <c r="J85" s="269"/>
      <c r="K85" s="270"/>
    </row>
    <row r="86" spans="1:13" ht="3.75" customHeight="1" thickBot="1" x14ac:dyDescent="0.3">
      <c r="A86" s="271"/>
      <c r="B86" s="272"/>
      <c r="C86" s="272"/>
      <c r="D86" s="272"/>
      <c r="E86" s="272"/>
      <c r="F86" s="272"/>
      <c r="G86" s="272"/>
      <c r="H86" s="272"/>
      <c r="I86" s="272"/>
      <c r="J86" s="272"/>
      <c r="K86" s="273"/>
    </row>
    <row r="87" spans="1:13" ht="15.75" thickBot="1" x14ac:dyDescent="0.3">
      <c r="A87" s="274">
        <v>2013</v>
      </c>
      <c r="B87" s="275"/>
      <c r="C87" s="275"/>
      <c r="D87" s="275"/>
      <c r="E87" s="275"/>
      <c r="F87" s="275"/>
      <c r="G87" s="275"/>
      <c r="H87" s="275"/>
      <c r="I87" s="275"/>
      <c r="J87" s="275"/>
      <c r="K87" s="276"/>
    </row>
    <row r="88" spans="1:13" ht="12.95" customHeight="1" thickBot="1" x14ac:dyDescent="0.3">
      <c r="A88" s="111"/>
      <c r="B88" s="112" t="s">
        <v>107</v>
      </c>
      <c r="C88" s="113" t="s">
        <v>15</v>
      </c>
      <c r="D88" s="113" t="s">
        <v>16</v>
      </c>
      <c r="E88" s="17"/>
      <c r="F88" s="17"/>
      <c r="G88" s="113" t="s">
        <v>17</v>
      </c>
      <c r="H88" s="113" t="s">
        <v>18</v>
      </c>
      <c r="I88" s="114" t="s">
        <v>19</v>
      </c>
      <c r="K88" s="115" t="s">
        <v>97</v>
      </c>
    </row>
    <row r="89" spans="1:13" ht="21.75" customHeight="1" thickBot="1" x14ac:dyDescent="0.3">
      <c r="A89" s="119" t="s">
        <v>96</v>
      </c>
      <c r="B89" s="4">
        <f>SUMIF(($AD$5:$AD$25),1)/1</f>
        <v>0</v>
      </c>
      <c r="C89" s="4">
        <f>SUMIF(($AD$5:$AD$25),2)/2</f>
        <v>3</v>
      </c>
      <c r="D89" s="4">
        <f>SUMIF(($AD$5:$AD$25),3)/3</f>
        <v>0</v>
      </c>
      <c r="G89" s="4">
        <f>SUMIF(($AD$5:$AD$25),4)/4</f>
        <v>3</v>
      </c>
      <c r="H89" s="4">
        <f>SUMIF(($AD$5:$AD$25),5)/5</f>
        <v>2</v>
      </c>
      <c r="I89" s="4">
        <f>SUMIF(($AD$5:$AD$25),6)/6</f>
        <v>0</v>
      </c>
      <c r="K89" s="107">
        <f>SUM(B89:I89)</f>
        <v>8</v>
      </c>
    </row>
    <row r="90" spans="1:13" ht="21.75" customHeight="1" x14ac:dyDescent="0.25">
      <c r="A90" s="155"/>
      <c r="B90" s="11"/>
      <c r="C90" s="11"/>
      <c r="D90" s="11"/>
      <c r="G90" s="11"/>
      <c r="H90" s="11"/>
      <c r="I90" s="11"/>
      <c r="K90" s="156"/>
    </row>
    <row r="91" spans="1:13" ht="15.75" thickBot="1" x14ac:dyDescent="0.3"/>
    <row r="92" spans="1:13" x14ac:dyDescent="0.25">
      <c r="A92" s="268" t="s">
        <v>123</v>
      </c>
      <c r="B92" s="269"/>
      <c r="C92" s="269"/>
      <c r="D92" s="269"/>
      <c r="E92" s="269"/>
      <c r="F92" s="269"/>
      <c r="G92" s="270"/>
    </row>
    <row r="93" spans="1:13" ht="15.75" thickBot="1" x14ac:dyDescent="0.3">
      <c r="A93" s="271"/>
      <c r="B93" s="272"/>
      <c r="C93" s="272"/>
      <c r="D93" s="272"/>
      <c r="E93" s="272"/>
      <c r="F93" s="272"/>
      <c r="G93" s="273"/>
    </row>
    <row r="94" spans="1:13" ht="45.75" thickBot="1" x14ac:dyDescent="0.3">
      <c r="B94" s="220" t="s">
        <v>144</v>
      </c>
      <c r="C94" s="157" t="s">
        <v>140</v>
      </c>
      <c r="D94" s="157" t="s">
        <v>145</v>
      </c>
      <c r="E94" s="157"/>
      <c r="F94" s="157" t="s">
        <v>141</v>
      </c>
      <c r="G94" s="255" t="s">
        <v>146</v>
      </c>
      <c r="H94" s="220" t="s">
        <v>147</v>
      </c>
      <c r="I94" s="157" t="s">
        <v>142</v>
      </c>
      <c r="J94" s="157"/>
      <c r="K94" s="157" t="s">
        <v>143</v>
      </c>
    </row>
    <row r="95" spans="1:13" ht="15.75" thickBot="1" x14ac:dyDescent="0.3">
      <c r="A95" s="16" t="s">
        <v>111</v>
      </c>
      <c r="B95" s="4">
        <f>SUMIF(($AI$5:$AI$35),1)/1</f>
        <v>3</v>
      </c>
      <c r="C95" s="24">
        <f>SUM(B95)</f>
        <v>3</v>
      </c>
      <c r="D95" s="221">
        <f>B95*37.95</f>
        <v>113.85000000000001</v>
      </c>
      <c r="F95" s="221">
        <f>C95*37.95</f>
        <v>113.85000000000001</v>
      </c>
      <c r="G95" s="256">
        <v>14</v>
      </c>
      <c r="H95" s="24">
        <f>SUM(G95)</f>
        <v>14</v>
      </c>
      <c r="I95" s="221">
        <f>G95*0.0379</f>
        <v>0.53060000000000007</v>
      </c>
      <c r="K95" s="221">
        <f>H95*0.03795</f>
        <v>0.53129999999999999</v>
      </c>
    </row>
    <row r="96" spans="1:13" ht="15.75" thickBot="1" x14ac:dyDescent="0.3">
      <c r="A96" s="4" t="s">
        <v>112</v>
      </c>
      <c r="B96" s="4">
        <f>SUMIF(($AI$5:$AI$35),2)/2</f>
        <v>2</v>
      </c>
      <c r="C96" s="4">
        <f>SUM(B95:B96)</f>
        <v>5</v>
      </c>
      <c r="D96" s="221">
        <f t="shared" ref="D96:D106" si="29">B96*37.95</f>
        <v>75.900000000000006</v>
      </c>
      <c r="F96" s="221">
        <f>C96*18.95</f>
        <v>94.75</v>
      </c>
      <c r="G96" s="34">
        <v>43</v>
      </c>
      <c r="H96" s="4">
        <f>SUM(G95:G96)</f>
        <v>57</v>
      </c>
      <c r="I96" s="221">
        <f>G96*0.0379</f>
        <v>1.6297000000000001</v>
      </c>
      <c r="K96" s="221">
        <f>H96*0.01895</f>
        <v>1.0801500000000002</v>
      </c>
    </row>
    <row r="97" spans="1:11" ht="15.75" thickBot="1" x14ac:dyDescent="0.3">
      <c r="A97" s="4" t="s">
        <v>113</v>
      </c>
      <c r="B97" s="4">
        <f>SUMIF(($AI$5:$AI$35),3)/3</f>
        <v>3</v>
      </c>
      <c r="C97" s="4">
        <f>SUM(B95:B97)</f>
        <v>8</v>
      </c>
      <c r="D97" s="221">
        <f t="shared" si="29"/>
        <v>113.85000000000001</v>
      </c>
      <c r="F97" s="221">
        <f>C97*12.65</f>
        <v>101.2</v>
      </c>
      <c r="G97" s="34">
        <v>103</v>
      </c>
      <c r="H97" s="4">
        <f>SUM(G95:G97)</f>
        <v>160</v>
      </c>
      <c r="I97" s="221">
        <f t="shared" ref="I97:I106" si="30">G97*0.0379</f>
        <v>3.9037000000000002</v>
      </c>
      <c r="K97" s="221">
        <f>H97*0.01265</f>
        <v>2.024</v>
      </c>
    </row>
    <row r="98" spans="1:11" ht="15.75" thickBot="1" x14ac:dyDescent="0.3">
      <c r="A98" s="4" t="s">
        <v>114</v>
      </c>
      <c r="B98" s="4">
        <f>SUMIF(($AI$5:$AI$35),4)/4</f>
        <v>0</v>
      </c>
      <c r="C98" s="4">
        <f>SUM(B95:B98)</f>
        <v>8</v>
      </c>
      <c r="D98" s="221">
        <f t="shared" si="29"/>
        <v>0</v>
      </c>
      <c r="F98" s="221">
        <f>C98*9.48</f>
        <v>75.84</v>
      </c>
      <c r="G98" s="34"/>
      <c r="H98" s="4">
        <f>SUM(G95:G98)</f>
        <v>160</v>
      </c>
      <c r="I98" s="221">
        <f t="shared" si="30"/>
        <v>0</v>
      </c>
      <c r="K98" s="221">
        <f>H98*0.00948</f>
        <v>1.5168000000000001</v>
      </c>
    </row>
    <row r="99" spans="1:11" ht="15.75" thickBot="1" x14ac:dyDescent="0.3">
      <c r="A99" s="4" t="s">
        <v>115</v>
      </c>
      <c r="B99" s="4">
        <f>SUMIF(($AI$5:$AI$35),5)/5</f>
        <v>0</v>
      </c>
      <c r="C99" s="4">
        <f>SUM(B95:B99)</f>
        <v>8</v>
      </c>
      <c r="D99" s="221">
        <f t="shared" si="29"/>
        <v>0</v>
      </c>
      <c r="F99" s="221">
        <f>C99*7.59</f>
        <v>60.72</v>
      </c>
      <c r="G99" s="34"/>
      <c r="H99" s="4">
        <f>SUM(G95:G99)</f>
        <v>160</v>
      </c>
      <c r="I99" s="221">
        <f t="shared" si="30"/>
        <v>0</v>
      </c>
      <c r="K99" s="221">
        <f>H99*0.00759</f>
        <v>1.2144000000000001</v>
      </c>
    </row>
    <row r="100" spans="1:11" ht="15.75" thickBot="1" x14ac:dyDescent="0.3">
      <c r="A100" s="4" t="s">
        <v>116</v>
      </c>
      <c r="B100" s="4">
        <f>SUMIF(($AI$5:$AI$35),6)/6</f>
        <v>0</v>
      </c>
      <c r="C100" s="4">
        <f>SUM(B95:B100)</f>
        <v>8</v>
      </c>
      <c r="D100" s="221">
        <f t="shared" si="29"/>
        <v>0</v>
      </c>
      <c r="F100" s="221">
        <f>C100*6.32</f>
        <v>50.56</v>
      </c>
      <c r="G100" s="34"/>
      <c r="H100" s="4">
        <f>SUM(G95:G100)</f>
        <v>160</v>
      </c>
      <c r="I100" s="221">
        <f t="shared" si="30"/>
        <v>0</v>
      </c>
      <c r="K100" s="221">
        <f>H100*0.00632</f>
        <v>1.0112000000000001</v>
      </c>
    </row>
    <row r="101" spans="1:11" ht="15.75" thickBot="1" x14ac:dyDescent="0.3">
      <c r="A101" s="4" t="s">
        <v>117</v>
      </c>
      <c r="B101" s="4">
        <f>SUMIF(($AI$5:$AI$35),7)/7</f>
        <v>0</v>
      </c>
      <c r="C101" s="4">
        <f>SUM(B95:B101)</f>
        <v>8</v>
      </c>
      <c r="D101" s="221">
        <f t="shared" si="29"/>
        <v>0</v>
      </c>
      <c r="F101" s="221">
        <f>C101*5.42</f>
        <v>43.36</v>
      </c>
      <c r="G101" s="34"/>
      <c r="H101" s="4">
        <f>SUM(G95:G101)</f>
        <v>160</v>
      </c>
      <c r="I101" s="221">
        <f t="shared" si="30"/>
        <v>0</v>
      </c>
      <c r="K101" s="221">
        <f>H101*0.00542</f>
        <v>0.86720000000000008</v>
      </c>
    </row>
    <row r="102" spans="1:11" ht="15.75" thickBot="1" x14ac:dyDescent="0.3">
      <c r="A102" s="4" t="s">
        <v>118</v>
      </c>
      <c r="B102" s="4">
        <f>SUMIF(($AI$5:$AI$35),8)/8</f>
        <v>0</v>
      </c>
      <c r="C102" s="4">
        <f>SUM(B95:B102)</f>
        <v>8</v>
      </c>
      <c r="D102" s="221">
        <f t="shared" si="29"/>
        <v>0</v>
      </c>
      <c r="F102" s="221">
        <f>C102*4.74</f>
        <v>37.92</v>
      </c>
      <c r="G102" s="34"/>
      <c r="H102" s="4">
        <f>SUM(G95:G102)</f>
        <v>160</v>
      </c>
      <c r="I102" s="221">
        <f t="shared" si="30"/>
        <v>0</v>
      </c>
      <c r="K102" s="221">
        <f>H102*0.00474</f>
        <v>0.75840000000000007</v>
      </c>
    </row>
    <row r="103" spans="1:11" ht="15.75" thickBot="1" x14ac:dyDescent="0.3">
      <c r="A103" s="4" t="s">
        <v>119</v>
      </c>
      <c r="B103" s="4">
        <f>SUMIF(($AI$5:$AI$35),9)/9</f>
        <v>0</v>
      </c>
      <c r="C103" s="4">
        <f>SUM(B95:B103)</f>
        <v>8</v>
      </c>
      <c r="D103" s="221">
        <f t="shared" si="29"/>
        <v>0</v>
      </c>
      <c r="F103" s="221">
        <f>C103*4.21</f>
        <v>33.68</v>
      </c>
      <c r="G103" s="34"/>
      <c r="H103" s="4">
        <f>SUM(G95:G103)</f>
        <v>160</v>
      </c>
      <c r="I103" s="221">
        <f t="shared" si="30"/>
        <v>0</v>
      </c>
      <c r="K103" s="221">
        <f>H103*0.00421</f>
        <v>0.67359999999999998</v>
      </c>
    </row>
    <row r="104" spans="1:11" ht="15.75" thickBot="1" x14ac:dyDescent="0.3">
      <c r="A104" s="4" t="s">
        <v>120</v>
      </c>
      <c r="B104" s="4">
        <f>SUMIF(($AI$5:$AI$35),10)/10</f>
        <v>0</v>
      </c>
      <c r="C104" s="4">
        <f>SUM(B95:B104)</f>
        <v>8</v>
      </c>
      <c r="D104" s="221">
        <f t="shared" si="29"/>
        <v>0</v>
      </c>
      <c r="F104" s="221">
        <f>C104*3.79</f>
        <v>30.32</v>
      </c>
      <c r="G104" s="34"/>
      <c r="H104" s="4">
        <f>SUM(G95:G104)</f>
        <v>160</v>
      </c>
      <c r="I104" s="221">
        <f t="shared" si="30"/>
        <v>0</v>
      </c>
      <c r="K104" s="221">
        <f>H104*0.00379</f>
        <v>0.60640000000000005</v>
      </c>
    </row>
    <row r="105" spans="1:11" ht="15.75" thickBot="1" x14ac:dyDescent="0.3">
      <c r="A105" s="4" t="s">
        <v>121</v>
      </c>
      <c r="B105" s="4">
        <f>SUMIF(($AI$5:$AI$35),11)/11</f>
        <v>0</v>
      </c>
      <c r="C105" s="4">
        <f>SUM(B95:B105)</f>
        <v>8</v>
      </c>
      <c r="D105" s="221">
        <f t="shared" si="29"/>
        <v>0</v>
      </c>
      <c r="F105" s="221">
        <f>C105*3.49</f>
        <v>27.92</v>
      </c>
      <c r="G105" s="34"/>
      <c r="H105" s="4">
        <f>SUM(G95:G105)</f>
        <v>160</v>
      </c>
      <c r="I105" s="221">
        <f t="shared" si="30"/>
        <v>0</v>
      </c>
      <c r="K105" s="221">
        <f>H105*0.00349</f>
        <v>0.55840000000000001</v>
      </c>
    </row>
    <row r="106" spans="1:11" x14ac:dyDescent="0.25">
      <c r="A106" s="4" t="s">
        <v>122</v>
      </c>
      <c r="B106" s="4">
        <f>SUMIF(($AI$5:$AI$35),12)/12</f>
        <v>0</v>
      </c>
      <c r="C106" s="4">
        <f>SUM(B95:B106)</f>
        <v>8</v>
      </c>
      <c r="D106" s="221">
        <f t="shared" si="29"/>
        <v>0</v>
      </c>
      <c r="F106" s="221">
        <f>C106*3.16</f>
        <v>25.28</v>
      </c>
      <c r="G106" s="34"/>
      <c r="H106" s="4">
        <f>SUM(G95:G106)</f>
        <v>160</v>
      </c>
      <c r="I106" s="221">
        <f t="shared" si="30"/>
        <v>0</v>
      </c>
      <c r="K106" s="221">
        <f>H106*0.00316</f>
        <v>0.50560000000000005</v>
      </c>
    </row>
    <row r="107" spans="1:11" x14ac:dyDescent="0.25">
      <c r="B107" s="1"/>
      <c r="C107" s="11"/>
      <c r="D107" s="1"/>
      <c r="E107" s="11"/>
      <c r="F107" s="1"/>
      <c r="G107" s="1"/>
      <c r="H107" s="11"/>
      <c r="I107" s="222"/>
      <c r="J107" s="11"/>
    </row>
    <row r="108" spans="1:11" x14ac:dyDescent="0.25">
      <c r="A108" s="11"/>
      <c r="B108" s="1"/>
      <c r="C108" s="11"/>
      <c r="D108" s="1"/>
      <c r="E108" s="11"/>
      <c r="F108" s="1"/>
      <c r="G108" s="11"/>
      <c r="H108" s="11"/>
      <c r="I108" s="11"/>
      <c r="J108" s="11"/>
      <c r="K108" s="11"/>
    </row>
  </sheetData>
  <autoFilter ref="A1:Z26"/>
  <mergeCells count="12">
    <mergeCell ref="K45:L45"/>
    <mergeCell ref="A78:K79"/>
    <mergeCell ref="B80:K80"/>
    <mergeCell ref="A85:K86"/>
    <mergeCell ref="A87:K87"/>
    <mergeCell ref="A92:G93"/>
    <mergeCell ref="K5:L5"/>
    <mergeCell ref="K15:L15"/>
    <mergeCell ref="B30:C30"/>
    <mergeCell ref="B31:C31"/>
    <mergeCell ref="B32:C32"/>
    <mergeCell ref="B33:C33"/>
  </mergeCells>
  <dataValidations count="10">
    <dataValidation type="list" allowBlank="1" showInputMessage="1" showErrorMessage="1" sqref="D2:D25">
      <formula1>"M,F"</formula1>
    </dataValidation>
    <dataValidation type="list" allowBlank="1" showInputMessage="1" showErrorMessage="1" sqref="S5:S25">
      <formula1>"100,200,300,400,500,600"</formula1>
    </dataValidation>
    <dataValidation type="list" allowBlank="1" showInputMessage="1" showErrorMessage="1" sqref="T5:T25">
      <formula1>"10,20,30,40,50,60,70,80,90"</formula1>
    </dataValidation>
    <dataValidation type="list" allowBlank="1" showInputMessage="1" showErrorMessage="1" sqref="U5:U25">
      <formula1>"1,2,3,4,5,6,7,8,9"</formula1>
    </dataValidation>
    <dataValidation type="list" allowBlank="1" showInputMessage="1" showErrorMessage="1" sqref="G5:G25">
      <formula1>"EMPLOYE,AGENT MAITRISE,CADRE"</formula1>
    </dataValidation>
    <dataValidation type="date" allowBlank="1" showInputMessage="1" showErrorMessage="1" sqref="H5:H25">
      <formula1>39083</formula1>
      <formula2>42369</formula2>
    </dataValidation>
    <dataValidation type="date" allowBlank="1" showInputMessage="1" showErrorMessage="1" sqref="N5:N13 N15:N25">
      <formula1>41275</formula1>
      <formula2>43465</formula2>
    </dataValidation>
    <dataValidation type="list" allowBlank="1" showInputMessage="1" showErrorMessage="1" sqref="P2:P25">
      <formula1>"Posture,Agression,Trajet,Chimique,Morsure,Chute,Stress,Blessure,Activité Physique,Manipulation Outils,Divers"</formula1>
    </dataValidation>
    <dataValidation type="list" allowBlank="1" showInputMessage="1" showErrorMessage="1" sqref="Q5:Q25">
      <formula1>"Tête,Tronc,Membre,Psychologique,Autres"</formula1>
    </dataValidation>
    <dataValidation type="list" allowBlank="1" showInputMessage="1" showErrorMessage="1" sqref="Z2:Z25">
      <formula1>"Non,Oui"</formula1>
    </dataValidation>
  </dataValidations>
  <pageMargins left="0.75" right="0.75" top="1" bottom="1" header="0.5" footer="0.5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Tel que reçu</vt:lpstr>
      <vt:lpstr>Essai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</dc:creator>
  <cp:lastModifiedBy>lacy</cp:lastModifiedBy>
  <cp:lastPrinted>2013-03-21T09:57:55Z</cp:lastPrinted>
  <dcterms:created xsi:type="dcterms:W3CDTF">2010-11-03T09:49:14Z</dcterms:created>
  <dcterms:modified xsi:type="dcterms:W3CDTF">2013-05-07T18:56:34Z</dcterms:modified>
</cp:coreProperties>
</file>