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84" yWindow="36" windowWidth="18372" windowHeight="7416"/>
  </bookViews>
  <sheets>
    <sheet name="BD" sheetId="1" r:id="rId1"/>
  </sheets>
  <externalReferences>
    <externalReference r:id="rId2"/>
  </externalReferences>
  <definedNames>
    <definedName name="_xlnm._FilterDatabase" localSheetId="0" hidden="1">BD!$A$2:$AC$153</definedName>
    <definedName name="CLIENT">BD!$C$3:$C$339</definedName>
    <definedName name="CODE1">BD!$D$3:$D$339</definedName>
    <definedName name="Comm.__sous_traitance">BD!$O$3:$O$339</definedName>
    <definedName name="COMMEN__TAIRE">BD!$Z$3:$Z$339</definedName>
    <definedName name="DATE">BD!$A$3:$A$339</definedName>
    <definedName name="FRAIS_H.T.">BD!$R$3:$R$339</definedName>
    <definedName name="HONOS_HT">BD!$N$3:$N$339</definedName>
    <definedName name="_xlnm.Print_Titles" localSheetId="0">BD!$2:$2</definedName>
    <definedName name="LIBELLE">BD!$AA$3:$AA$339</definedName>
    <definedName name="LISTECLIENT">#REF!</definedName>
    <definedName name="Marge_brute">BD!$Q$3:$Q$339</definedName>
    <definedName name="N__fact.">BD!$B$3:$B$339</definedName>
    <definedName name="REGLEE">BD!$V$3:$V$339</definedName>
    <definedName name="Réglt_prévu_fait">BD!#REF!</definedName>
    <definedName name="RESTE_DU">BD!$Y$3:$Y$339</definedName>
    <definedName name="T.T.C.">BD!$T$3:$T$339</definedName>
    <definedName name="T.V.A.">BD!$S$3:$S$339</definedName>
    <definedName name="TVA">19.6%</definedName>
    <definedName name="Z_352CB02D_5FED_4216_B1D4_206F9378BB57_.wvu.Cols" localSheetId="0" hidden="1">BD!$D:$D,BD!$O:$Q,BD!$S:$Y</definedName>
    <definedName name="Z_352CB02D_5FED_4216_B1D4_206F9378BB57_.wvu.FilterData" localSheetId="0" hidden="1">BD!$A$2:$AA$339</definedName>
    <definedName name="Z_352CB02D_5FED_4216_B1D4_206F9378BB57_.wvu.Rows" localSheetId="0" hidden="1">BD!#REF!</definedName>
    <definedName name="_xlnm.Print_Area" localSheetId="0">BD!$A$1:$AA$340</definedName>
  </definedNames>
  <calcPr calcId="125725" concurrentCalc="0"/>
</workbook>
</file>

<file path=xl/calcChain.xml><?xml version="1.0" encoding="utf-8"?>
<calcChain xmlns="http://schemas.openxmlformats.org/spreadsheetml/2006/main">
  <c r="C348" i="1"/>
  <c r="C344"/>
  <c r="V4"/>
  <c r="V23"/>
  <c r="N347"/>
  <c r="S131"/>
  <c r="T131"/>
  <c r="Y131"/>
  <c r="N6"/>
  <c r="S6"/>
  <c r="T6"/>
  <c r="Y6"/>
  <c r="S11"/>
  <c r="T11"/>
  <c r="Y11"/>
  <c r="S18"/>
  <c r="T18"/>
  <c r="Y18"/>
  <c r="S29"/>
  <c r="T29"/>
  <c r="Y29"/>
  <c r="S41"/>
  <c r="T41"/>
  <c r="Y41"/>
  <c r="S42"/>
  <c r="T42"/>
  <c r="Y42"/>
  <c r="S43"/>
  <c r="T43"/>
  <c r="Y43"/>
  <c r="S44"/>
  <c r="T44"/>
  <c r="Y44"/>
  <c r="S45"/>
  <c r="T45"/>
  <c r="Y45"/>
  <c r="S46"/>
  <c r="T46"/>
  <c r="Y46"/>
  <c r="S57"/>
  <c r="T57"/>
  <c r="Y57"/>
  <c r="S60"/>
  <c r="T60"/>
  <c r="Y60"/>
  <c r="S61"/>
  <c r="T61"/>
  <c r="Y61"/>
  <c r="S62"/>
  <c r="T62"/>
  <c r="Y62"/>
  <c r="S64"/>
  <c r="T64"/>
  <c r="Y64"/>
  <c r="S81"/>
  <c r="T81"/>
  <c r="Y81"/>
  <c r="S82"/>
  <c r="T82"/>
  <c r="Y82"/>
  <c r="S83"/>
  <c r="T83"/>
  <c r="Y83"/>
  <c r="S84"/>
  <c r="T84"/>
  <c r="Y84"/>
  <c r="S85"/>
  <c r="T85"/>
  <c r="Y85"/>
  <c r="S86"/>
  <c r="T86"/>
  <c r="Y86"/>
  <c r="S89"/>
  <c r="T89"/>
  <c r="Y89"/>
  <c r="S91"/>
  <c r="T91"/>
  <c r="Y91"/>
  <c r="S95"/>
  <c r="T95"/>
  <c r="Y95"/>
  <c r="S96"/>
  <c r="T96"/>
  <c r="Y96"/>
  <c r="S102"/>
  <c r="T102"/>
  <c r="Y102"/>
  <c r="S105"/>
  <c r="T105"/>
  <c r="Y105"/>
  <c r="S108"/>
  <c r="T108"/>
  <c r="Y108"/>
  <c r="S112"/>
  <c r="T112"/>
  <c r="Y112"/>
  <c r="S113"/>
  <c r="T113"/>
  <c r="Y113"/>
  <c r="S114"/>
  <c r="T114"/>
  <c r="Y114"/>
  <c r="S115"/>
  <c r="T115"/>
  <c r="Y115"/>
  <c r="S116"/>
  <c r="T116"/>
  <c r="Y116"/>
  <c r="S117"/>
  <c r="T117"/>
  <c r="Y117"/>
  <c r="S118"/>
  <c r="T118"/>
  <c r="Y118"/>
  <c r="S121"/>
  <c r="T121"/>
  <c r="Y121"/>
  <c r="S124"/>
  <c r="T124"/>
  <c r="Y124"/>
  <c r="S125"/>
  <c r="T125"/>
  <c r="Y125"/>
  <c r="S126"/>
  <c r="T126"/>
  <c r="Y126"/>
  <c r="S127"/>
  <c r="T127"/>
  <c r="Y127"/>
  <c r="S134"/>
  <c r="T134"/>
  <c r="Y134"/>
  <c r="N139"/>
  <c r="S139"/>
  <c r="T139"/>
  <c r="Y139"/>
  <c r="S140"/>
  <c r="T140"/>
  <c r="Y140"/>
  <c r="S151"/>
  <c r="T151"/>
  <c r="Y151"/>
  <c r="S152"/>
  <c r="T152"/>
  <c r="Y152"/>
  <c r="S153"/>
  <c r="T153"/>
  <c r="Y153"/>
  <c r="S154"/>
  <c r="T154"/>
  <c r="Y154"/>
  <c r="S155"/>
  <c r="T155"/>
  <c r="Y155"/>
  <c r="S156"/>
  <c r="T156"/>
  <c r="Y156"/>
  <c r="S157"/>
  <c r="T157"/>
  <c r="Y157"/>
  <c r="S158"/>
  <c r="T158"/>
  <c r="Y158"/>
  <c r="S159"/>
  <c r="T159"/>
  <c r="Y159"/>
  <c r="S160"/>
  <c r="T160"/>
  <c r="Y160"/>
  <c r="S161"/>
  <c r="T161"/>
  <c r="Y161"/>
  <c r="S162"/>
  <c r="T162"/>
  <c r="Y162"/>
  <c r="S163"/>
  <c r="T163"/>
  <c r="Y163"/>
  <c r="S164"/>
  <c r="T164"/>
  <c r="Y164"/>
  <c r="S165"/>
  <c r="T165"/>
  <c r="Y165"/>
  <c r="S166"/>
  <c r="T166"/>
  <c r="Y166"/>
  <c r="S167"/>
  <c r="T167"/>
  <c r="Y167"/>
  <c r="S168"/>
  <c r="T168"/>
  <c r="Y168"/>
  <c r="S169"/>
  <c r="T169"/>
  <c r="Y169"/>
  <c r="S171"/>
  <c r="T171"/>
  <c r="Y171"/>
  <c r="S172"/>
  <c r="T172"/>
  <c r="Y172"/>
  <c r="S173"/>
  <c r="T173"/>
  <c r="Y173"/>
  <c r="S174"/>
  <c r="T174"/>
  <c r="Y174"/>
  <c r="S175"/>
  <c r="T175"/>
  <c r="Y175"/>
  <c r="S176"/>
  <c r="T176"/>
  <c r="Y176"/>
  <c r="S177"/>
  <c r="T177"/>
  <c r="Y177"/>
  <c r="S178"/>
  <c r="T178"/>
  <c r="Y178"/>
  <c r="S179"/>
  <c r="T179"/>
  <c r="Y179"/>
  <c r="S180"/>
  <c r="T180"/>
  <c r="Y180"/>
  <c r="S181"/>
  <c r="T181"/>
  <c r="Y181"/>
  <c r="S182"/>
  <c r="T182"/>
  <c r="Y182"/>
  <c r="S183"/>
  <c r="T183"/>
  <c r="Y183"/>
  <c r="S184"/>
  <c r="T184"/>
  <c r="Y184"/>
  <c r="S185"/>
  <c r="T185"/>
  <c r="Y185"/>
  <c r="S186"/>
  <c r="T186"/>
  <c r="Y186"/>
  <c r="S187"/>
  <c r="T187"/>
  <c r="Y187"/>
  <c r="S188"/>
  <c r="T188"/>
  <c r="Y188"/>
  <c r="S189"/>
  <c r="T189"/>
  <c r="Y189"/>
  <c r="S190"/>
  <c r="T190"/>
  <c r="Y190"/>
  <c r="S191"/>
  <c r="T191"/>
  <c r="Y191"/>
  <c r="S192"/>
  <c r="T192"/>
  <c r="Y192"/>
  <c r="S193"/>
  <c r="T193"/>
  <c r="Y193"/>
  <c r="S194"/>
  <c r="T194"/>
  <c r="Y194"/>
  <c r="S195"/>
  <c r="T195"/>
  <c r="Y195"/>
  <c r="S196"/>
  <c r="T196"/>
  <c r="Y196"/>
  <c r="S197"/>
  <c r="T197"/>
  <c r="Y197"/>
  <c r="S198"/>
  <c r="T198"/>
  <c r="Y198"/>
  <c r="S199"/>
  <c r="T199"/>
  <c r="Y199"/>
  <c r="S200"/>
  <c r="T200"/>
  <c r="Y200"/>
  <c r="S201"/>
  <c r="T201"/>
  <c r="Y201"/>
  <c r="S202"/>
  <c r="T202"/>
  <c r="Y202"/>
  <c r="S203"/>
  <c r="T203"/>
  <c r="Y203"/>
  <c r="S204"/>
  <c r="T204"/>
  <c r="Y204"/>
  <c r="S205"/>
  <c r="T205"/>
  <c r="Y205"/>
  <c r="S206"/>
  <c r="T206"/>
  <c r="Y206"/>
  <c r="S207"/>
  <c r="T207"/>
  <c r="Y207"/>
  <c r="S208"/>
  <c r="T208"/>
  <c r="Y208"/>
  <c r="S209"/>
  <c r="T209"/>
  <c r="Y209"/>
  <c r="S210"/>
  <c r="T210"/>
  <c r="Y210"/>
  <c r="S211"/>
  <c r="T211"/>
  <c r="Y211"/>
  <c r="S212"/>
  <c r="T212"/>
  <c r="Y212"/>
  <c r="S213"/>
  <c r="T213"/>
  <c r="Y213"/>
  <c r="S214"/>
  <c r="T214"/>
  <c r="Y214"/>
  <c r="S215"/>
  <c r="T215"/>
  <c r="Y215"/>
  <c r="S216"/>
  <c r="T216"/>
  <c r="Y216"/>
  <c r="S217"/>
  <c r="T217"/>
  <c r="Y217"/>
  <c r="S218"/>
  <c r="T218"/>
  <c r="Y218"/>
  <c r="S219"/>
  <c r="T219"/>
  <c r="Y219"/>
  <c r="S220"/>
  <c r="T220"/>
  <c r="Y220"/>
  <c r="S221"/>
  <c r="T221"/>
  <c r="Y221"/>
  <c r="S222"/>
  <c r="T222"/>
  <c r="Y222"/>
  <c r="S223"/>
  <c r="T223"/>
  <c r="Y223"/>
  <c r="S224"/>
  <c r="T224"/>
  <c r="Y224"/>
  <c r="S225"/>
  <c r="T225"/>
  <c r="Y225"/>
  <c r="S226"/>
  <c r="T226"/>
  <c r="Y226"/>
  <c r="S227"/>
  <c r="T227"/>
  <c r="Y227"/>
  <c r="S228"/>
  <c r="T228"/>
  <c r="Y228"/>
  <c r="S229"/>
  <c r="T229"/>
  <c r="Y229"/>
  <c r="S230"/>
  <c r="T230"/>
  <c r="Y230"/>
  <c r="S231"/>
  <c r="T231"/>
  <c r="Y231"/>
  <c r="S232"/>
  <c r="T232"/>
  <c r="Y232"/>
  <c r="S233"/>
  <c r="T233"/>
  <c r="Y233"/>
  <c r="S234"/>
  <c r="T234"/>
  <c r="Y234"/>
  <c r="S235"/>
  <c r="T235"/>
  <c r="Y235"/>
  <c r="S236"/>
  <c r="T236"/>
  <c r="Y236"/>
  <c r="S237"/>
  <c r="T237"/>
  <c r="Y237"/>
  <c r="S238"/>
  <c r="T238"/>
  <c r="Y238"/>
  <c r="S239"/>
  <c r="T239"/>
  <c r="Y239"/>
  <c r="S240"/>
  <c r="T240"/>
  <c r="Y240"/>
  <c r="S241"/>
  <c r="T241"/>
  <c r="Y241"/>
  <c r="S242"/>
  <c r="T242"/>
  <c r="Y242"/>
  <c r="S243"/>
  <c r="T243"/>
  <c r="Y243"/>
  <c r="S244"/>
  <c r="T244"/>
  <c r="Y244"/>
  <c r="S245"/>
  <c r="T245"/>
  <c r="Y245"/>
  <c r="S246"/>
  <c r="T246"/>
  <c r="Y246"/>
  <c r="S247"/>
  <c r="T247"/>
  <c r="Y247"/>
  <c r="S248"/>
  <c r="T248"/>
  <c r="Y248"/>
  <c r="S249"/>
  <c r="T249"/>
  <c r="Y249"/>
  <c r="S250"/>
  <c r="T250"/>
  <c r="Y250"/>
  <c r="S251"/>
  <c r="T251"/>
  <c r="Y251"/>
  <c r="S252"/>
  <c r="T252"/>
  <c r="Y252"/>
  <c r="S253"/>
  <c r="T253"/>
  <c r="Y253"/>
  <c r="S254"/>
  <c r="T254"/>
  <c r="Y254"/>
  <c r="S255"/>
  <c r="T255"/>
  <c r="Y255"/>
  <c r="S256"/>
  <c r="T256"/>
  <c r="Y256"/>
  <c r="S257"/>
  <c r="T257"/>
  <c r="Y257"/>
  <c r="S258"/>
  <c r="T258"/>
  <c r="Y258"/>
  <c r="S259"/>
  <c r="T259"/>
  <c r="Y259"/>
  <c r="S260"/>
  <c r="T260"/>
  <c r="Y260"/>
  <c r="S261"/>
  <c r="T261"/>
  <c r="Y261"/>
  <c r="S262"/>
  <c r="T262"/>
  <c r="Y262"/>
  <c r="S263"/>
  <c r="T263"/>
  <c r="Y263"/>
  <c r="S264"/>
  <c r="T264"/>
  <c r="Y264"/>
  <c r="S265"/>
  <c r="T265"/>
  <c r="Y265"/>
  <c r="S266"/>
  <c r="T266"/>
  <c r="Y266"/>
  <c r="S267"/>
  <c r="T267"/>
  <c r="Y267"/>
  <c r="S268"/>
  <c r="T268"/>
  <c r="Y268"/>
  <c r="S269"/>
  <c r="T269"/>
  <c r="Y269"/>
  <c r="S270"/>
  <c r="T270"/>
  <c r="Y270"/>
  <c r="S271"/>
  <c r="T271"/>
  <c r="Y271"/>
  <c r="S272"/>
  <c r="T272"/>
  <c r="Y272"/>
  <c r="S273"/>
  <c r="T273"/>
  <c r="Y273"/>
  <c r="S274"/>
  <c r="T274"/>
  <c r="Y274"/>
  <c r="S275"/>
  <c r="T275"/>
  <c r="Y275"/>
  <c r="S276"/>
  <c r="T276"/>
  <c r="Y276"/>
  <c r="S277"/>
  <c r="T277"/>
  <c r="Y277"/>
  <c r="S278"/>
  <c r="T278"/>
  <c r="Y278"/>
  <c r="S279"/>
  <c r="T279"/>
  <c r="Y279"/>
  <c r="S280"/>
  <c r="T280"/>
  <c r="Y280"/>
  <c r="S281"/>
  <c r="T281"/>
  <c r="Y281"/>
  <c r="S282"/>
  <c r="T282"/>
  <c r="Y282"/>
  <c r="S283"/>
  <c r="T283"/>
  <c r="Y283"/>
  <c r="S284"/>
  <c r="T284"/>
  <c r="Y284"/>
  <c r="S285"/>
  <c r="T285"/>
  <c r="Y285"/>
  <c r="S286"/>
  <c r="T286"/>
  <c r="Y286"/>
  <c r="S287"/>
  <c r="T287"/>
  <c r="Y287"/>
  <c r="S288"/>
  <c r="T288"/>
  <c r="Y288"/>
  <c r="S289"/>
  <c r="T289"/>
  <c r="Y289"/>
  <c r="S290"/>
  <c r="T290"/>
  <c r="Y290"/>
  <c r="S291"/>
  <c r="T291"/>
  <c r="Y291"/>
  <c r="S292"/>
  <c r="T292"/>
  <c r="Y292"/>
  <c r="S293"/>
  <c r="T293"/>
  <c r="Y293"/>
  <c r="S294"/>
  <c r="T294"/>
  <c r="Y294"/>
  <c r="S295"/>
  <c r="T295"/>
  <c r="Y295"/>
  <c r="S296"/>
  <c r="T296"/>
  <c r="Y296"/>
  <c r="S297"/>
  <c r="T297"/>
  <c r="Y297"/>
  <c r="S298"/>
  <c r="T298"/>
  <c r="Y298"/>
  <c r="S299"/>
  <c r="T299"/>
  <c r="Y299"/>
  <c r="S300"/>
  <c r="T300"/>
  <c r="Y300"/>
  <c r="S301"/>
  <c r="T301"/>
  <c r="Y301"/>
  <c r="S302"/>
  <c r="T302"/>
  <c r="Y302"/>
  <c r="S303"/>
  <c r="T303"/>
  <c r="Y303"/>
  <c r="S304"/>
  <c r="T304"/>
  <c r="Y304"/>
  <c r="S305"/>
  <c r="T305"/>
  <c r="Y305"/>
  <c r="S306"/>
  <c r="T306"/>
  <c r="Y306"/>
  <c r="S307"/>
  <c r="T307"/>
  <c r="Y307"/>
  <c r="S308"/>
  <c r="T308"/>
  <c r="Y308"/>
  <c r="S309"/>
  <c r="T309"/>
  <c r="Y309"/>
  <c r="S310"/>
  <c r="T310"/>
  <c r="Y310"/>
  <c r="S311"/>
  <c r="T311"/>
  <c r="Y311"/>
  <c r="S312"/>
  <c r="T312"/>
  <c r="Y312"/>
  <c r="S313"/>
  <c r="T313"/>
  <c r="Y313"/>
  <c r="S314"/>
  <c r="T314"/>
  <c r="Y314"/>
  <c r="S315"/>
  <c r="T315"/>
  <c r="Y315"/>
  <c r="S316"/>
  <c r="T316"/>
  <c r="Y316"/>
  <c r="S317"/>
  <c r="T317"/>
  <c r="Y317"/>
  <c r="S318"/>
  <c r="T318"/>
  <c r="Y318"/>
  <c r="S319"/>
  <c r="T319"/>
  <c r="Y319"/>
  <c r="S320"/>
  <c r="T320"/>
  <c r="Y320"/>
  <c r="S321"/>
  <c r="T321"/>
  <c r="Y321"/>
  <c r="S322"/>
  <c r="T322"/>
  <c r="Y322"/>
  <c r="S323"/>
  <c r="T323"/>
  <c r="Y323"/>
  <c r="S324"/>
  <c r="T324"/>
  <c r="Y324"/>
  <c r="S325"/>
  <c r="T325"/>
  <c r="Y325"/>
  <c r="S326"/>
  <c r="T326"/>
  <c r="Y326"/>
  <c r="S327"/>
  <c r="T327"/>
  <c r="Y327"/>
  <c r="S328"/>
  <c r="T328"/>
  <c r="Y328"/>
  <c r="S329"/>
  <c r="T329"/>
  <c r="Y329"/>
  <c r="S330"/>
  <c r="T330"/>
  <c r="Y330"/>
  <c r="S331"/>
  <c r="T331"/>
  <c r="Y331"/>
  <c r="S332"/>
  <c r="T332"/>
  <c r="Y332"/>
  <c r="S333"/>
  <c r="T333"/>
  <c r="Y333"/>
  <c r="S334"/>
  <c r="T334"/>
  <c r="Y334"/>
  <c r="S335"/>
  <c r="T335"/>
  <c r="Y335"/>
  <c r="S336"/>
  <c r="T336"/>
  <c r="Y336"/>
  <c r="S337"/>
  <c r="T337"/>
  <c r="Y337"/>
  <c r="S338"/>
  <c r="T338"/>
  <c r="Y338"/>
  <c r="S339"/>
  <c r="T339"/>
  <c r="Y339"/>
  <c r="C346"/>
  <c r="N4"/>
  <c r="S4"/>
  <c r="T4"/>
  <c r="Y4"/>
  <c r="S90"/>
  <c r="T90"/>
  <c r="Y90"/>
  <c r="N68"/>
  <c r="R68"/>
  <c r="S68"/>
  <c r="T68"/>
  <c r="Y68"/>
  <c r="S130"/>
  <c r="T130"/>
  <c r="Y130"/>
  <c r="N3"/>
  <c r="S3"/>
  <c r="T3"/>
  <c r="Y3"/>
  <c r="N5"/>
  <c r="S5"/>
  <c r="T5"/>
  <c r="Y5"/>
  <c r="S7"/>
  <c r="T7"/>
  <c r="Y7"/>
  <c r="S10"/>
  <c r="T10"/>
  <c r="Y10"/>
  <c r="S8"/>
  <c r="T8"/>
  <c r="Y8"/>
  <c r="S9"/>
  <c r="T9"/>
  <c r="Y9"/>
  <c r="S12"/>
  <c r="T12"/>
  <c r="Y12"/>
  <c r="S13"/>
  <c r="T13"/>
  <c r="Y13"/>
  <c r="S14"/>
  <c r="T14"/>
  <c r="Y14"/>
  <c r="S15"/>
  <c r="T15"/>
  <c r="Y15"/>
  <c r="S16"/>
  <c r="T16"/>
  <c r="Y16"/>
  <c r="S17"/>
  <c r="T17"/>
  <c r="Y17"/>
  <c r="S19"/>
  <c r="T19"/>
  <c r="Y19"/>
  <c r="S21"/>
  <c r="T21"/>
  <c r="Y21"/>
  <c r="S27"/>
  <c r="T27"/>
  <c r="Y27"/>
  <c r="S28"/>
  <c r="T28"/>
  <c r="Y28"/>
  <c r="N23"/>
  <c r="S23"/>
  <c r="T23"/>
  <c r="Y23"/>
  <c r="N22"/>
  <c r="S22"/>
  <c r="T22"/>
  <c r="Y22"/>
  <c r="N24"/>
  <c r="R24"/>
  <c r="S24"/>
  <c r="T24"/>
  <c r="Y24"/>
  <c r="N25"/>
  <c r="S25"/>
  <c r="T25"/>
  <c r="Y25"/>
  <c r="N20"/>
  <c r="S20"/>
  <c r="T20"/>
  <c r="Y20"/>
  <c r="S26"/>
  <c r="T26"/>
  <c r="Y26"/>
  <c r="S30"/>
  <c r="T30"/>
  <c r="Y30"/>
  <c r="N31"/>
  <c r="R31"/>
  <c r="S31"/>
  <c r="T31"/>
  <c r="Y31"/>
  <c r="S32"/>
  <c r="T32"/>
  <c r="Y32"/>
  <c r="S33"/>
  <c r="T33"/>
  <c r="Y33"/>
  <c r="S34"/>
  <c r="T34"/>
  <c r="Y34"/>
  <c r="S35"/>
  <c r="T35"/>
  <c r="Y35"/>
  <c r="S36"/>
  <c r="T36"/>
  <c r="Y36"/>
  <c r="S37"/>
  <c r="T37"/>
  <c r="Y37"/>
  <c r="S38"/>
  <c r="T38"/>
  <c r="Y38"/>
  <c r="S39"/>
  <c r="T39"/>
  <c r="Y39"/>
  <c r="S40"/>
  <c r="T40"/>
  <c r="Y40"/>
  <c r="S49"/>
  <c r="T49"/>
  <c r="Y49"/>
  <c r="S50"/>
  <c r="T50"/>
  <c r="Y50"/>
  <c r="S47"/>
  <c r="T47"/>
  <c r="Y47"/>
  <c r="S48"/>
  <c r="T48"/>
  <c r="Y48"/>
  <c r="S51"/>
  <c r="T51"/>
  <c r="Y51"/>
  <c r="S52"/>
  <c r="T52"/>
  <c r="Y52"/>
  <c r="S53"/>
  <c r="T53"/>
  <c r="Y53"/>
  <c r="S54"/>
  <c r="T54"/>
  <c r="Y54"/>
  <c r="S55"/>
  <c r="T55"/>
  <c r="Y55"/>
  <c r="S56"/>
  <c r="T56"/>
  <c r="Y56"/>
  <c r="S59"/>
  <c r="T59"/>
  <c r="Y59"/>
  <c r="S58"/>
  <c r="T58"/>
  <c r="Y58"/>
  <c r="S63"/>
  <c r="T63"/>
  <c r="Y63"/>
  <c r="S65"/>
  <c r="T65"/>
  <c r="Y65"/>
  <c r="S66"/>
  <c r="T66"/>
  <c r="Y66"/>
  <c r="S67"/>
  <c r="T67"/>
  <c r="Y67"/>
  <c r="S69"/>
  <c r="T69"/>
  <c r="Y69"/>
  <c r="S70"/>
  <c r="T70"/>
  <c r="Y70"/>
  <c r="S71"/>
  <c r="T71"/>
  <c r="Y71"/>
  <c r="S72"/>
  <c r="T72"/>
  <c r="Y72"/>
  <c r="S73"/>
  <c r="T73"/>
  <c r="Y73"/>
  <c r="S74"/>
  <c r="T74"/>
  <c r="Y74"/>
  <c r="S75"/>
  <c r="T75"/>
  <c r="Y75"/>
  <c r="S76"/>
  <c r="T76"/>
  <c r="Y76"/>
  <c r="S77"/>
  <c r="T77"/>
  <c r="Y77"/>
  <c r="S78"/>
  <c r="T78"/>
  <c r="Y78"/>
  <c r="S79"/>
  <c r="T79"/>
  <c r="Y79"/>
  <c r="S80"/>
  <c r="T80"/>
  <c r="Y80"/>
  <c r="S87"/>
  <c r="T87"/>
  <c r="Y87"/>
  <c r="S88"/>
  <c r="T88"/>
  <c r="Y88"/>
  <c r="S92"/>
  <c r="T92"/>
  <c r="Y92"/>
  <c r="S94"/>
  <c r="T94"/>
  <c r="Y94"/>
  <c r="S93"/>
  <c r="T93"/>
  <c r="Y93"/>
  <c r="S101"/>
  <c r="T101"/>
  <c r="Y101"/>
  <c r="S97"/>
  <c r="T97"/>
  <c r="Y97"/>
  <c r="S98"/>
  <c r="T98"/>
  <c r="Y98"/>
  <c r="S99"/>
  <c r="T99"/>
  <c r="Y99"/>
  <c r="S100"/>
  <c r="T100"/>
  <c r="Y100"/>
  <c r="S103"/>
  <c r="T103"/>
  <c r="Y103"/>
  <c r="S104"/>
  <c r="T104"/>
  <c r="Y104"/>
  <c r="S107"/>
  <c r="T107"/>
  <c r="Y107"/>
  <c r="R106"/>
  <c r="S106"/>
  <c r="T106"/>
  <c r="Y106"/>
  <c r="S109"/>
  <c r="T109"/>
  <c r="Y109"/>
  <c r="S110"/>
  <c r="T110"/>
  <c r="Y110"/>
  <c r="S111"/>
  <c r="T111"/>
  <c r="Y111"/>
  <c r="S120"/>
  <c r="T120"/>
  <c r="Y120"/>
  <c r="S119"/>
  <c r="T119"/>
  <c r="Y119"/>
  <c r="S123"/>
  <c r="T123"/>
  <c r="Y123"/>
  <c r="N122"/>
  <c r="S122"/>
  <c r="T122"/>
  <c r="Y122"/>
  <c r="S128"/>
  <c r="T128"/>
  <c r="Y128"/>
  <c r="N129"/>
  <c r="S129"/>
  <c r="T129"/>
  <c r="Y129"/>
  <c r="S133"/>
  <c r="T133"/>
  <c r="Y133"/>
  <c r="S132"/>
  <c r="T132"/>
  <c r="Y132"/>
  <c r="S135"/>
  <c r="T135"/>
  <c r="Y135"/>
  <c r="S137"/>
  <c r="T137"/>
  <c r="Y137"/>
  <c r="S138"/>
  <c r="T138"/>
  <c r="Y138"/>
  <c r="S136"/>
  <c r="T136"/>
  <c r="Y136"/>
  <c r="S144"/>
  <c r="T144"/>
  <c r="Y144"/>
  <c r="N146"/>
  <c r="S146"/>
  <c r="T146"/>
  <c r="Y146"/>
  <c r="S148"/>
  <c r="T148"/>
  <c r="Y148"/>
  <c r="S149"/>
  <c r="T149"/>
  <c r="Y149"/>
  <c r="S141"/>
  <c r="T141"/>
  <c r="Y141"/>
  <c r="N143"/>
  <c r="S143"/>
  <c r="T143"/>
  <c r="Y143"/>
  <c r="S142"/>
  <c r="T142"/>
  <c r="Y142"/>
  <c r="S145"/>
  <c r="T145"/>
  <c r="Y145"/>
  <c r="S147"/>
  <c r="T147"/>
  <c r="Y147"/>
  <c r="S150"/>
  <c r="T150"/>
  <c r="Y150"/>
  <c r="S170"/>
  <c r="T170"/>
  <c r="Y170"/>
  <c r="C345"/>
  <c r="N341"/>
  <c r="Y340"/>
  <c r="V340"/>
  <c r="T340"/>
  <c r="S340"/>
  <c r="R340"/>
  <c r="Q4"/>
  <c r="Q90"/>
  <c r="Q68"/>
  <c r="Q130"/>
  <c r="Q131"/>
  <c r="Q3"/>
  <c r="Q5"/>
  <c r="Q6"/>
  <c r="Q7"/>
  <c r="Q11"/>
  <c r="Q10"/>
  <c r="Q8"/>
  <c r="Q9"/>
  <c r="Q12"/>
  <c r="Q13"/>
  <c r="Q14"/>
  <c r="Q15"/>
  <c r="Q16"/>
  <c r="Q17"/>
  <c r="Q18"/>
  <c r="Q19"/>
  <c r="Q21"/>
  <c r="Q27"/>
  <c r="Q28"/>
  <c r="Q29"/>
  <c r="Q23"/>
  <c r="Q22"/>
  <c r="Q24"/>
  <c r="Q25"/>
  <c r="Q20"/>
  <c r="Q26"/>
  <c r="Q30"/>
  <c r="Q31"/>
  <c r="Q32"/>
  <c r="Q33"/>
  <c r="Q34"/>
  <c r="Q35"/>
  <c r="Q36"/>
  <c r="Q37"/>
  <c r="Q38"/>
  <c r="Q39"/>
  <c r="Q40"/>
  <c r="Q41"/>
  <c r="Q42"/>
  <c r="Q43"/>
  <c r="Q44"/>
  <c r="Q45"/>
  <c r="Q46"/>
  <c r="Q49"/>
  <c r="Q50"/>
  <c r="Q47"/>
  <c r="Q48"/>
  <c r="Q51"/>
  <c r="Q52"/>
  <c r="Q53"/>
  <c r="Q54"/>
  <c r="Q55"/>
  <c r="Q56"/>
  <c r="Q57"/>
  <c r="Q59"/>
  <c r="Q60"/>
  <c r="Q61"/>
  <c r="Q58"/>
  <c r="Q62"/>
  <c r="Q63"/>
  <c r="Q64"/>
  <c r="Q65"/>
  <c r="Q66"/>
  <c r="Q67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1"/>
  <c r="Q92"/>
  <c r="Q94"/>
  <c r="Q95"/>
  <c r="Q93"/>
  <c r="Q96"/>
  <c r="Q101"/>
  <c r="Q102"/>
  <c r="Q97"/>
  <c r="Q98"/>
  <c r="Q99"/>
  <c r="Q100"/>
  <c r="Q103"/>
  <c r="Q104"/>
  <c r="Q105"/>
  <c r="Q107"/>
  <c r="Q108"/>
  <c r="Q106"/>
  <c r="Q109"/>
  <c r="Q110"/>
  <c r="Q111"/>
  <c r="Q112"/>
  <c r="Q113"/>
  <c r="Q114"/>
  <c r="Q115"/>
  <c r="Q116"/>
  <c r="Q117"/>
  <c r="Q118"/>
  <c r="Q120"/>
  <c r="Q121"/>
  <c r="Q119"/>
  <c r="Q123"/>
  <c r="Q124"/>
  <c r="Q125"/>
  <c r="Q126"/>
  <c r="Q122"/>
  <c r="Q127"/>
  <c r="Q128"/>
  <c r="Q129"/>
  <c r="Q133"/>
  <c r="Q132"/>
  <c r="Q134"/>
  <c r="Q135"/>
  <c r="Q137"/>
  <c r="Q138"/>
  <c r="Q136"/>
  <c r="Q139"/>
  <c r="Q140"/>
  <c r="Q144"/>
  <c r="Q146"/>
  <c r="Q148"/>
  <c r="Q149"/>
  <c r="Q141"/>
  <c r="Q143"/>
  <c r="Q142"/>
  <c r="Q145"/>
  <c r="Q147"/>
  <c r="Q150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Q201"/>
  <c r="Q202"/>
  <c r="Q203"/>
  <c r="Q204"/>
  <c r="Q205"/>
  <c r="Q206"/>
  <c r="Q207"/>
  <c r="Q208"/>
  <c r="Q209"/>
  <c r="Q210"/>
  <c r="Q211"/>
  <c r="Q212"/>
  <c r="Q213"/>
  <c r="Q214"/>
  <c r="Q215"/>
  <c r="Q216"/>
  <c r="Q217"/>
  <c r="Q218"/>
  <c r="Q219"/>
  <c r="Q220"/>
  <c r="Q221"/>
  <c r="Q222"/>
  <c r="Q223"/>
  <c r="Q224"/>
  <c r="Q225"/>
  <c r="Q226"/>
  <c r="Q227"/>
  <c r="Q228"/>
  <c r="Q229"/>
  <c r="Q230"/>
  <c r="Q231"/>
  <c r="Q232"/>
  <c r="Q233"/>
  <c r="Q234"/>
  <c r="Q235"/>
  <c r="Q236"/>
  <c r="Q237"/>
  <c r="Q238"/>
  <c r="Q239"/>
  <c r="Q240"/>
  <c r="Q241"/>
  <c r="Q242"/>
  <c r="Q243"/>
  <c r="Q244"/>
  <c r="Q245"/>
  <c r="Q246"/>
  <c r="Q247"/>
  <c r="Q248"/>
  <c r="Q249"/>
  <c r="Q250"/>
  <c r="Q251"/>
  <c r="Q252"/>
  <c r="Q253"/>
  <c r="Q254"/>
  <c r="Q255"/>
  <c r="Q256"/>
  <c r="Q257"/>
  <c r="Q258"/>
  <c r="Q259"/>
  <c r="Q260"/>
  <c r="Q261"/>
  <c r="Q262"/>
  <c r="Q263"/>
  <c r="Q264"/>
  <c r="Q265"/>
  <c r="Q266"/>
  <c r="Q267"/>
  <c r="Q268"/>
  <c r="Q269"/>
  <c r="Q270"/>
  <c r="Q271"/>
  <c r="Q272"/>
  <c r="Q273"/>
  <c r="Q274"/>
  <c r="Q275"/>
  <c r="Q276"/>
  <c r="Q277"/>
  <c r="Q278"/>
  <c r="Q279"/>
  <c r="Q280"/>
  <c r="Q281"/>
  <c r="Q282"/>
  <c r="Q283"/>
  <c r="Q284"/>
  <c r="Q285"/>
  <c r="Q286"/>
  <c r="Q287"/>
  <c r="Q288"/>
  <c r="Q289"/>
  <c r="Q290"/>
  <c r="Q291"/>
  <c r="Q292"/>
  <c r="Q293"/>
  <c r="Q294"/>
  <c r="Q295"/>
  <c r="Q296"/>
  <c r="Q297"/>
  <c r="Q298"/>
  <c r="Q299"/>
  <c r="Q300"/>
  <c r="Q301"/>
  <c r="Q302"/>
  <c r="Q303"/>
  <c r="Q304"/>
  <c r="Q305"/>
  <c r="Q306"/>
  <c r="Q307"/>
  <c r="Q308"/>
  <c r="Q309"/>
  <c r="Q310"/>
  <c r="Q311"/>
  <c r="Q312"/>
  <c r="Q313"/>
  <c r="Q314"/>
  <c r="Q315"/>
  <c r="Q316"/>
  <c r="Q317"/>
  <c r="Q318"/>
  <c r="Q319"/>
  <c r="Q320"/>
  <c r="Q321"/>
  <c r="Q322"/>
  <c r="Q323"/>
  <c r="Q324"/>
  <c r="Q325"/>
  <c r="Q326"/>
  <c r="Q327"/>
  <c r="Q328"/>
  <c r="Q329"/>
  <c r="Q330"/>
  <c r="Q331"/>
  <c r="Q332"/>
  <c r="Q333"/>
  <c r="Q334"/>
  <c r="Q335"/>
  <c r="Q336"/>
  <c r="Q337"/>
  <c r="Q338"/>
  <c r="Q339"/>
  <c r="Q340"/>
  <c r="P340"/>
  <c r="N340"/>
  <c r="H4"/>
  <c r="H90"/>
  <c r="H130"/>
  <c r="H131"/>
  <c r="H7"/>
  <c r="H17"/>
  <c r="H28"/>
  <c r="H51"/>
  <c r="H57"/>
  <c r="H59"/>
  <c r="H60"/>
  <c r="H61"/>
  <c r="H88"/>
  <c r="H89"/>
  <c r="H94"/>
  <c r="H95"/>
  <c r="H93"/>
  <c r="H96"/>
  <c r="H99"/>
  <c r="H100"/>
  <c r="H103"/>
  <c r="H104"/>
  <c r="H107"/>
  <c r="H108"/>
  <c r="H120"/>
  <c r="H121"/>
  <c r="H128"/>
  <c r="H129"/>
  <c r="H132"/>
  <c r="H138"/>
  <c r="H136"/>
  <c r="H139"/>
  <c r="H140"/>
  <c r="H147"/>
  <c r="H340"/>
  <c r="K147"/>
  <c r="M147"/>
  <c r="K145"/>
  <c r="M145"/>
  <c r="K142"/>
  <c r="M142"/>
  <c r="K143"/>
  <c r="M143"/>
  <c r="K141"/>
  <c r="M141"/>
  <c r="K149"/>
  <c r="M149"/>
  <c r="K148"/>
  <c r="M148"/>
  <c r="K146"/>
  <c r="M146"/>
  <c r="K144"/>
  <c r="M144"/>
  <c r="K140"/>
  <c r="M140"/>
  <c r="K139"/>
  <c r="M139"/>
  <c r="K136"/>
  <c r="M136"/>
  <c r="K138"/>
  <c r="M138"/>
  <c r="K137"/>
  <c r="M137"/>
  <c r="K135"/>
  <c r="M135"/>
  <c r="K134"/>
  <c r="M134"/>
  <c r="K132"/>
  <c r="M132"/>
  <c r="K133"/>
  <c r="M133"/>
  <c r="K129"/>
  <c r="M129"/>
  <c r="K128"/>
  <c r="M128"/>
  <c r="K127"/>
  <c r="K122"/>
  <c r="K126"/>
  <c r="M126"/>
  <c r="K125"/>
  <c r="M125"/>
  <c r="K123"/>
  <c r="M123"/>
  <c r="K119"/>
  <c r="K121"/>
  <c r="M121"/>
  <c r="K120"/>
  <c r="M120"/>
  <c r="K108"/>
  <c r="M108"/>
  <c r="K107"/>
  <c r="M107"/>
  <c r="K105"/>
  <c r="M105"/>
  <c r="K104"/>
  <c r="M104"/>
  <c r="K103"/>
  <c r="M103"/>
  <c r="K100"/>
  <c r="M100"/>
  <c r="K99"/>
  <c r="M99"/>
  <c r="K102"/>
  <c r="M102"/>
  <c r="K101"/>
  <c r="M101"/>
  <c r="K96"/>
  <c r="M96"/>
  <c r="K93"/>
  <c r="M93"/>
  <c r="K95"/>
  <c r="M95"/>
  <c r="K94"/>
  <c r="M94"/>
  <c r="K92"/>
  <c r="M92"/>
  <c r="K91"/>
  <c r="K89"/>
  <c r="K88"/>
  <c r="K87"/>
  <c r="K71"/>
  <c r="M71"/>
  <c r="K67"/>
  <c r="K66"/>
  <c r="K65"/>
  <c r="K64"/>
  <c r="M64"/>
  <c r="K63"/>
  <c r="M63"/>
  <c r="K61"/>
  <c r="K60"/>
  <c r="K59"/>
  <c r="K57"/>
  <c r="K56"/>
  <c r="K51"/>
  <c r="M51"/>
  <c r="K48"/>
  <c r="M48"/>
  <c r="K47"/>
  <c r="M47"/>
  <c r="K50"/>
  <c r="M50"/>
  <c r="K49"/>
  <c r="M49"/>
  <c r="M32"/>
  <c r="K31"/>
  <c r="M30"/>
  <c r="M26"/>
  <c r="K20"/>
  <c r="M20"/>
  <c r="M24"/>
  <c r="K22"/>
  <c r="M22"/>
  <c r="K29"/>
  <c r="M29"/>
  <c r="K28"/>
  <c r="M28"/>
  <c r="K27"/>
  <c r="M27"/>
  <c r="K21"/>
  <c r="M21"/>
  <c r="K19"/>
  <c r="M19"/>
  <c r="K18"/>
  <c r="M18"/>
  <c r="K17"/>
  <c r="M17"/>
  <c r="K16"/>
  <c r="M15"/>
  <c r="M14"/>
  <c r="K13"/>
  <c r="M13"/>
  <c r="K12"/>
  <c r="K9"/>
  <c r="M9"/>
  <c r="K8"/>
  <c r="M8"/>
  <c r="K10"/>
  <c r="M10"/>
  <c r="K11"/>
  <c r="M11"/>
  <c r="K7"/>
  <c r="M7"/>
  <c r="K6"/>
  <c r="M6"/>
  <c r="K5"/>
  <c r="M5"/>
  <c r="K3"/>
  <c r="M3"/>
  <c r="K131"/>
  <c r="M131"/>
  <c r="K130"/>
  <c r="M130"/>
  <c r="K68"/>
  <c r="K90"/>
  <c r="K4"/>
  <c r="M4"/>
  <c r="Z1"/>
  <c r="C347"/>
</calcChain>
</file>

<file path=xl/comments1.xml><?xml version="1.0" encoding="utf-8"?>
<comments xmlns="http://schemas.openxmlformats.org/spreadsheetml/2006/main">
  <authors>
    <author>Nadine KHELLAT</author>
  </authors>
  <commentList>
    <comment ref="G8" authorId="0">
      <text>
        <r>
          <rPr>
            <sz val="9"/>
            <color indexed="81"/>
            <rFont val="Tahoma"/>
            <family val="2"/>
          </rPr>
          <t xml:space="preserve">BERICAP N° 16+45 : budget initial de 39 200 - 12 600 de remise = 16 800 (soit j = 1 050 i/o 1400)
</t>
        </r>
      </text>
    </comment>
    <comment ref="G9" authorId="0">
      <text>
        <r>
          <rPr>
            <sz val="9"/>
            <color indexed="81"/>
            <rFont val="Tahoma"/>
            <family val="2"/>
          </rPr>
          <t xml:space="preserve">BERICAP N° 16+45 : budget initial de 39 200 - 12 600 de remise = 16 800 (soit j = 1 050 i/o 1400)
</t>
        </r>
      </text>
    </comment>
    <comment ref="G21" authorId="0">
      <text>
        <r>
          <rPr>
            <b/>
            <sz val="9"/>
            <color indexed="81"/>
            <rFont val="Tahoma"/>
            <family val="2"/>
          </rPr>
          <t>CELSA N° 31 = budget initial 21 600 - remise 2 100 = 19 500 (soit 1 218,75/j i/o 1 400)</t>
        </r>
      </text>
    </comment>
  </commentList>
</comments>
</file>

<file path=xl/sharedStrings.xml><?xml version="1.0" encoding="utf-8"?>
<sst xmlns="http://schemas.openxmlformats.org/spreadsheetml/2006/main" count="1104" uniqueCount="309">
  <si>
    <t xml:space="preserve">DATE </t>
  </si>
  <si>
    <t>N° fact.</t>
  </si>
  <si>
    <t>CLIENT</t>
  </si>
  <si>
    <t>CODE1</t>
  </si>
  <si>
    <t>LDM / 
PV</t>
  </si>
  <si>
    <t>BUDGET</t>
  </si>
  <si>
    <t>NB J</t>
  </si>
  <si>
    <t>P.U.</t>
  </si>
  <si>
    <t>P.U. remisé</t>
  </si>
  <si>
    <t>Honos HT FACTURES</t>
  </si>
  <si>
    <t xml:space="preserve">HONOS HT </t>
  </si>
  <si>
    <t>Comm./ sous-traitance</t>
  </si>
  <si>
    <t>Réseau consult.</t>
  </si>
  <si>
    <t xml:space="preserve">Marge brute  </t>
  </si>
  <si>
    <t>FRAIS H.T.</t>
  </si>
  <si>
    <t>T.V.A.</t>
  </si>
  <si>
    <t>T.T.C.</t>
  </si>
  <si>
    <t>Échéance règlt</t>
  </si>
  <si>
    <t>Montant règlt</t>
  </si>
  <si>
    <t>Date règlt</t>
  </si>
  <si>
    <t>Mode règlt</t>
  </si>
  <si>
    <t>RESTE DU</t>
  </si>
  <si>
    <t>COMMEN- TAIRE</t>
  </si>
  <si>
    <t>NS</t>
  </si>
  <si>
    <t xml:space="preserve">65 800
= 47 x 1 400 </t>
  </si>
  <si>
    <t>solde</t>
  </si>
  <si>
    <t>29/03/13+11/06/13</t>
  </si>
  <si>
    <t>C + C</t>
  </si>
  <si>
    <t>Réglé en 2 fois</t>
  </si>
  <si>
    <t>NF : 23 040 
= 17 x 1 355,29</t>
  </si>
  <si>
    <t>ac</t>
  </si>
  <si>
    <t>ok</t>
  </si>
  <si>
    <t>C</t>
  </si>
  <si>
    <t>Règlt partiel</t>
  </si>
  <si>
    <t>26 123 
= 16,5 x 1400</t>
  </si>
  <si>
    <t>OK</t>
  </si>
  <si>
    <t>V</t>
  </si>
  <si>
    <t>TVA 8,5 %</t>
  </si>
  <si>
    <t>13 000 
= 10 x  1 300</t>
  </si>
  <si>
    <t>S</t>
  </si>
  <si>
    <t xml:space="preserve">57 400
= 41 x 1 400 </t>
  </si>
  <si>
    <t xml:space="preserve">58 500 
= 45 x 1 300 </t>
  </si>
  <si>
    <t xml:space="preserve">58 500
= 45 x 1 300 </t>
  </si>
  <si>
    <t>?</t>
  </si>
  <si>
    <t>avoir</t>
  </si>
  <si>
    <t>22 400 
= 16 x 1400</t>
  </si>
  <si>
    <t>22 400
= 16 x 1400</t>
  </si>
  <si>
    <t>39 200 - 12 600 = 16 800 x 21 j</t>
  </si>
  <si>
    <t>39 200 - 4 000 
= 35 200 x 28</t>
  </si>
  <si>
    <t xml:space="preserve"> -</t>
  </si>
  <si>
    <t>38 000
= 23,8 x 1 600</t>
  </si>
  <si>
    <t>ac +solde</t>
  </si>
  <si>
    <t>mission annulée</t>
  </si>
  <si>
    <t xml:space="preserve"> -.</t>
  </si>
  <si>
    <t>Annulé : 37 200</t>
  </si>
  <si>
    <t>Objet av interne</t>
  </si>
  <si>
    <t>avoir interne</t>
  </si>
  <si>
    <t xml:space="preserve">40 000 
= 28,6 X 1 400 </t>
  </si>
  <si>
    <t>44 800
= 32 x 1 400</t>
  </si>
  <si>
    <t xml:space="preserve">44 800
= 32 x 1 400 </t>
  </si>
  <si>
    <t>Budget = NF</t>
  </si>
  <si>
    <t>5 100 
= 5,10 x 1 000</t>
  </si>
  <si>
    <t>ac+solde</t>
  </si>
  <si>
    <t>21 600 - 2 100 
= 16 x 19 500</t>
  </si>
  <si>
    <t xml:space="preserve">ac </t>
  </si>
  <si>
    <t>21 600 - 2 100 
= 19 500 x 16</t>
  </si>
  <si>
    <t>25 650 
= 19 x 1 350</t>
  </si>
  <si>
    <t>Fac./cut off diff. = NF</t>
  </si>
  <si>
    <t>Cut off NF</t>
  </si>
  <si>
    <t xml:space="preserve">Cut off NF </t>
  </si>
  <si>
    <t>Cut off = NF</t>
  </si>
  <si>
    <t>cut off NF + régul</t>
  </si>
  <si>
    <t>cut off+ regul</t>
  </si>
  <si>
    <t>cut off</t>
  </si>
  <si>
    <t>Frais</t>
  </si>
  <si>
    <t>CUT OFF NF  39 200 = 28 x 1 400</t>
  </si>
  <si>
    <t xml:space="preserve">15 500 
= 11,10 x 1 400 </t>
  </si>
  <si>
    <t xml:space="preserve">EXCO </t>
  </si>
  <si>
    <t xml:space="preserve">solde </t>
  </si>
  <si>
    <t>Ponct.</t>
  </si>
  <si>
    <t>EXCO : 33600 = 800 E/J</t>
  </si>
  <si>
    <t>prov1</t>
  </si>
  <si>
    <t>EXCO : 33600 = 800 E/j</t>
  </si>
  <si>
    <t>prov2</t>
  </si>
  <si>
    <t>prov3</t>
  </si>
  <si>
    <t>prov4</t>
  </si>
  <si>
    <t>prov5</t>
  </si>
  <si>
    <t>prov6</t>
  </si>
  <si>
    <t>prov7</t>
  </si>
  <si>
    <t>prov8</t>
  </si>
  <si>
    <t>prov9</t>
  </si>
  <si>
    <t>prov10</t>
  </si>
  <si>
    <t>prov11</t>
  </si>
  <si>
    <t>prov12</t>
  </si>
  <si>
    <t>19 500 
= 15 x 1300</t>
  </si>
  <si>
    <t>26 000 rénégocié 19 500 = 10 x 1300</t>
  </si>
  <si>
    <t xml:space="preserve">37 100 
= 26,5 x 1 400 </t>
  </si>
  <si>
    <t>EXCO : 6 132,32 = NF</t>
  </si>
  <si>
    <t>13 000 
= 10 x 1 300</t>
  </si>
  <si>
    <t>Budget NF 2013 =  10 422,40</t>
  </si>
  <si>
    <t>prov1/4</t>
  </si>
  <si>
    <t>prov2/4</t>
  </si>
  <si>
    <t>prov3/4</t>
  </si>
  <si>
    <t>NF : 2012 
= 10 200</t>
  </si>
  <si>
    <t>3 900 
= 4,875 x 800</t>
  </si>
  <si>
    <t>58 500 
= 45 x 1 300</t>
  </si>
  <si>
    <t>EXCO 5 000 = NF</t>
  </si>
  <si>
    <t>Budget =NF</t>
  </si>
  <si>
    <t>4 900 
= 4,9 x 1 000</t>
  </si>
  <si>
    <t xml:space="preserve">ac +solde </t>
  </si>
  <si>
    <t>EXCO 7 880 = NF</t>
  </si>
  <si>
    <t>15 188 
= 5,42 x 1 400</t>
  </si>
  <si>
    <t>2 800 
= 3,5 x 800</t>
  </si>
  <si>
    <t>NF : 2 800 
= 3,5 x 800</t>
  </si>
  <si>
    <t xml:space="preserve">6 300 
= 7 x 900 </t>
  </si>
  <si>
    <t>10 400 
= 8 x 1 300</t>
  </si>
  <si>
    <t>45 000 
= 35 x 1300</t>
  </si>
  <si>
    <t>PFP</t>
  </si>
  <si>
    <t>35 000 
= 25 x 1 400</t>
  </si>
  <si>
    <t>Annulé 32 175</t>
  </si>
  <si>
    <t>14/06/13 i/o 28/05/2013</t>
  </si>
  <si>
    <t xml:space="preserve">Remplacé 38 000 </t>
  </si>
  <si>
    <t>Objet avoir</t>
  </si>
  <si>
    <t>juin</t>
  </si>
  <si>
    <t>Avoir</t>
  </si>
  <si>
    <t>32 000 
= 22,86 x 1400</t>
  </si>
  <si>
    <t>22 400 
= 16 x 1 400</t>
  </si>
  <si>
    <t>22 400 
= 16x 1 400</t>
  </si>
  <si>
    <t>25 900 
= 18,5 x 1 400</t>
  </si>
  <si>
    <t xml:space="preserve">Frais </t>
  </si>
  <si>
    <t>EXCO 5 600 = NF</t>
  </si>
  <si>
    <t>Exco</t>
  </si>
  <si>
    <t>33 600 
= 12 x 1 400</t>
  </si>
  <si>
    <t xml:space="preserve">72 800 - 12 320 = 60 480 x 25 </t>
  </si>
  <si>
    <t xml:space="preserve">10 000 
= 12,5 x 800 </t>
  </si>
  <si>
    <t>-</t>
  </si>
  <si>
    <t>Solde en 2014</t>
  </si>
  <si>
    <t>25 000 
= 31,25 x 800</t>
  </si>
  <si>
    <t>Annulé : 26 600 = 19 x 1400</t>
  </si>
  <si>
    <t>Objet avoir interne</t>
  </si>
  <si>
    <t xml:space="preserve">13 400 
= 10 x 1 340 </t>
  </si>
  <si>
    <t>ac compl.</t>
  </si>
  <si>
    <t>solde compl.</t>
  </si>
  <si>
    <t xml:space="preserve">29 240 
= 21,5 x 1 360 </t>
  </si>
  <si>
    <t xml:space="preserve">29 240 = 21,5 x 1 360 </t>
  </si>
  <si>
    <t>NF source 13/06/</t>
  </si>
  <si>
    <t>9 800 
= 7 x 1400</t>
  </si>
  <si>
    <t>119 000 
= 85 x 1 400</t>
  </si>
  <si>
    <t>25 200 
= 18 X 1 400</t>
  </si>
  <si>
    <t>49 000 
= 35 x 1 400</t>
  </si>
  <si>
    <t>pas de LDM</t>
  </si>
  <si>
    <t>9 800 
= 7 x 1 400</t>
  </si>
  <si>
    <t>Annulé : 25 200 = 18 x 1 400</t>
  </si>
  <si>
    <t>ac. Avoir</t>
  </si>
  <si>
    <t>EXCO 2 800 = NF</t>
  </si>
  <si>
    <t>Total sans cut off</t>
  </si>
  <si>
    <t>Total avec cut off</t>
  </si>
  <si>
    <t>Factures réglées</t>
  </si>
  <si>
    <t>Factures en souffrance</t>
  </si>
  <si>
    <t>Facture à émettre</t>
  </si>
  <si>
    <t>Les bons chiffres pour repère</t>
  </si>
  <si>
    <t>on devrait trouver -&gt;</t>
  </si>
  <si>
    <t>Contrôle total</t>
  </si>
  <si>
    <t>Total</t>
  </si>
  <si>
    <t>ABC</t>
  </si>
  <si>
    <t>APOLI</t>
  </si>
  <si>
    <t>BENIC</t>
  </si>
  <si>
    <t>BRIGACO</t>
  </si>
  <si>
    <t>CAISSHER</t>
  </si>
  <si>
    <t>CCABP</t>
  </si>
  <si>
    <t>CEDROMA</t>
  </si>
  <si>
    <t>CELISARIA</t>
  </si>
  <si>
    <t>CFUB</t>
  </si>
  <si>
    <t>COM PAC</t>
  </si>
  <si>
    <t>CONCORDE A</t>
  </si>
  <si>
    <t>Configuration techno</t>
  </si>
  <si>
    <t>DIGITAL PLUS</t>
  </si>
  <si>
    <t>EUROPE SA</t>
  </si>
  <si>
    <t>FARIDEL</t>
  </si>
  <si>
    <t>FECHEAU</t>
  </si>
  <si>
    <t>FECHAU</t>
  </si>
  <si>
    <t>FEDIGEL</t>
  </si>
  <si>
    <t>FOREIG E.U</t>
  </si>
  <si>
    <t>FTI</t>
  </si>
  <si>
    <t>GRAND POP</t>
  </si>
  <si>
    <t>INERTIE</t>
  </si>
  <si>
    <t>INTERNIE</t>
  </si>
  <si>
    <t>INFINITE</t>
  </si>
  <si>
    <t>KAISERO</t>
  </si>
  <si>
    <t>LASER +</t>
  </si>
  <si>
    <t>ODYSSEE</t>
  </si>
  <si>
    <t>ODYSSEE +</t>
  </si>
  <si>
    <t>PAGE former 1</t>
  </si>
  <si>
    <t>PAGE former 2</t>
  </si>
  <si>
    <t>RETOLL</t>
  </si>
  <si>
    <t>RMD2</t>
  </si>
  <si>
    <t>SCHOFFER</t>
  </si>
  <si>
    <t>SCI MARINE</t>
  </si>
  <si>
    <t>SERIF</t>
  </si>
  <si>
    <t>SG FA</t>
  </si>
  <si>
    <t>SMOKEN</t>
  </si>
  <si>
    <t>SOLIL</t>
  </si>
  <si>
    <t>SOMATER</t>
  </si>
  <si>
    <t>TOTI AP</t>
  </si>
  <si>
    <t>T Sigma</t>
  </si>
  <si>
    <t>UNIFAR</t>
  </si>
  <si>
    <t>FAC0000041</t>
  </si>
  <si>
    <t>FAC0000042</t>
  </si>
  <si>
    <t>FAC0000098</t>
  </si>
  <si>
    <t>FAC0000015</t>
  </si>
  <si>
    <t>FAC0000016</t>
  </si>
  <si>
    <t>FAC0000045</t>
  </si>
  <si>
    <t>FAC0000048</t>
  </si>
  <si>
    <t>FAC0000002</t>
  </si>
  <si>
    <t>FAC0000007</t>
  </si>
  <si>
    <t>FAC0000040</t>
  </si>
  <si>
    <t>FAC0000062</t>
  </si>
  <si>
    <t>FAC0000004</t>
  </si>
  <si>
    <t>FAC0000092</t>
  </si>
  <si>
    <t>FAC0000080</t>
  </si>
  <si>
    <t>FAC0000030</t>
  </si>
  <si>
    <t>FAC0000031</t>
  </si>
  <si>
    <t>FAC0000032</t>
  </si>
  <si>
    <t>FAC0000033</t>
  </si>
  <si>
    <t>FAC0000034</t>
  </si>
  <si>
    <t>FAC0000035</t>
  </si>
  <si>
    <t>FAC0000036</t>
  </si>
  <si>
    <t>FAC0000093</t>
  </si>
  <si>
    <t>FAC0000094</t>
  </si>
  <si>
    <t>FAC0000077</t>
  </si>
  <si>
    <t>FAC0000003</t>
  </si>
  <si>
    <t>FAC0000078</t>
  </si>
  <si>
    <t>FAC0000001</t>
  </si>
  <si>
    <t>FAC0000021</t>
  </si>
  <si>
    <t>FAC0000024</t>
  </si>
  <si>
    <t>FAC0000029</t>
  </si>
  <si>
    <t>FAC0000046</t>
  </si>
  <si>
    <t>FAC0000065</t>
  </si>
  <si>
    <t>FAC0000074</t>
  </si>
  <si>
    <t>FAC0000091</t>
  </si>
  <si>
    <t>FAC0000053</t>
  </si>
  <si>
    <t>FAC0000072</t>
  </si>
  <si>
    <t>FAC0000073</t>
  </si>
  <si>
    <t>FAC0000097</t>
  </si>
  <si>
    <t>FAC0000037</t>
  </si>
  <si>
    <t>FAC0000017</t>
  </si>
  <si>
    <t>FAC0000025</t>
  </si>
  <si>
    <t>FAC0000038</t>
  </si>
  <si>
    <t>FAC0000055</t>
  </si>
  <si>
    <t>FAC0000008</t>
  </si>
  <si>
    <t>FAC0000026</t>
  </si>
  <si>
    <t>FAC0000101</t>
  </si>
  <si>
    <t>FAC0000044</t>
  </si>
  <si>
    <t>FAC0000081</t>
  </si>
  <si>
    <t>FAC0000096</t>
  </si>
  <si>
    <t>FAC0000028</t>
  </si>
  <si>
    <t>FAC0000067</t>
  </si>
  <si>
    <t>FAC0000023</t>
  </si>
  <si>
    <t>FAC0000063</t>
  </si>
  <si>
    <t>FAC0000079</t>
  </si>
  <si>
    <t>FAC0000012</t>
  </si>
  <si>
    <t>FAC0000020</t>
  </si>
  <si>
    <t>FAC0000027</t>
  </si>
  <si>
    <t>FAC0000039</t>
  </si>
  <si>
    <t>FAC0000056</t>
  </si>
  <si>
    <t>FAC0000070</t>
  </si>
  <si>
    <t>FAC0000085</t>
  </si>
  <si>
    <t>FAC0000087</t>
  </si>
  <si>
    <t>FAC0000100</t>
  </si>
  <si>
    <t>FAC0000014</t>
  </si>
  <si>
    <t>FAC0000099</t>
  </si>
  <si>
    <t>FAC0000086</t>
  </si>
  <si>
    <t>FAC0000049</t>
  </si>
  <si>
    <t>FAC0000068</t>
  </si>
  <si>
    <t>FAC0000075</t>
  </si>
  <si>
    <t>FAC0000013</t>
  </si>
  <si>
    <t>FAC0000061</t>
  </si>
  <si>
    <t>FAC0000095</t>
  </si>
  <si>
    <t>FAC0000102</t>
  </si>
  <si>
    <t>FAC0000103</t>
  </si>
  <si>
    <t>FAC0000006</t>
  </si>
  <si>
    <t>FAC0000052</t>
  </si>
  <si>
    <t>FAC0000019</t>
  </si>
  <si>
    <t>FAC0000071</t>
  </si>
  <si>
    <t>FAC0000022</t>
  </si>
  <si>
    <t>FAC0000064</t>
  </si>
  <si>
    <t>FAC0000089</t>
  </si>
  <si>
    <t>FAC0000084</t>
  </si>
  <si>
    <t>FAC0000088</t>
  </si>
  <si>
    <t>FAC0000010</t>
  </si>
  <si>
    <t>FAC0000011</t>
  </si>
  <si>
    <t>FAC0000018</t>
  </si>
  <si>
    <t>FAC0000060</t>
  </si>
  <si>
    <t>FAC0000051</t>
  </si>
  <si>
    <t>FAC0000059</t>
  </si>
  <si>
    <t>FAC0000005</t>
  </si>
  <si>
    <t>FAC0000050</t>
  </si>
  <si>
    <t>FAC0000057</t>
  </si>
  <si>
    <t>FAC0000066</t>
  </si>
  <si>
    <t>FAC0000009</t>
  </si>
  <si>
    <t>FAC0000043</t>
  </si>
  <si>
    <t>FAC0000047</t>
  </si>
  <si>
    <t>FAC0000058</t>
  </si>
  <si>
    <t>FAC0000069</t>
  </si>
  <si>
    <t>FAC0000076</t>
  </si>
  <si>
    <t>FAC0000082</t>
  </si>
  <si>
    <t>FAC0000083</t>
  </si>
  <si>
    <t>FAC0000090</t>
  </si>
  <si>
    <t>FAC0000054</t>
  </si>
</sst>
</file>

<file path=xl/styles.xml><?xml version="1.0" encoding="utf-8"?>
<styleSheet xmlns="http://schemas.openxmlformats.org/spreadsheetml/2006/main">
  <numFmts count="18">
    <numFmt numFmtId="43" formatCode="_-* #,##0.00\ _€_-;\-* #,##0.00\ _€_-;_-* &quot;-&quot;??\ _€_-;_-@_-"/>
    <numFmt numFmtId="164" formatCode="dd/mm/yy;@"/>
    <numFmt numFmtId="165" formatCode="d\-mmm\-yy"/>
    <numFmt numFmtId="166" formatCode="[$-40C]mmm\-yy;@"/>
    <numFmt numFmtId="167" formatCode="dd/mm/yy"/>
    <numFmt numFmtId="168" formatCode="#,##0.00;[Red]\-#,##0.00"/>
    <numFmt numFmtId="169" formatCode="#,##0.0;[Red]\-#,##0.0"/>
    <numFmt numFmtId="170" formatCode="d/m/yy;@"/>
    <numFmt numFmtId="171" formatCode="#,##0.00;[Blue]\-#,##0.00"/>
    <numFmt numFmtId="172" formatCode="&quot;Inge &quot;0.00%"/>
    <numFmt numFmtId="173" formatCode="&quot;cut off &quot;#,##0.0;[Red]\-#,##0.0"/>
    <numFmt numFmtId="174" formatCode="&quot;Exco &quot;0.00%"/>
    <numFmt numFmtId="175" formatCode="&quot;No com &quot;0.00%"/>
    <numFmt numFmtId="176" formatCode="#,##0.0;[Blue]\-#,##0.0"/>
    <numFmt numFmtId="177" formatCode="0######"/>
    <numFmt numFmtId="178" formatCode="#,##0.0000000"/>
    <numFmt numFmtId="179" formatCode="#,##0.000000"/>
    <numFmt numFmtId="180" formatCode="_-* #,##0.00\ [$€]_-;\-* #,##0.00\ [$€]_-;_-* &quot;-&quot;??\ [$€]_-;_-@_-"/>
  </numFmts>
  <fonts count="29"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sz val="8"/>
      <name val="Arial"/>
      <family val="2"/>
    </font>
    <font>
      <sz val="11"/>
      <name val="Arial"/>
      <family val="2"/>
    </font>
    <font>
      <b/>
      <u/>
      <sz val="10"/>
      <name val="Arial"/>
      <family val="2"/>
    </font>
    <font>
      <b/>
      <sz val="10"/>
      <name val="Tahoma"/>
      <family val="2"/>
    </font>
    <font>
      <b/>
      <sz val="9"/>
      <name val="Tahoma"/>
      <family val="2"/>
    </font>
    <font>
      <sz val="9"/>
      <name val="Arial"/>
      <family val="2"/>
    </font>
    <font>
      <sz val="10"/>
      <name val="Tahoma"/>
      <family val="2"/>
    </font>
    <font>
      <sz val="8"/>
      <name val="Tahoma"/>
      <family val="2"/>
    </font>
    <font>
      <sz val="10"/>
      <color indexed="10"/>
      <name val="Arial"/>
      <family val="2"/>
    </font>
    <font>
      <sz val="10"/>
      <color indexed="17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0"/>
      <color rgb="FF3333FF"/>
      <name val="Tahoma"/>
      <family val="2"/>
    </font>
    <font>
      <sz val="10"/>
      <color indexed="10"/>
      <name val="Tahoma"/>
      <family val="2"/>
    </font>
    <font>
      <b/>
      <sz val="8"/>
      <name val="Tahoma"/>
      <family val="2"/>
    </font>
    <font>
      <strike/>
      <sz val="10"/>
      <name val="Arial"/>
      <family val="2"/>
    </font>
    <font>
      <sz val="7"/>
      <name val="Tahoma"/>
      <family val="2"/>
    </font>
    <font>
      <b/>
      <strike/>
      <sz val="8"/>
      <name val="Arial"/>
      <family val="2"/>
    </font>
    <font>
      <strike/>
      <sz val="8"/>
      <name val="Arial"/>
      <family val="2"/>
    </font>
    <font>
      <b/>
      <strike/>
      <sz val="10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8"/>
      <name val="Arial"/>
      <family val="2"/>
    </font>
    <font>
      <sz val="8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3" fontId="27" fillId="0" borderId="0">
      <alignment vertical="center"/>
    </xf>
    <xf numFmtId="180" fontId="1" fillId="0" borderId="0" applyFont="0" applyFill="0" applyBorder="0" applyAlignment="0" applyProtection="0"/>
  </cellStyleXfs>
  <cellXfs count="182">
    <xf numFmtId="0" fontId="0" fillId="0" borderId="0" xfId="0"/>
    <xf numFmtId="0" fontId="2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/>
    </xf>
    <xf numFmtId="0" fontId="1" fillId="0" borderId="0" xfId="0" applyFont="1" applyBorder="1" applyAlignment="1" applyProtection="1">
      <alignment vertical="center"/>
    </xf>
    <xf numFmtId="49" fontId="3" fillId="0" borderId="0" xfId="0" applyNumberFormat="1" applyFont="1" applyFill="1" applyAlignment="1" applyProtection="1">
      <alignment horizontal="center" vertical="center"/>
    </xf>
    <xf numFmtId="49" fontId="3" fillId="0" borderId="0" xfId="0" applyNumberFormat="1" applyFont="1" applyFill="1" applyAlignment="1" applyProtection="1">
      <alignment horizontal="right" vertical="center" wrapText="1"/>
    </xf>
    <xf numFmtId="49" fontId="3" fillId="0" borderId="0" xfId="0" applyNumberFormat="1" applyFont="1" applyFill="1" applyAlignment="1" applyProtection="1">
      <alignment vertical="center"/>
    </xf>
    <xf numFmtId="49" fontId="1" fillId="0" borderId="0" xfId="0" applyNumberFormat="1" applyFont="1" applyFill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vertical="center"/>
    </xf>
    <xf numFmtId="2" fontId="0" fillId="0" borderId="0" xfId="0" applyNumberFormat="1" applyAlignment="1" applyProtection="1">
      <alignment vertical="center"/>
    </xf>
    <xf numFmtId="164" fontId="0" fillId="0" borderId="0" xfId="0" applyNumberFormat="1" applyAlignment="1" applyProtection="1">
      <alignment vertical="center"/>
    </xf>
    <xf numFmtId="3" fontId="1" fillId="0" borderId="0" xfId="0" applyNumberFormat="1" applyFont="1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165" fontId="5" fillId="0" borderId="1" xfId="0" applyNumberFormat="1" applyFont="1" applyFill="1" applyBorder="1" applyAlignment="1" applyProtection="1">
      <alignment horizontal="left" vertical="center" wrapText="1"/>
    </xf>
    <xf numFmtId="0" fontId="1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165" fontId="6" fillId="0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</xf>
    <xf numFmtId="49" fontId="6" fillId="0" borderId="2" xfId="0" applyNumberFormat="1" applyFont="1" applyFill="1" applyBorder="1" applyAlignment="1" applyProtection="1">
      <alignment horizontal="center" vertical="center" wrapText="1"/>
    </xf>
    <xf numFmtId="4" fontId="6" fillId="0" borderId="2" xfId="0" applyNumberFormat="1" applyFont="1" applyFill="1" applyBorder="1" applyAlignment="1" applyProtection="1">
      <alignment horizontal="center" vertical="center" wrapText="1"/>
    </xf>
    <xf numFmtId="4" fontId="7" fillId="0" borderId="2" xfId="0" applyNumberFormat="1" applyFont="1" applyFill="1" applyBorder="1" applyAlignment="1" applyProtection="1">
      <alignment horizontal="center" vertical="center" wrapText="1"/>
    </xf>
    <xf numFmtId="164" fontId="6" fillId="0" borderId="2" xfId="0" applyNumberFormat="1" applyFont="1" applyFill="1" applyBorder="1" applyAlignment="1" applyProtection="1">
      <alignment horizontal="center" vertical="center" wrapText="1"/>
    </xf>
    <xf numFmtId="3" fontId="6" fillId="0" borderId="2" xfId="0" applyNumberFormat="1" applyFont="1" applyFill="1" applyBorder="1" applyAlignment="1" applyProtection="1">
      <alignment horizontal="center" vertical="center" wrapText="1"/>
    </xf>
    <xf numFmtId="15" fontId="6" fillId="0" borderId="2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Border="1" applyProtection="1">
      <protection locked="0"/>
    </xf>
    <xf numFmtId="164" fontId="9" fillId="0" borderId="2" xfId="0" applyNumberFormat="1" applyFont="1" applyFill="1" applyBorder="1" applyAlignment="1" applyProtection="1">
      <alignment vertical="center"/>
      <protection locked="0"/>
    </xf>
    <xf numFmtId="0" fontId="9" fillId="0" borderId="2" xfId="0" applyFont="1" applyFill="1" applyBorder="1" applyAlignment="1" applyProtection="1">
      <alignment vertical="center"/>
      <protection locked="0"/>
    </xf>
    <xf numFmtId="0" fontId="6" fillId="0" borderId="2" xfId="0" applyFont="1" applyFill="1" applyBorder="1" applyAlignment="1" applyProtection="1">
      <alignment vertical="center" wrapText="1"/>
      <protection locked="0"/>
    </xf>
    <xf numFmtId="166" fontId="9" fillId="0" borderId="2" xfId="0" applyNumberFormat="1" applyFont="1" applyFill="1" applyBorder="1" applyAlignment="1" applyProtection="1">
      <alignment horizontal="center" vertical="center" wrapText="1"/>
      <protection locked="0"/>
    </xf>
    <xf numFmtId="167" fontId="9" fillId="0" borderId="2" xfId="0" applyNumberFormat="1" applyFont="1" applyFill="1" applyBorder="1" applyAlignment="1" applyProtection="1">
      <alignment horizontal="center" vertical="center" wrapText="1"/>
      <protection locked="0"/>
    </xf>
    <xf numFmtId="168" fontId="10" fillId="0" borderId="2" xfId="0" applyNumberFormat="1" applyFont="1" applyFill="1" applyBorder="1" applyAlignment="1" applyProtection="1">
      <alignment vertical="center" wrapText="1"/>
      <protection locked="0"/>
    </xf>
    <xf numFmtId="169" fontId="9" fillId="0" borderId="2" xfId="0" applyNumberFormat="1" applyFont="1" applyFill="1" applyBorder="1" applyAlignment="1" applyProtection="1">
      <alignment horizontal="center" vertical="center" wrapText="1"/>
      <protection locked="0"/>
    </xf>
    <xf numFmtId="168" fontId="9" fillId="0" borderId="2" xfId="0" applyNumberFormat="1" applyFont="1" applyFill="1" applyBorder="1" applyAlignment="1" applyProtection="1">
      <alignment horizontal="center" vertical="center" wrapText="1"/>
      <protection locked="0"/>
    </xf>
    <xf numFmtId="168" fontId="9" fillId="0" borderId="2" xfId="0" applyNumberFormat="1" applyFont="1" applyFill="1" applyBorder="1" applyAlignment="1" applyProtection="1">
      <alignment horizontal="center" vertical="center"/>
      <protection locked="0"/>
    </xf>
    <xf numFmtId="168" fontId="9" fillId="0" borderId="2" xfId="0" applyNumberFormat="1" applyFont="1" applyFill="1" applyBorder="1" applyAlignment="1" applyProtection="1">
      <alignment horizontal="right" vertical="center"/>
      <protection locked="0"/>
    </xf>
    <xf numFmtId="170" fontId="9" fillId="0" borderId="2" xfId="0" applyNumberFormat="1" applyFont="1" applyFill="1" applyBorder="1" applyAlignment="1" applyProtection="1">
      <alignment vertical="center" wrapText="1"/>
      <protection locked="0"/>
    </xf>
    <xf numFmtId="170" fontId="9" fillId="0" borderId="2" xfId="0" applyNumberFormat="1" applyFont="1" applyFill="1" applyBorder="1" applyAlignment="1" applyProtection="1">
      <alignment horizontal="center" vertical="center" wrapText="1"/>
      <protection locked="0"/>
    </xf>
    <xf numFmtId="171" fontId="6" fillId="0" borderId="2" xfId="0" applyNumberFormat="1" applyFont="1" applyFill="1" applyBorder="1" applyAlignment="1" applyProtection="1">
      <alignment vertical="center"/>
      <protection locked="0"/>
    </xf>
    <xf numFmtId="172" fontId="10" fillId="0" borderId="2" xfId="2" applyNumberFormat="1" applyFont="1" applyFill="1" applyBorder="1" applyAlignment="1" applyProtection="1">
      <alignment horizontal="left" vertical="center" wrapText="1"/>
      <protection locked="0"/>
    </xf>
    <xf numFmtId="171" fontId="9" fillId="0" borderId="2" xfId="0" applyNumberFormat="1" applyFont="1" applyFill="1" applyBorder="1" applyAlignment="1" applyProtection="1">
      <alignment vertical="center" wrapText="1"/>
      <protection locked="0"/>
    </xf>
    <xf numFmtId="171" fontId="6" fillId="0" borderId="2" xfId="0" applyNumberFormat="1" applyFont="1" applyFill="1" applyBorder="1" applyAlignment="1" applyProtection="1">
      <alignment vertical="center" wrapText="1"/>
    </xf>
    <xf numFmtId="171" fontId="9" fillId="0" borderId="2" xfId="0" applyNumberFormat="1" applyFont="1" applyFill="1" applyBorder="1" applyAlignment="1" applyProtection="1">
      <alignment horizontal="right" vertical="center"/>
      <protection locked="0"/>
    </xf>
    <xf numFmtId="171" fontId="9" fillId="0" borderId="2" xfId="0" applyNumberFormat="1" applyFont="1" applyFill="1" applyBorder="1" applyAlignment="1" applyProtection="1">
      <alignment vertical="center" wrapText="1"/>
    </xf>
    <xf numFmtId="164" fontId="9" fillId="0" borderId="2" xfId="0" applyNumberFormat="1" applyFont="1" applyFill="1" applyBorder="1" applyAlignment="1" applyProtection="1">
      <alignment vertical="center" wrapText="1"/>
      <protection locked="0"/>
    </xf>
    <xf numFmtId="171" fontId="9" fillId="0" borderId="2" xfId="0" applyNumberFormat="1" applyFont="1" applyFill="1" applyBorder="1" applyAlignment="1" applyProtection="1">
      <alignment vertical="center"/>
      <protection locked="0"/>
    </xf>
    <xf numFmtId="4" fontId="9" fillId="0" borderId="2" xfId="0" applyNumberFormat="1" applyFont="1" applyFill="1" applyBorder="1" applyAlignment="1" applyProtection="1">
      <alignment vertical="center" wrapText="1"/>
      <protection locked="0"/>
    </xf>
    <xf numFmtId="4" fontId="9" fillId="0" borderId="2" xfId="0" applyNumberFormat="1" applyFont="1" applyFill="1" applyBorder="1" applyAlignment="1" applyProtection="1">
      <alignment vertical="center" wrapText="1"/>
    </xf>
    <xf numFmtId="43" fontId="9" fillId="0" borderId="2" xfId="1" applyFont="1" applyFill="1" applyBorder="1" applyAlignment="1" applyProtection="1">
      <alignment horizontal="left" vertical="center" wrapText="1"/>
      <protection locked="0"/>
    </xf>
    <xf numFmtId="0" fontId="9" fillId="0" borderId="2" xfId="0" applyFont="1" applyFill="1" applyBorder="1" applyAlignment="1" applyProtection="1">
      <alignment vertical="center" wrapText="1"/>
      <protection locked="0"/>
    </xf>
    <xf numFmtId="3" fontId="1" fillId="0" borderId="0" xfId="0" applyNumberFormat="1" applyFon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165" fontId="9" fillId="0" borderId="2" xfId="0" applyNumberFormat="1" applyFont="1" applyFill="1" applyBorder="1" applyAlignment="1" applyProtection="1">
      <alignment horizontal="left" vertical="center" wrapText="1"/>
      <protection locked="0"/>
    </xf>
    <xf numFmtId="0" fontId="1" fillId="0" borderId="0" xfId="0" applyFont="1" applyFill="1" applyProtection="1">
      <protection locked="0"/>
    </xf>
    <xf numFmtId="0" fontId="11" fillId="0" borderId="0" xfId="0" applyFont="1" applyFill="1" applyBorder="1" applyProtection="1">
      <protection locked="0"/>
    </xf>
    <xf numFmtId="0" fontId="1" fillId="0" borderId="0" xfId="0" applyFont="1" applyFill="1" applyAlignment="1" applyProtection="1">
      <alignment vertical="center" wrapText="1"/>
      <protection locked="0"/>
    </xf>
    <xf numFmtId="0" fontId="12" fillId="0" borderId="0" xfId="0" applyFont="1" applyFill="1" applyBorder="1" applyProtection="1">
      <protection locked="0"/>
    </xf>
    <xf numFmtId="171" fontId="10" fillId="0" borderId="2" xfId="0" applyNumberFormat="1" applyFont="1" applyFill="1" applyBorder="1" applyAlignment="1" applyProtection="1">
      <alignment vertical="center" wrapText="1"/>
      <protection locked="0"/>
    </xf>
    <xf numFmtId="3" fontId="11" fillId="0" borderId="0" xfId="0" applyNumberFormat="1" applyFont="1" applyFill="1" applyBorder="1" applyProtection="1">
      <protection locked="0"/>
    </xf>
    <xf numFmtId="0" fontId="8" fillId="0" borderId="2" xfId="0" applyFont="1" applyFill="1" applyBorder="1" applyAlignment="1" applyProtection="1">
      <alignment vertical="center" wrapText="1"/>
      <protection locked="0"/>
    </xf>
    <xf numFmtId="166" fontId="3" fillId="0" borderId="2" xfId="0" applyNumberFormat="1" applyFont="1" applyFill="1" applyBorder="1" applyAlignment="1" applyProtection="1">
      <alignment horizontal="center" vertical="center" wrapText="1"/>
      <protection locked="0"/>
    </xf>
    <xf numFmtId="4" fontId="8" fillId="0" borderId="2" xfId="0" applyNumberFormat="1" applyFont="1" applyFill="1" applyBorder="1" applyAlignment="1" applyProtection="1">
      <alignment horizontal="left" vertical="center" wrapText="1"/>
      <protection locked="0"/>
    </xf>
    <xf numFmtId="171" fontId="13" fillId="0" borderId="2" xfId="0" applyNumberFormat="1" applyFont="1" applyFill="1" applyBorder="1" applyAlignment="1" applyProtection="1">
      <alignment vertical="center" wrapText="1"/>
      <protection locked="0"/>
    </xf>
    <xf numFmtId="171" fontId="4" fillId="0" borderId="2" xfId="0" applyNumberFormat="1" applyFont="1" applyFill="1" applyBorder="1" applyAlignment="1" applyProtection="1">
      <alignment vertical="center" wrapText="1"/>
      <protection locked="0"/>
    </xf>
    <xf numFmtId="171" fontId="1" fillId="0" borderId="2" xfId="0" applyNumberFormat="1" applyFont="1" applyFill="1" applyBorder="1" applyAlignment="1" applyProtection="1">
      <alignment vertical="center" wrapText="1"/>
      <protection locked="0"/>
    </xf>
    <xf numFmtId="43" fontId="14" fillId="0" borderId="2" xfId="1" applyFont="1" applyFill="1" applyBorder="1" applyAlignment="1" applyProtection="1">
      <alignment horizontal="left" vertical="center" wrapText="1"/>
      <protection locked="0"/>
    </xf>
    <xf numFmtId="165" fontId="1" fillId="0" borderId="2" xfId="0" applyNumberFormat="1" applyFont="1" applyFill="1" applyBorder="1" applyAlignment="1" applyProtection="1">
      <alignment vertical="center" wrapText="1"/>
      <protection locked="0"/>
    </xf>
    <xf numFmtId="165" fontId="1" fillId="0" borderId="2" xfId="0" applyNumberFormat="1" applyFont="1" applyFill="1" applyBorder="1" applyAlignment="1" applyProtection="1">
      <alignment horizontal="left" vertical="center" wrapText="1"/>
      <protection locked="0"/>
    </xf>
    <xf numFmtId="171" fontId="9" fillId="0" borderId="2" xfId="0" applyNumberFormat="1" applyFont="1" applyFill="1" applyBorder="1" applyAlignment="1" applyProtection="1">
      <alignment horizontal="center" vertical="center"/>
      <protection locked="0"/>
    </xf>
    <xf numFmtId="164" fontId="15" fillId="0" borderId="2" xfId="0" applyNumberFormat="1" applyFont="1" applyFill="1" applyBorder="1" applyAlignment="1" applyProtection="1">
      <alignment vertical="center" wrapText="1"/>
      <protection locked="0"/>
    </xf>
    <xf numFmtId="43" fontId="6" fillId="0" borderId="2" xfId="1" applyFont="1" applyFill="1" applyBorder="1" applyAlignment="1" applyProtection="1">
      <alignment horizontal="left" vertical="center" wrapText="1"/>
      <protection locked="0"/>
    </xf>
    <xf numFmtId="3" fontId="12" fillId="0" borderId="0" xfId="0" applyNumberFormat="1" applyFont="1" applyFill="1" applyBorder="1" applyProtection="1">
      <protection locked="0"/>
    </xf>
    <xf numFmtId="43" fontId="6" fillId="0" borderId="2" xfId="1" applyFont="1" applyFill="1" applyBorder="1" applyAlignment="1" applyProtection="1">
      <alignment horizontal="left" vertical="top" wrapText="1"/>
      <protection locked="0"/>
    </xf>
    <xf numFmtId="43" fontId="10" fillId="0" borderId="2" xfId="1" applyFont="1" applyFill="1" applyBorder="1" applyAlignment="1" applyProtection="1">
      <alignment horizontal="center" vertical="center" wrapText="1"/>
      <protection locked="0"/>
    </xf>
    <xf numFmtId="4" fontId="15" fillId="0" borderId="2" xfId="0" applyNumberFormat="1" applyFont="1" applyFill="1" applyBorder="1" applyAlignment="1" applyProtection="1">
      <alignment vertical="center" wrapText="1"/>
      <protection locked="0"/>
    </xf>
    <xf numFmtId="168" fontId="10" fillId="2" borderId="2" xfId="0" applyNumberFormat="1" applyFont="1" applyFill="1" applyBorder="1" applyAlignment="1" applyProtection="1">
      <alignment vertical="center" wrapText="1"/>
      <protection locked="0"/>
    </xf>
    <xf numFmtId="168" fontId="9" fillId="2" borderId="2" xfId="0" applyNumberFormat="1" applyFont="1" applyFill="1" applyBorder="1" applyAlignment="1" applyProtection="1">
      <alignment horizontal="center" vertical="center" wrapText="1"/>
      <protection locked="0"/>
    </xf>
    <xf numFmtId="168" fontId="9" fillId="2" borderId="2" xfId="0" applyNumberFormat="1" applyFont="1" applyFill="1" applyBorder="1" applyAlignment="1" applyProtection="1">
      <alignment horizontal="center" vertical="center"/>
      <protection locked="0"/>
    </xf>
    <xf numFmtId="170" fontId="9" fillId="2" borderId="2" xfId="0" applyNumberFormat="1" applyFont="1" applyFill="1" applyBorder="1" applyAlignment="1" applyProtection="1">
      <alignment vertical="center" wrapText="1"/>
      <protection locked="0"/>
    </xf>
    <xf numFmtId="171" fontId="6" fillId="2" borderId="2" xfId="0" applyNumberFormat="1" applyFont="1" applyFill="1" applyBorder="1" applyAlignment="1" applyProtection="1">
      <alignment vertical="center"/>
      <protection locked="0"/>
    </xf>
    <xf numFmtId="3" fontId="1" fillId="0" borderId="0" xfId="0" applyNumberFormat="1" applyFont="1" applyFill="1" applyAlignment="1" applyProtection="1">
      <alignment vertical="center" wrapText="1"/>
      <protection locked="0"/>
    </xf>
    <xf numFmtId="165" fontId="6" fillId="0" borderId="2" xfId="0" applyNumberFormat="1" applyFont="1" applyFill="1" applyBorder="1" applyAlignment="1" applyProtection="1">
      <alignment horizontal="left" vertical="center" wrapText="1"/>
      <protection locked="0"/>
    </xf>
    <xf numFmtId="15" fontId="9" fillId="0" borderId="2" xfId="0" applyNumberFormat="1" applyFont="1" applyFill="1" applyBorder="1" applyAlignment="1" applyProtection="1">
      <alignment vertical="center" wrapText="1"/>
      <protection locked="0"/>
    </xf>
    <xf numFmtId="171" fontId="6" fillId="0" borderId="2" xfId="0" applyNumberFormat="1" applyFont="1" applyFill="1" applyBorder="1" applyAlignment="1" applyProtection="1">
      <alignment vertical="center" wrapText="1"/>
      <protection locked="0"/>
    </xf>
    <xf numFmtId="173" fontId="9" fillId="0" borderId="2" xfId="0" applyNumberFormat="1" applyFont="1" applyFill="1" applyBorder="1" applyAlignment="1" applyProtection="1">
      <alignment horizontal="center" vertical="center" wrapText="1"/>
      <protection locked="0"/>
    </xf>
    <xf numFmtId="171" fontId="6" fillId="3" borderId="2" xfId="0" applyNumberFormat="1" applyFont="1" applyFill="1" applyBorder="1" applyAlignment="1" applyProtection="1">
      <alignment vertical="center"/>
      <protection locked="0"/>
    </xf>
    <xf numFmtId="171" fontId="16" fillId="0" borderId="2" xfId="0" applyNumberFormat="1" applyFont="1" applyFill="1" applyBorder="1" applyAlignment="1" applyProtection="1">
      <alignment vertical="center" wrapText="1"/>
      <protection locked="0"/>
    </xf>
    <xf numFmtId="0" fontId="17" fillId="0" borderId="2" xfId="0" applyFont="1" applyFill="1" applyBorder="1" applyAlignment="1" applyProtection="1">
      <alignment vertical="center" wrapText="1"/>
      <protection locked="0"/>
    </xf>
    <xf numFmtId="174" fontId="10" fillId="0" borderId="2" xfId="2" applyNumberFormat="1" applyFont="1" applyFill="1" applyBorder="1" applyAlignment="1" applyProtection="1">
      <alignment horizontal="left" vertical="center" wrapText="1"/>
      <protection locked="0"/>
    </xf>
    <xf numFmtId="165" fontId="6" fillId="0" borderId="2" xfId="0" applyNumberFormat="1" applyFont="1" applyFill="1" applyBorder="1" applyAlignment="1" applyProtection="1">
      <alignment horizontal="center" wrapText="1"/>
      <protection locked="0"/>
    </xf>
    <xf numFmtId="3" fontId="12" fillId="0" borderId="0" xfId="0" applyNumberFormat="1" applyFont="1" applyFill="1" applyProtection="1">
      <protection locked="0"/>
    </xf>
    <xf numFmtId="0" fontId="12" fillId="0" borderId="0" xfId="0" applyFont="1" applyFill="1" applyProtection="1">
      <protection locked="0"/>
    </xf>
    <xf numFmtId="0" fontId="18" fillId="0" borderId="0" xfId="0" applyFont="1" applyFill="1" applyBorder="1" applyProtection="1">
      <protection locked="0"/>
    </xf>
    <xf numFmtId="170" fontId="10" fillId="0" borderId="2" xfId="0" applyNumberFormat="1" applyFont="1" applyFill="1" applyBorder="1" applyAlignment="1" applyProtection="1">
      <alignment vertical="center" wrapText="1"/>
      <protection locked="0"/>
    </xf>
    <xf numFmtId="175" fontId="19" fillId="0" borderId="2" xfId="2" applyNumberFormat="1" applyFont="1" applyFill="1" applyBorder="1" applyAlignment="1" applyProtection="1">
      <alignment horizontal="left" vertical="center" wrapText="1"/>
      <protection locked="0"/>
    </xf>
    <xf numFmtId="169" fontId="10" fillId="0" borderId="2" xfId="0" applyNumberFormat="1" applyFont="1" applyFill="1" applyBorder="1" applyAlignment="1" applyProtection="1">
      <alignment horizontal="center" vertical="center" wrapText="1"/>
      <protection locked="0"/>
    </xf>
    <xf numFmtId="175" fontId="10" fillId="0" borderId="2" xfId="2" applyNumberFormat="1" applyFont="1" applyFill="1" applyBorder="1" applyAlignment="1" applyProtection="1">
      <alignment horizontal="left" vertical="center" wrapText="1"/>
      <protection locked="0"/>
    </xf>
    <xf numFmtId="3" fontId="18" fillId="0" borderId="0" xfId="0" applyNumberFormat="1" applyFont="1" applyFill="1" applyBorder="1" applyProtection="1">
      <protection locked="0"/>
    </xf>
    <xf numFmtId="167" fontId="10" fillId="0" borderId="2" xfId="0" applyNumberFormat="1" applyFont="1" applyFill="1" applyBorder="1" applyAlignment="1" applyProtection="1">
      <alignment horizontal="center" vertical="center" wrapText="1"/>
      <protection locked="0"/>
    </xf>
    <xf numFmtId="176" fontId="9" fillId="0" borderId="2" xfId="0" applyNumberFormat="1" applyFont="1" applyFill="1" applyBorder="1" applyAlignment="1" applyProtection="1">
      <alignment horizontal="center" vertical="center"/>
      <protection locked="0"/>
    </xf>
    <xf numFmtId="170" fontId="15" fillId="0" borderId="2" xfId="0" applyNumberFormat="1" applyFont="1" applyFill="1" applyBorder="1" applyAlignment="1" applyProtection="1">
      <alignment vertical="center" wrapText="1"/>
      <protection locked="0"/>
    </xf>
    <xf numFmtId="4" fontId="9" fillId="0" borderId="2" xfId="0" applyNumberFormat="1" applyFont="1" applyFill="1" applyBorder="1" applyAlignment="1" applyProtection="1">
      <alignment vertical="center"/>
      <protection locked="0"/>
    </xf>
    <xf numFmtId="166" fontId="9" fillId="0" borderId="2" xfId="0" applyNumberFormat="1" applyFont="1" applyFill="1" applyBorder="1" applyAlignment="1" applyProtection="1">
      <alignment horizontal="center" vertical="center"/>
      <protection locked="0"/>
    </xf>
    <xf numFmtId="0" fontId="9" fillId="0" borderId="2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Fill="1" applyBorder="1" applyAlignment="1" applyProtection="1">
      <alignment vertical="center" wrapText="1"/>
      <protection locked="0"/>
    </xf>
    <xf numFmtId="0" fontId="13" fillId="0" borderId="2" xfId="0" applyFont="1" applyFill="1" applyBorder="1" applyAlignment="1" applyProtection="1">
      <alignment vertical="center" wrapText="1"/>
      <protection locked="0"/>
    </xf>
    <xf numFmtId="168" fontId="3" fillId="0" borderId="2" xfId="0" applyNumberFormat="1" applyFont="1" applyFill="1" applyBorder="1" applyAlignment="1" applyProtection="1">
      <alignment horizontal="right" vertical="center" wrapText="1"/>
      <protection locked="0"/>
    </xf>
    <xf numFmtId="168" fontId="9" fillId="0" borderId="2" xfId="0" applyNumberFormat="1" applyFont="1" applyFill="1" applyBorder="1" applyAlignment="1" applyProtection="1">
      <alignment vertical="center"/>
      <protection locked="0"/>
    </xf>
    <xf numFmtId="4" fontId="3" fillId="0" borderId="2" xfId="0" applyNumberFormat="1" applyFont="1" applyFill="1" applyBorder="1" applyAlignment="1" applyProtection="1">
      <alignment horizontal="right" vertical="center" wrapText="1"/>
      <protection locked="0"/>
    </xf>
    <xf numFmtId="4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165" fontId="14" fillId="0" borderId="2" xfId="0" applyNumberFormat="1" applyFont="1" applyFill="1" applyBorder="1" applyAlignment="1" applyProtection="1">
      <alignment horizontal="left" vertical="center" wrapText="1"/>
      <protection locked="0"/>
    </xf>
    <xf numFmtId="3" fontId="1" fillId="0" borderId="0" xfId="0" applyNumberFormat="1" applyFont="1" applyFill="1" applyProtection="1">
      <protection locked="0"/>
    </xf>
    <xf numFmtId="166" fontId="3" fillId="0" borderId="2" xfId="0" applyNumberFormat="1" applyFont="1" applyFill="1" applyBorder="1" applyAlignment="1" applyProtection="1">
      <alignment horizontal="right" vertical="center" wrapText="1"/>
      <protection locked="0"/>
    </xf>
    <xf numFmtId="165" fontId="20" fillId="0" borderId="2" xfId="0" applyNumberFormat="1" applyFont="1" applyFill="1" applyBorder="1" applyAlignment="1" applyProtection="1">
      <alignment horizontal="left" vertical="center" wrapText="1"/>
      <protection locked="0"/>
    </xf>
    <xf numFmtId="3" fontId="18" fillId="0" borderId="0" xfId="0" applyNumberFormat="1" applyFont="1" applyFill="1" applyProtection="1">
      <protection locked="0"/>
    </xf>
    <xf numFmtId="0" fontId="18" fillId="0" borderId="0" xfId="0" applyFont="1" applyFill="1" applyProtection="1">
      <protection locked="0"/>
    </xf>
    <xf numFmtId="165" fontId="3" fillId="0" borderId="2" xfId="0" applyNumberFormat="1" applyFont="1" applyFill="1" applyBorder="1" applyAlignment="1" applyProtection="1">
      <alignment horizontal="left" vertical="center" wrapText="1"/>
      <protection locked="0"/>
    </xf>
    <xf numFmtId="0" fontId="1" fillId="0" borderId="2" xfId="0" applyFont="1" applyFill="1" applyBorder="1" applyAlignment="1" applyProtection="1">
      <alignment horizontal="left" vertical="center" wrapText="1"/>
      <protection locked="0"/>
    </xf>
    <xf numFmtId="0" fontId="14" fillId="0" borderId="2" xfId="0" applyFont="1" applyFill="1" applyBorder="1" applyAlignment="1" applyProtection="1">
      <alignment horizontal="left" vertical="center" wrapText="1"/>
      <protection locked="0"/>
    </xf>
    <xf numFmtId="165" fontId="18" fillId="0" borderId="2" xfId="0" applyNumberFormat="1" applyFont="1" applyFill="1" applyBorder="1" applyAlignment="1" applyProtection="1">
      <alignment horizontal="left" vertical="center" wrapText="1"/>
      <protection locked="0"/>
    </xf>
    <xf numFmtId="0" fontId="21" fillId="0" borderId="2" xfId="0" applyFont="1" applyFill="1" applyBorder="1" applyAlignment="1" applyProtection="1">
      <alignment vertical="center" wrapText="1"/>
      <protection locked="0"/>
    </xf>
    <xf numFmtId="0" fontId="22" fillId="0" borderId="2" xfId="0" applyFont="1" applyFill="1" applyBorder="1" applyAlignment="1" applyProtection="1">
      <alignment vertical="center" wrapText="1"/>
      <protection locked="0"/>
    </xf>
    <xf numFmtId="43" fontId="3" fillId="0" borderId="2" xfId="1" applyFont="1" applyFill="1" applyBorder="1" applyAlignment="1" applyProtection="1">
      <alignment horizontal="left" vertical="center" wrapText="1"/>
      <protection locked="0"/>
    </xf>
    <xf numFmtId="0" fontId="1" fillId="0" borderId="2" xfId="0" applyFont="1" applyFill="1" applyBorder="1" applyAlignment="1" applyProtection="1">
      <alignment vertical="center" wrapText="1"/>
      <protection locked="0"/>
    </xf>
    <xf numFmtId="16" fontId="1" fillId="0" borderId="2" xfId="0" applyNumberFormat="1" applyFont="1" applyFill="1" applyBorder="1" applyAlignment="1" applyProtection="1">
      <alignment vertical="center" wrapText="1"/>
      <protection locked="0"/>
    </xf>
    <xf numFmtId="0" fontId="3" fillId="0" borderId="2" xfId="0" applyFont="1" applyFill="1" applyBorder="1" applyAlignment="1" applyProtection="1">
      <alignment horizontal="center" vertical="center" wrapText="1"/>
      <protection locked="0"/>
    </xf>
    <xf numFmtId="0" fontId="13" fillId="0" borderId="2" xfId="0" applyFont="1" applyFill="1" applyBorder="1" applyAlignment="1" applyProtection="1">
      <alignment horizontal="left" vertical="center" wrapText="1"/>
      <protection locked="0"/>
    </xf>
    <xf numFmtId="164" fontId="3" fillId="0" borderId="2" xfId="0" applyNumberFormat="1" applyFont="1" applyFill="1" applyBorder="1" applyAlignment="1" applyProtection="1">
      <alignment horizontal="left" vertical="center" wrapText="1"/>
      <protection locked="0"/>
    </xf>
    <xf numFmtId="0" fontId="3" fillId="0" borderId="2" xfId="0" applyFont="1" applyFill="1" applyBorder="1" applyProtection="1">
      <protection locked="0"/>
    </xf>
    <xf numFmtId="0" fontId="1" fillId="0" borderId="2" xfId="0" applyFont="1" applyFill="1" applyBorder="1" applyProtection="1">
      <protection locked="0"/>
    </xf>
    <xf numFmtId="0" fontId="1" fillId="0" borderId="2" xfId="0" applyFont="1" applyFill="1" applyBorder="1" applyAlignment="1" applyProtection="1">
      <alignment wrapText="1"/>
      <protection locked="0"/>
    </xf>
    <xf numFmtId="0" fontId="3" fillId="0" borderId="2" xfId="0" applyFont="1" applyFill="1" applyBorder="1" applyAlignment="1" applyProtection="1">
      <alignment vertical="center"/>
      <protection locked="0"/>
    </xf>
    <xf numFmtId="0" fontId="1" fillId="0" borderId="2" xfId="0" applyFont="1" applyFill="1" applyBorder="1" applyAlignment="1" applyProtection="1">
      <alignment vertical="center"/>
      <protection locked="0"/>
    </xf>
    <xf numFmtId="0" fontId="1" fillId="0" borderId="0" xfId="0" applyFont="1" applyFill="1" applyAlignment="1" applyProtection="1">
      <alignment vertical="center"/>
      <protection locked="0"/>
    </xf>
    <xf numFmtId="165" fontId="8" fillId="0" borderId="2" xfId="0" applyNumberFormat="1" applyFont="1" applyFill="1" applyBorder="1" applyAlignment="1" applyProtection="1">
      <alignment vertical="center" wrapText="1"/>
      <protection locked="0"/>
    </xf>
    <xf numFmtId="9" fontId="1" fillId="0" borderId="2" xfId="0" applyNumberFormat="1" applyFont="1" applyFill="1" applyBorder="1" applyAlignment="1" applyProtection="1">
      <alignment horizontal="left" vertical="center" wrapText="1"/>
      <protection locked="0"/>
    </xf>
    <xf numFmtId="0" fontId="3" fillId="0" borderId="2" xfId="0" applyFont="1" applyFill="1" applyBorder="1" applyAlignment="1" applyProtection="1">
      <alignment horizontal="left" vertical="center" wrapText="1"/>
      <protection locked="0"/>
    </xf>
    <xf numFmtId="177" fontId="3" fillId="0" borderId="2" xfId="0" applyNumberFormat="1" applyFont="1" applyFill="1" applyBorder="1" applyAlignment="1" applyProtection="1">
      <alignment vertical="center" wrapText="1"/>
      <protection locked="0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4" fontId="3" fillId="0" borderId="0" xfId="0" applyNumberFormat="1" applyFont="1" applyProtection="1">
      <protection locked="0"/>
    </xf>
    <xf numFmtId="4" fontId="3" fillId="0" borderId="0" xfId="0" applyNumberFormat="1" applyFont="1" applyFill="1" applyAlignment="1" applyProtection="1">
      <alignment horizontal="center"/>
      <protection locked="0"/>
    </xf>
    <xf numFmtId="4" fontId="3" fillId="0" borderId="0" xfId="0" applyNumberFormat="1" applyFont="1" applyFill="1" applyAlignment="1" applyProtection="1">
      <alignment horizontal="right" wrapText="1"/>
      <protection locked="0"/>
    </xf>
    <xf numFmtId="4" fontId="3" fillId="0" borderId="0" xfId="0" applyNumberFormat="1" applyFont="1" applyFill="1" applyAlignment="1" applyProtection="1">
      <protection locked="0"/>
    </xf>
    <xf numFmtId="4" fontId="3" fillId="0" borderId="0" xfId="0" applyNumberFormat="1" applyFont="1" applyFill="1" applyAlignment="1" applyProtection="1">
      <alignment horizontal="center" vertical="center" wrapText="1"/>
      <protection locked="0"/>
    </xf>
    <xf numFmtId="4" fontId="3" fillId="0" borderId="0" xfId="0" applyNumberFormat="1" applyFont="1" applyAlignment="1" applyProtection="1">
      <alignment horizontal="left" wrapText="1"/>
      <protection locked="0"/>
    </xf>
    <xf numFmtId="4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4" fontId="1" fillId="0" borderId="0" xfId="0" applyNumberFormat="1" applyFont="1" applyProtection="1">
      <protection locked="0"/>
    </xf>
    <xf numFmtId="4" fontId="3" fillId="0" borderId="0" xfId="0" applyNumberFormat="1" applyFont="1" applyAlignment="1" applyProtection="1">
      <alignment wrapText="1"/>
      <protection locked="0"/>
    </xf>
    <xf numFmtId="178" fontId="14" fillId="0" borderId="0" xfId="0" applyNumberFormat="1" applyFont="1" applyProtection="1">
      <protection locked="0"/>
    </xf>
    <xf numFmtId="3" fontId="1" fillId="0" borderId="0" xfId="0" applyNumberFormat="1" applyFont="1" applyProtection="1">
      <protection locked="0"/>
    </xf>
    <xf numFmtId="43" fontId="3" fillId="0" borderId="0" xfId="1" applyFont="1" applyProtection="1">
      <protection locked="0"/>
    </xf>
    <xf numFmtId="43" fontId="14" fillId="0" borderId="0" xfId="1" applyFont="1" applyProtection="1">
      <protection locked="0"/>
    </xf>
    <xf numFmtId="179" fontId="3" fillId="0" borderId="0" xfId="0" applyNumberFormat="1" applyFont="1" applyProtection="1">
      <protection locked="0"/>
    </xf>
    <xf numFmtId="0" fontId="3" fillId="0" borderId="0" xfId="0" applyFont="1" applyProtection="1">
      <protection locked="0"/>
    </xf>
    <xf numFmtId="49" fontId="3" fillId="0" borderId="0" xfId="0" applyNumberFormat="1" applyFont="1" applyFill="1" applyAlignment="1" applyProtection="1">
      <alignment horizontal="center"/>
      <protection locked="0"/>
    </xf>
    <xf numFmtId="49" fontId="3" fillId="0" borderId="0" xfId="0" applyNumberFormat="1" applyFont="1" applyFill="1" applyAlignment="1" applyProtection="1">
      <alignment horizontal="right" wrapText="1"/>
      <protection locked="0"/>
    </xf>
    <xf numFmtId="49" fontId="3" fillId="0" borderId="0" xfId="0" applyNumberFormat="1" applyFont="1" applyFill="1" applyAlignment="1" applyProtection="1">
      <protection locked="0"/>
    </xf>
    <xf numFmtId="49" fontId="1" fillId="0" borderId="0" xfId="0" applyNumberFormat="1" applyFont="1" applyFill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left" wrapText="1"/>
      <protection locked="0"/>
    </xf>
    <xf numFmtId="0" fontId="4" fillId="0" borderId="0" xfId="0" applyFont="1" applyProtection="1">
      <protection locked="0"/>
    </xf>
    <xf numFmtId="0" fontId="1" fillId="0" borderId="0" xfId="0" applyFont="1" applyAlignment="1" applyProtection="1">
      <alignment wrapText="1"/>
      <protection locked="0"/>
    </xf>
    <xf numFmtId="4" fontId="3" fillId="0" borderId="0" xfId="0" applyNumberFormat="1" applyFont="1" applyFill="1" applyAlignment="1" applyProtection="1">
      <alignment horizontal="left"/>
      <protection locked="0"/>
    </xf>
    <xf numFmtId="4" fontId="3" fillId="0" borderId="2" xfId="0" applyNumberFormat="1" applyFont="1" applyBorder="1" applyProtection="1">
      <protection locked="0"/>
    </xf>
    <xf numFmtId="4" fontId="28" fillId="0" borderId="2" xfId="0" applyNumberFormat="1" applyFont="1" applyBorder="1" applyProtection="1">
      <protection locked="0"/>
    </xf>
    <xf numFmtId="4" fontId="14" fillId="0" borderId="2" xfId="0" applyNumberFormat="1" applyFont="1" applyBorder="1" applyProtection="1">
      <protection locked="0"/>
    </xf>
    <xf numFmtId="4" fontId="27" fillId="0" borderId="0" xfId="0" applyNumberFormat="1" applyFont="1" applyProtection="1">
      <protection locked="0"/>
    </xf>
    <xf numFmtId="4" fontId="27" fillId="0" borderId="0" xfId="0" applyNumberFormat="1" applyFont="1"/>
    <xf numFmtId="0" fontId="23" fillId="0" borderId="2" xfId="0" applyFont="1" applyFill="1" applyBorder="1" applyAlignment="1" applyProtection="1">
      <alignment horizontal="left" vertical="center" wrapText="1"/>
    </xf>
    <xf numFmtId="165" fontId="3" fillId="0" borderId="2" xfId="0" applyNumberFormat="1" applyFont="1" applyFill="1" applyBorder="1" applyAlignment="1" applyProtection="1">
      <alignment horizontal="center" vertical="center" wrapText="1"/>
    </xf>
    <xf numFmtId="4" fontId="3" fillId="0" borderId="2" xfId="0" applyNumberFormat="1" applyFont="1" applyFill="1" applyBorder="1" applyAlignment="1" applyProtection="1">
      <alignment horizontal="right" vertical="center" wrapText="1"/>
    </xf>
    <xf numFmtId="4" fontId="13" fillId="0" borderId="2" xfId="0" applyNumberFormat="1" applyFont="1" applyFill="1" applyBorder="1" applyAlignment="1" applyProtection="1">
      <alignment vertical="center" wrapText="1"/>
    </xf>
    <xf numFmtId="4" fontId="1" fillId="0" borderId="2" xfId="0" applyNumberFormat="1" applyFont="1" applyFill="1" applyBorder="1" applyAlignment="1" applyProtection="1">
      <alignment horizontal="center" vertical="center" wrapText="1"/>
    </xf>
    <xf numFmtId="4" fontId="13" fillId="0" borderId="2" xfId="0" applyNumberFormat="1" applyFont="1" applyFill="1" applyBorder="1" applyAlignment="1" applyProtection="1">
      <alignment horizontal="left" vertical="center" wrapText="1"/>
    </xf>
    <xf numFmtId="165" fontId="5" fillId="0" borderId="2" xfId="0" applyNumberFormat="1" applyFont="1" applyFill="1" applyBorder="1" applyAlignment="1" applyProtection="1">
      <alignment horizontal="left" vertical="center" wrapText="1"/>
    </xf>
    <xf numFmtId="165" fontId="3" fillId="0" borderId="2" xfId="0" applyNumberFormat="1" applyFont="1" applyFill="1" applyBorder="1" applyAlignment="1" applyProtection="1">
      <alignment vertical="center" wrapText="1"/>
    </xf>
    <xf numFmtId="4" fontId="4" fillId="0" borderId="2" xfId="0" applyNumberFormat="1" applyFont="1" applyFill="1" applyBorder="1" applyAlignment="1" applyProtection="1">
      <alignment horizontal="left" vertical="center" wrapText="1"/>
    </xf>
    <xf numFmtId="4" fontId="4" fillId="0" borderId="2" xfId="0" applyNumberFormat="1" applyFont="1" applyFill="1" applyBorder="1" applyAlignment="1" applyProtection="1">
      <alignment vertical="center" wrapText="1"/>
    </xf>
    <xf numFmtId="4" fontId="24" fillId="0" borderId="2" xfId="0" applyNumberFormat="1" applyFont="1" applyFill="1" applyBorder="1" applyAlignment="1" applyProtection="1">
      <alignment vertical="center" wrapText="1"/>
    </xf>
    <xf numFmtId="164" fontId="13" fillId="0" borderId="2" xfId="0" applyNumberFormat="1" applyFont="1" applyFill="1" applyBorder="1" applyAlignment="1" applyProtection="1">
      <alignment vertical="center" wrapText="1"/>
    </xf>
  </cellXfs>
  <cellStyles count="5">
    <cellStyle name="8G" xfId="3"/>
    <cellStyle name="Euro" xfId="4"/>
    <cellStyle name="Milliers" xfId="1" builtinId="3"/>
    <cellStyle name="Normal" xfId="0" builtinId="0"/>
    <cellStyle name="Pourcentage" xfId="2" builtinId="5"/>
  </cellStyles>
  <dxfs count="16"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4</xdr:row>
      <xdr:rowOff>0</xdr:rowOff>
    </xdr:from>
    <xdr:to>
      <xdr:col>21</xdr:col>
      <xdr:colOff>91440</xdr:colOff>
      <xdr:row>4</xdr:row>
      <xdr:rowOff>83820</xdr:rowOff>
    </xdr:to>
    <xdr:sp macro="" textlink="">
      <xdr:nvSpPr>
        <xdr:cNvPr id="2" name="AutoShape 490" descr="espace"/>
        <xdr:cNvSpPr>
          <a:spLocks noChangeAspect="1" noChangeArrowheads="1"/>
        </xdr:cNvSpPr>
      </xdr:nvSpPr>
      <xdr:spPr bwMode="auto">
        <a:xfrm>
          <a:off x="5692140" y="2849880"/>
          <a:ext cx="91440" cy="838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21</xdr:col>
      <xdr:colOff>0</xdr:colOff>
      <xdr:row>5</xdr:row>
      <xdr:rowOff>0</xdr:rowOff>
    </xdr:from>
    <xdr:to>
      <xdr:col>21</xdr:col>
      <xdr:colOff>91440</xdr:colOff>
      <xdr:row>5</xdr:row>
      <xdr:rowOff>83820</xdr:rowOff>
    </xdr:to>
    <xdr:sp macro="" textlink="">
      <xdr:nvSpPr>
        <xdr:cNvPr id="3" name="AutoShape 490" descr="espace"/>
        <xdr:cNvSpPr>
          <a:spLocks noChangeAspect="1" noChangeArrowheads="1"/>
        </xdr:cNvSpPr>
      </xdr:nvSpPr>
      <xdr:spPr bwMode="auto">
        <a:xfrm>
          <a:off x="5692140" y="3169920"/>
          <a:ext cx="91440" cy="838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hellat\AppData\Local\Temp\INALYST%2014-06-13%201854\INADIR\R&#233;union%20JDC%20et%20MC%20du%2003-06-13\INA%20FACTURATION%2001-10-2012%20au%2031-12-2013%20V1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vertisssement"/>
      <sheetName val="BD facturation"/>
      <sheetName val="CA"/>
      <sheetName val="Etats clients au 12.06.2013"/>
      <sheetName val="Feuil2"/>
    </sheetNames>
    <sheetDataSet>
      <sheetData sheetId="0"/>
      <sheetData sheetId="1"/>
      <sheetData sheetId="2">
        <row r="57">
          <cell r="F57">
            <v>-168606.5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F363"/>
  <sheetViews>
    <sheetView tabSelected="1" workbookViewId="0">
      <pane xSplit="4" ySplit="2" topLeftCell="J150" activePane="bottomRight" state="frozen"/>
      <selection pane="topRight" activeCell="E1" sqref="E1"/>
      <selection pane="bottomLeft" activeCell="A3" sqref="A3"/>
      <selection pane="bottomRight" activeCell="U346" sqref="U346"/>
    </sheetView>
  </sheetViews>
  <sheetFormatPr baseColWidth="10" defaultColWidth="11.44140625" defaultRowHeight="13.8" outlineLevelRow="1" outlineLevelCol="1"/>
  <cols>
    <col min="1" max="1" width="10" style="139" customWidth="1"/>
    <col min="2" max="2" width="11.44140625" style="156" customWidth="1"/>
    <col min="3" max="3" width="14.33203125" style="139" customWidth="1"/>
    <col min="4" max="4" width="8.5546875" style="157" customWidth="1"/>
    <col min="5" max="5" width="10.88671875" style="157" hidden="1" customWidth="1" outlineLevel="1"/>
    <col min="6" max="6" width="4.44140625" style="157" hidden="1" customWidth="1" outlineLevel="1"/>
    <col min="7" max="7" width="11.5546875" style="158" hidden="1" customWidth="1" outlineLevel="1"/>
    <col min="8" max="8" width="9.33203125" style="157" hidden="1" customWidth="1" outlineLevel="1"/>
    <col min="9" max="9" width="10.33203125" style="157" hidden="1" customWidth="1" outlineLevel="1"/>
    <col min="10" max="10" width="10" style="157" hidden="1" customWidth="1" outlineLevel="1"/>
    <col min="11" max="11" width="12.6640625" style="159" hidden="1" customWidth="1" outlineLevel="1"/>
    <col min="12" max="12" width="7.88671875" style="158" hidden="1" customWidth="1" outlineLevel="1"/>
    <col min="13" max="13" width="3.44140625" style="160" customWidth="1" collapsed="1"/>
    <col min="14" max="14" width="13.21875" style="139" customWidth="1"/>
    <col min="15" max="15" width="12.5546875" style="161" hidden="1" customWidth="1" outlineLevel="1"/>
    <col min="16" max="16" width="9.33203125" style="162" hidden="1" customWidth="1" outlineLevel="1"/>
    <col min="17" max="17" width="13.44140625" style="162" hidden="1" customWidth="1" outlineLevel="1"/>
    <col min="18" max="19" width="11" style="140" hidden="1" customWidth="1" outlineLevel="1"/>
    <col min="20" max="20" width="12.33203125" style="140" customWidth="1" collapsed="1"/>
    <col min="21" max="21" width="9.6640625" style="148" customWidth="1"/>
    <col min="22" max="22" width="11.5546875" style="139" customWidth="1"/>
    <col min="23" max="23" width="10" style="139" customWidth="1"/>
    <col min="24" max="24" width="8.109375" style="139" customWidth="1"/>
    <col min="25" max="25" width="12" style="152" customWidth="1"/>
    <col min="26" max="26" width="11.33203125" style="140" customWidth="1"/>
    <col min="27" max="27" width="61.44140625" style="163" customWidth="1"/>
    <col min="28" max="28" width="11.44140625" style="139"/>
    <col min="29" max="16384" width="11.44140625" style="140"/>
  </cols>
  <sheetData>
    <row r="1" spans="1:32" s="17" customFormat="1" ht="36.75" customHeight="1">
      <c r="A1" s="1"/>
      <c r="B1" s="2"/>
      <c r="C1" s="3"/>
      <c r="D1" s="4"/>
      <c r="E1" s="4"/>
      <c r="F1" s="4"/>
      <c r="G1" s="5"/>
      <c r="H1" s="4"/>
      <c r="I1" s="4"/>
      <c r="J1" s="4"/>
      <c r="K1" s="6"/>
      <c r="L1" s="5"/>
      <c r="M1" s="7"/>
      <c r="N1" s="8"/>
      <c r="O1" s="9"/>
      <c r="P1" s="10"/>
      <c r="Q1" s="10"/>
      <c r="R1" s="11"/>
      <c r="S1" s="11"/>
      <c r="T1" s="11"/>
      <c r="U1" s="12"/>
      <c r="V1" s="13"/>
      <c r="W1" s="13"/>
      <c r="X1" s="13"/>
      <c r="Y1" s="13"/>
      <c r="Z1" s="14">
        <f ca="1">TODAY()</f>
        <v>41440</v>
      </c>
      <c r="AA1" s="15"/>
      <c r="AB1" s="16"/>
    </row>
    <row r="2" spans="1:32" s="26" customFormat="1" ht="36.75" customHeight="1">
      <c r="A2" s="18" t="s">
        <v>0</v>
      </c>
      <c r="B2" s="19" t="s">
        <v>1</v>
      </c>
      <c r="C2" s="19" t="s">
        <v>2</v>
      </c>
      <c r="D2" s="20" t="s">
        <v>3</v>
      </c>
      <c r="E2" s="20" t="s">
        <v>4</v>
      </c>
      <c r="F2" s="20"/>
      <c r="G2" s="21" t="s">
        <v>5</v>
      </c>
      <c r="H2" s="20" t="s">
        <v>6</v>
      </c>
      <c r="I2" s="20" t="s">
        <v>7</v>
      </c>
      <c r="J2" s="20" t="s">
        <v>8</v>
      </c>
      <c r="K2" s="20" t="s">
        <v>9</v>
      </c>
      <c r="L2" s="21"/>
      <c r="M2" s="21"/>
      <c r="N2" s="21" t="s">
        <v>10</v>
      </c>
      <c r="O2" s="22" t="s">
        <v>11</v>
      </c>
      <c r="P2" s="21" t="s">
        <v>12</v>
      </c>
      <c r="Q2" s="21" t="s">
        <v>13</v>
      </c>
      <c r="R2" s="21" t="s">
        <v>14</v>
      </c>
      <c r="S2" s="21" t="s">
        <v>15</v>
      </c>
      <c r="T2" s="21" t="s">
        <v>16</v>
      </c>
      <c r="U2" s="23" t="s">
        <v>17</v>
      </c>
      <c r="V2" s="19" t="s">
        <v>18</v>
      </c>
      <c r="W2" s="19" t="s">
        <v>19</v>
      </c>
      <c r="X2" s="19" t="s">
        <v>20</v>
      </c>
      <c r="Y2" s="24" t="s">
        <v>21</v>
      </c>
      <c r="Z2" s="25" t="s">
        <v>22</v>
      </c>
      <c r="AA2" s="18"/>
    </row>
    <row r="3" spans="1:32" s="52" customFormat="1" ht="25.5" customHeight="1">
      <c r="A3" s="27">
        <v>41304</v>
      </c>
      <c r="B3" s="28" t="s">
        <v>206</v>
      </c>
      <c r="C3" s="29" t="s">
        <v>164</v>
      </c>
      <c r="D3" s="30">
        <v>41275</v>
      </c>
      <c r="E3" s="31">
        <v>41090</v>
      </c>
      <c r="F3" s="31" t="s">
        <v>39</v>
      </c>
      <c r="G3" s="32" t="s">
        <v>40</v>
      </c>
      <c r="H3" s="33">
        <v>20.5</v>
      </c>
      <c r="I3" s="34">
        <v>1400</v>
      </c>
      <c r="J3" s="35"/>
      <c r="K3" s="36">
        <f>+H3*I3</f>
        <v>28700</v>
      </c>
      <c r="L3" s="37" t="s">
        <v>25</v>
      </c>
      <c r="M3" s="38" t="str">
        <f t="shared" ref="M3:M11" si="0">IF(K3=N3,"ok","Dif")</f>
        <v>ok</v>
      </c>
      <c r="N3" s="39">
        <f>23800+4900</f>
        <v>28700</v>
      </c>
      <c r="O3" s="40">
        <v>0.125</v>
      </c>
      <c r="P3" s="58"/>
      <c r="Q3" s="42">
        <f t="shared" ref="Q3:Q34" si="1">N3-((N3*O3)+P3)</f>
        <v>25112.5</v>
      </c>
      <c r="R3" s="43">
        <v>3609.84</v>
      </c>
      <c r="S3" s="44">
        <f t="shared" ref="S3:S34" si="2">(N3+R3)*19.6%</f>
        <v>6332.7286400000003</v>
      </c>
      <c r="T3" s="44">
        <f t="shared" ref="T3:T34" si="3">S3+N3+R3</f>
        <v>38642.568639999998</v>
      </c>
      <c r="U3" s="45"/>
      <c r="V3" s="41">
        <v>38642.57</v>
      </c>
      <c r="W3" s="27">
        <v>41347</v>
      </c>
      <c r="X3" s="47" t="s">
        <v>36</v>
      </c>
      <c r="Y3" s="48">
        <f t="shared" ref="Y3:Y34" si="4">T3-V3</f>
        <v>-1.3600000020232983E-3</v>
      </c>
      <c r="Z3" s="49"/>
      <c r="AA3" s="50"/>
      <c r="AB3" s="59"/>
      <c r="AC3" s="55"/>
    </row>
    <row r="4" spans="1:32" s="52" customFormat="1" ht="25.5" customHeight="1">
      <c r="A4" s="27">
        <v>41304</v>
      </c>
      <c r="B4" s="28" t="s">
        <v>207</v>
      </c>
      <c r="C4" s="29" t="s">
        <v>165</v>
      </c>
      <c r="D4" s="30">
        <v>41275</v>
      </c>
      <c r="E4" s="31">
        <v>41266</v>
      </c>
      <c r="F4" s="31" t="s">
        <v>23</v>
      </c>
      <c r="G4" s="32" t="s">
        <v>24</v>
      </c>
      <c r="H4" s="33">
        <f>47/2</f>
        <v>23.5</v>
      </c>
      <c r="I4" s="34"/>
      <c r="J4" s="35">
        <v>1300</v>
      </c>
      <c r="K4" s="36">
        <f t="shared" ref="K4:K13" si="5">IF(J4&gt;0,H4*J4,H4*I4)</f>
        <v>30550</v>
      </c>
      <c r="L4" s="37" t="s">
        <v>25</v>
      </c>
      <c r="M4" s="38" t="str">
        <f t="shared" si="0"/>
        <v>ok</v>
      </c>
      <c r="N4" s="39">
        <f>22750+7800</f>
        <v>30550</v>
      </c>
      <c r="O4" s="40">
        <v>0.125</v>
      </c>
      <c r="P4" s="41"/>
      <c r="Q4" s="42">
        <f t="shared" si="1"/>
        <v>26731.25</v>
      </c>
      <c r="R4" s="43">
        <v>3805.21</v>
      </c>
      <c r="S4" s="44">
        <f t="shared" si="2"/>
        <v>6733.6211599999997</v>
      </c>
      <c r="T4" s="44">
        <f t="shared" si="3"/>
        <v>41088.831160000002</v>
      </c>
      <c r="U4" s="45"/>
      <c r="V4" s="46">
        <f>38391.6+2697.23</f>
        <v>41088.83</v>
      </c>
      <c r="W4" s="45" t="s">
        <v>26</v>
      </c>
      <c r="X4" s="47" t="s">
        <v>27</v>
      </c>
      <c r="Y4" s="48">
        <f t="shared" si="4"/>
        <v>1.1599999997997656E-3</v>
      </c>
      <c r="Z4" s="49" t="s">
        <v>28</v>
      </c>
      <c r="AA4" s="50"/>
      <c r="AB4" s="51"/>
    </row>
    <row r="5" spans="1:32" s="52" customFormat="1" ht="25.5" customHeight="1">
      <c r="A5" s="27">
        <v>41435</v>
      </c>
      <c r="B5" s="60" t="s">
        <v>208</v>
      </c>
      <c r="C5" s="29" t="s">
        <v>165</v>
      </c>
      <c r="D5" s="30">
        <v>41426</v>
      </c>
      <c r="E5" s="31">
        <v>41435</v>
      </c>
      <c r="F5" s="61" t="s">
        <v>23</v>
      </c>
      <c r="G5" s="32" t="s">
        <v>41</v>
      </c>
      <c r="H5" s="33">
        <v>22.5</v>
      </c>
      <c r="I5" s="34">
        <v>1300</v>
      </c>
      <c r="J5" s="35"/>
      <c r="K5" s="36">
        <f t="shared" si="5"/>
        <v>29250</v>
      </c>
      <c r="L5" s="62" t="s">
        <v>30</v>
      </c>
      <c r="M5" s="38" t="str">
        <f t="shared" si="0"/>
        <v>ok</v>
      </c>
      <c r="N5" s="63">
        <f>22750+6500</f>
        <v>29250</v>
      </c>
      <c r="O5" s="40">
        <v>0.125</v>
      </c>
      <c r="P5" s="64"/>
      <c r="Q5" s="42">
        <f t="shared" si="1"/>
        <v>25593.75</v>
      </c>
      <c r="R5" s="65"/>
      <c r="S5" s="44">
        <f t="shared" si="2"/>
        <v>5733</v>
      </c>
      <c r="T5" s="44">
        <f t="shared" si="3"/>
        <v>34983</v>
      </c>
      <c r="U5" s="45">
        <v>41435</v>
      </c>
      <c r="V5" s="46"/>
      <c r="W5" s="27"/>
      <c r="X5" s="47"/>
      <c r="Y5" s="48">
        <f t="shared" si="4"/>
        <v>34983</v>
      </c>
      <c r="Z5" s="66"/>
      <c r="AA5" s="67"/>
      <c r="AB5" s="51"/>
      <c r="AF5" s="57"/>
    </row>
    <row r="6" spans="1:32" s="52" customFormat="1" ht="25.5" customHeight="1">
      <c r="A6" s="68"/>
      <c r="B6" s="60"/>
      <c r="C6" s="29" t="s">
        <v>165</v>
      </c>
      <c r="D6" s="30">
        <v>41548</v>
      </c>
      <c r="E6" s="38">
        <v>41435</v>
      </c>
      <c r="F6" s="61" t="s">
        <v>23</v>
      </c>
      <c r="G6" s="32" t="s">
        <v>42</v>
      </c>
      <c r="H6" s="33">
        <v>22.5</v>
      </c>
      <c r="I6" s="34">
        <v>1300</v>
      </c>
      <c r="J6" s="35"/>
      <c r="K6" s="36">
        <f t="shared" si="5"/>
        <v>29250</v>
      </c>
      <c r="L6" s="62" t="s">
        <v>25</v>
      </c>
      <c r="M6" s="38" t="str">
        <f t="shared" si="0"/>
        <v>ok</v>
      </c>
      <c r="N6" s="63">
        <f>22750+6500</f>
        <v>29250</v>
      </c>
      <c r="O6" s="40">
        <v>0.125</v>
      </c>
      <c r="P6" s="64"/>
      <c r="Q6" s="42">
        <f t="shared" si="1"/>
        <v>25593.75</v>
      </c>
      <c r="R6" s="65"/>
      <c r="S6" s="44">
        <f t="shared" si="2"/>
        <v>5733</v>
      </c>
      <c r="T6" s="44">
        <f t="shared" si="3"/>
        <v>34983</v>
      </c>
      <c r="U6" s="45"/>
      <c r="V6" s="46"/>
      <c r="W6" s="27"/>
      <c r="X6" s="47"/>
      <c r="Y6" s="48">
        <f t="shared" si="4"/>
        <v>34983</v>
      </c>
      <c r="Z6" s="66"/>
      <c r="AA6" s="67"/>
      <c r="AB6" s="51"/>
      <c r="AF6" s="56"/>
    </row>
    <row r="7" spans="1:32" s="52" customFormat="1" ht="25.5" customHeight="1">
      <c r="A7" s="27">
        <v>41235</v>
      </c>
      <c r="B7" s="28" t="s">
        <v>209</v>
      </c>
      <c r="C7" s="29" t="s">
        <v>166</v>
      </c>
      <c r="D7" s="30">
        <v>41214</v>
      </c>
      <c r="E7" s="30" t="s">
        <v>43</v>
      </c>
      <c r="F7" s="30"/>
      <c r="G7" s="32" t="s">
        <v>43</v>
      </c>
      <c r="H7" s="69">
        <f>-11760/1400</f>
        <v>-8.4</v>
      </c>
      <c r="I7" s="34">
        <v>1400</v>
      </c>
      <c r="J7" s="35"/>
      <c r="K7" s="43">
        <f t="shared" si="5"/>
        <v>-11760</v>
      </c>
      <c r="L7" s="37" t="s">
        <v>44</v>
      </c>
      <c r="M7" s="38" t="str">
        <f t="shared" si="0"/>
        <v>ok</v>
      </c>
      <c r="N7" s="39">
        <v>-11760</v>
      </c>
      <c r="O7" s="40">
        <v>0.125</v>
      </c>
      <c r="P7" s="41"/>
      <c r="Q7" s="42">
        <f t="shared" si="1"/>
        <v>-10290</v>
      </c>
      <c r="R7" s="43">
        <v>0</v>
      </c>
      <c r="S7" s="44">
        <f t="shared" si="2"/>
        <v>-2304.96</v>
      </c>
      <c r="T7" s="44">
        <f t="shared" si="3"/>
        <v>-14064.96</v>
      </c>
      <c r="U7" s="45"/>
      <c r="V7" s="41">
        <v>-14064.96</v>
      </c>
      <c r="W7" s="27">
        <v>41235</v>
      </c>
      <c r="X7" s="70" t="s">
        <v>44</v>
      </c>
      <c r="Y7" s="48">
        <f t="shared" si="4"/>
        <v>0</v>
      </c>
      <c r="Z7" s="71"/>
      <c r="AA7" s="50"/>
      <c r="AB7" s="51"/>
    </row>
    <row r="8" spans="1:32" s="52" customFormat="1" ht="25.5" customHeight="1">
      <c r="A8" s="27">
        <v>41235</v>
      </c>
      <c r="B8" s="28" t="s">
        <v>210</v>
      </c>
      <c r="C8" s="29" t="s">
        <v>166</v>
      </c>
      <c r="D8" s="30">
        <v>41214</v>
      </c>
      <c r="E8" s="31">
        <v>41090</v>
      </c>
      <c r="F8" s="30" t="s">
        <v>23</v>
      </c>
      <c r="G8" s="32" t="s">
        <v>47</v>
      </c>
      <c r="H8" s="33">
        <v>10.5</v>
      </c>
      <c r="I8" s="34">
        <v>1400</v>
      </c>
      <c r="J8" s="35">
        <v>800</v>
      </c>
      <c r="K8" s="36">
        <f t="shared" si="5"/>
        <v>8400</v>
      </c>
      <c r="L8" s="37" t="s">
        <v>30</v>
      </c>
      <c r="M8" s="38" t="str">
        <f t="shared" si="0"/>
        <v>ok</v>
      </c>
      <c r="N8" s="39">
        <v>8400</v>
      </c>
      <c r="O8" s="40">
        <v>0.125</v>
      </c>
      <c r="P8" s="41"/>
      <c r="Q8" s="42">
        <f t="shared" si="1"/>
        <v>7350</v>
      </c>
      <c r="R8" s="43">
        <v>0</v>
      </c>
      <c r="S8" s="44">
        <f t="shared" si="2"/>
        <v>1646.4</v>
      </c>
      <c r="T8" s="44">
        <f t="shared" si="3"/>
        <v>10046.4</v>
      </c>
      <c r="U8" s="45"/>
      <c r="V8" s="41">
        <v>10046.4</v>
      </c>
      <c r="W8" s="27">
        <v>41263</v>
      </c>
      <c r="X8" s="47" t="s">
        <v>32</v>
      </c>
      <c r="Y8" s="48">
        <f t="shared" si="4"/>
        <v>0</v>
      </c>
      <c r="Z8" s="71"/>
      <c r="AA8" s="50"/>
      <c r="AB8" s="51"/>
    </row>
    <row r="9" spans="1:32" s="52" customFormat="1" ht="25.5" customHeight="1">
      <c r="A9" s="27">
        <v>41304</v>
      </c>
      <c r="B9" s="28" t="s">
        <v>211</v>
      </c>
      <c r="C9" s="29" t="s">
        <v>166</v>
      </c>
      <c r="D9" s="30">
        <v>41275</v>
      </c>
      <c r="E9" s="31">
        <v>41090</v>
      </c>
      <c r="F9" s="30" t="s">
        <v>23</v>
      </c>
      <c r="G9" s="32" t="s">
        <v>47</v>
      </c>
      <c r="H9" s="33">
        <v>10.5</v>
      </c>
      <c r="I9" s="34">
        <v>1400</v>
      </c>
      <c r="J9" s="35">
        <v>800</v>
      </c>
      <c r="K9" s="36">
        <f t="shared" si="5"/>
        <v>8400</v>
      </c>
      <c r="L9" s="37" t="s">
        <v>25</v>
      </c>
      <c r="M9" s="38" t="str">
        <f t="shared" si="0"/>
        <v>ok</v>
      </c>
      <c r="N9" s="39">
        <v>8400</v>
      </c>
      <c r="O9" s="40">
        <v>0.125</v>
      </c>
      <c r="P9" s="41"/>
      <c r="Q9" s="42">
        <f t="shared" si="1"/>
        <v>7350</v>
      </c>
      <c r="R9" s="43">
        <v>2648.81</v>
      </c>
      <c r="S9" s="44">
        <f t="shared" si="2"/>
        <v>2165.5667600000002</v>
      </c>
      <c r="T9" s="44">
        <f t="shared" si="3"/>
        <v>13214.376759999999</v>
      </c>
      <c r="U9" s="45"/>
      <c r="V9" s="41">
        <v>13214.38</v>
      </c>
      <c r="W9" s="27">
        <v>41344</v>
      </c>
      <c r="X9" s="47" t="s">
        <v>32</v>
      </c>
      <c r="Y9" s="48">
        <f t="shared" si="4"/>
        <v>-3.2400000000052387E-3</v>
      </c>
      <c r="Z9" s="71"/>
      <c r="AA9" s="50"/>
      <c r="AB9" s="72"/>
      <c r="AC9" s="57"/>
    </row>
    <row r="10" spans="1:32" s="52" customFormat="1" ht="25.5" customHeight="1">
      <c r="A10" s="27">
        <v>41311</v>
      </c>
      <c r="B10" s="28" t="s">
        <v>212</v>
      </c>
      <c r="C10" s="29" t="s">
        <v>166</v>
      </c>
      <c r="D10" s="30">
        <v>41306</v>
      </c>
      <c r="E10" s="31">
        <v>41311</v>
      </c>
      <c r="F10" s="30" t="s">
        <v>23</v>
      </c>
      <c r="G10" s="32" t="s">
        <v>46</v>
      </c>
      <c r="H10" s="33">
        <v>8</v>
      </c>
      <c r="I10" s="34">
        <v>1400</v>
      </c>
      <c r="J10" s="35"/>
      <c r="K10" s="36">
        <f t="shared" si="5"/>
        <v>11200</v>
      </c>
      <c r="L10" s="50" t="s">
        <v>30</v>
      </c>
      <c r="M10" s="38" t="str">
        <f t="shared" si="0"/>
        <v>ok</v>
      </c>
      <c r="N10" s="39">
        <v>11200</v>
      </c>
      <c r="O10" s="40">
        <v>0.125</v>
      </c>
      <c r="P10" s="41"/>
      <c r="Q10" s="42">
        <f t="shared" si="1"/>
        <v>9800</v>
      </c>
      <c r="R10" s="43"/>
      <c r="S10" s="44">
        <f t="shared" si="2"/>
        <v>2195.2000000000003</v>
      </c>
      <c r="T10" s="44">
        <f t="shared" si="3"/>
        <v>13395.2</v>
      </c>
      <c r="U10" s="45">
        <v>41338</v>
      </c>
      <c r="V10" s="41"/>
      <c r="W10" s="27"/>
      <c r="X10" s="47"/>
      <c r="Y10" s="48">
        <f t="shared" si="4"/>
        <v>13395.2</v>
      </c>
      <c r="Z10" s="71"/>
      <c r="AA10" s="50"/>
      <c r="AB10" s="72"/>
      <c r="AC10" s="57"/>
    </row>
    <row r="11" spans="1:32" s="52" customFormat="1" ht="25.5" customHeight="1">
      <c r="A11" s="27"/>
      <c r="B11" s="28"/>
      <c r="C11" s="29" t="s">
        <v>166</v>
      </c>
      <c r="D11" s="30">
        <v>41456</v>
      </c>
      <c r="E11" s="31">
        <v>41311</v>
      </c>
      <c r="F11" s="30" t="s">
        <v>23</v>
      </c>
      <c r="G11" s="32" t="s">
        <v>45</v>
      </c>
      <c r="H11" s="33">
        <v>8</v>
      </c>
      <c r="I11" s="34">
        <v>1400</v>
      </c>
      <c r="J11" s="35"/>
      <c r="K11" s="36">
        <f t="shared" si="5"/>
        <v>11200</v>
      </c>
      <c r="L11" s="50" t="s">
        <v>25</v>
      </c>
      <c r="M11" s="38" t="str">
        <f t="shared" si="0"/>
        <v>ok</v>
      </c>
      <c r="N11" s="39">
        <v>11200</v>
      </c>
      <c r="O11" s="40">
        <v>0.125</v>
      </c>
      <c r="P11" s="41"/>
      <c r="Q11" s="42">
        <f t="shared" si="1"/>
        <v>9800</v>
      </c>
      <c r="R11" s="43"/>
      <c r="S11" s="44">
        <f t="shared" si="2"/>
        <v>2195.2000000000003</v>
      </c>
      <c r="T11" s="44">
        <f t="shared" si="3"/>
        <v>13395.2</v>
      </c>
      <c r="U11" s="45"/>
      <c r="V11" s="41"/>
      <c r="W11" s="27"/>
      <c r="X11" s="47"/>
      <c r="Y11" s="48">
        <f t="shared" si="4"/>
        <v>13395.2</v>
      </c>
      <c r="Z11" s="71"/>
      <c r="AA11" s="50"/>
      <c r="AB11" s="72"/>
      <c r="AC11" s="57"/>
    </row>
    <row r="12" spans="1:32" s="52" customFormat="1" ht="33" customHeight="1">
      <c r="A12" s="27">
        <v>41193</v>
      </c>
      <c r="B12" s="28" t="s">
        <v>213</v>
      </c>
      <c r="C12" s="29" t="s">
        <v>167</v>
      </c>
      <c r="D12" s="30">
        <v>41183</v>
      </c>
      <c r="E12" s="31">
        <v>41101</v>
      </c>
      <c r="F12" s="30" t="s">
        <v>23</v>
      </c>
      <c r="G12" s="32" t="s">
        <v>48</v>
      </c>
      <c r="H12" s="33">
        <v>14</v>
      </c>
      <c r="I12" s="34">
        <v>1400</v>
      </c>
      <c r="J12" s="35">
        <v>1257.142857</v>
      </c>
      <c r="K12" s="36">
        <f t="shared" si="5"/>
        <v>17599.999997999999</v>
      </c>
      <c r="L12" s="37" t="s">
        <v>25</v>
      </c>
      <c r="M12" s="38" t="s">
        <v>31</v>
      </c>
      <c r="N12" s="39">
        <v>17600</v>
      </c>
      <c r="O12" s="40">
        <v>0.125</v>
      </c>
      <c r="P12" s="41"/>
      <c r="Q12" s="42">
        <f t="shared" si="1"/>
        <v>15400</v>
      </c>
      <c r="R12" s="43">
        <v>2310.9</v>
      </c>
      <c r="S12" s="44">
        <f t="shared" si="2"/>
        <v>3902.5364000000004</v>
      </c>
      <c r="T12" s="44">
        <f t="shared" si="3"/>
        <v>23813.436400000002</v>
      </c>
      <c r="U12" s="45" t="s">
        <v>49</v>
      </c>
      <c r="V12" s="41">
        <v>23813.439999999999</v>
      </c>
      <c r="W12" s="27">
        <v>41211</v>
      </c>
      <c r="X12" s="47" t="s">
        <v>36</v>
      </c>
      <c r="Y12" s="48">
        <f t="shared" si="4"/>
        <v>-3.599999996367842E-3</v>
      </c>
      <c r="Z12" s="73"/>
      <c r="AA12" s="50"/>
      <c r="AB12" s="51"/>
    </row>
    <row r="13" spans="1:32" s="52" customFormat="1" ht="25.5" customHeight="1">
      <c r="A13" s="27">
        <v>41208</v>
      </c>
      <c r="B13" s="28" t="s">
        <v>214</v>
      </c>
      <c r="C13" s="29" t="s">
        <v>168</v>
      </c>
      <c r="D13" s="30">
        <v>41183</v>
      </c>
      <c r="E13" s="31">
        <v>41120</v>
      </c>
      <c r="F13" s="30" t="s">
        <v>39</v>
      </c>
      <c r="G13" s="32" t="s">
        <v>50</v>
      </c>
      <c r="H13" s="33">
        <v>23.75</v>
      </c>
      <c r="I13" s="34">
        <v>1600</v>
      </c>
      <c r="J13" s="35"/>
      <c r="K13" s="36">
        <f t="shared" si="5"/>
        <v>38000</v>
      </c>
      <c r="L13" s="37" t="s">
        <v>51</v>
      </c>
      <c r="M13" s="38" t="str">
        <f>IF(K13=N13,"ok","Dif")</f>
        <v>ok</v>
      </c>
      <c r="N13" s="39">
        <v>38000</v>
      </c>
      <c r="O13" s="40">
        <v>0.125</v>
      </c>
      <c r="P13" s="41"/>
      <c r="Q13" s="42">
        <f t="shared" si="1"/>
        <v>33250</v>
      </c>
      <c r="R13" s="43">
        <v>2166.38</v>
      </c>
      <c r="S13" s="44">
        <f t="shared" si="2"/>
        <v>7872.6104799999994</v>
      </c>
      <c r="T13" s="44">
        <f t="shared" si="3"/>
        <v>48038.99048</v>
      </c>
      <c r="U13" s="45"/>
      <c r="V13" s="41">
        <v>48038.99</v>
      </c>
      <c r="W13" s="27">
        <v>41253</v>
      </c>
      <c r="X13" s="47" t="s">
        <v>36</v>
      </c>
      <c r="Y13" s="48">
        <f t="shared" si="4"/>
        <v>4.8000000242609531E-4</v>
      </c>
      <c r="Z13" s="71"/>
      <c r="AA13" s="50"/>
      <c r="AB13" s="51"/>
    </row>
    <row r="14" spans="1:32" s="52" customFormat="1" ht="25.5" customHeight="1">
      <c r="A14" s="27">
        <v>41304</v>
      </c>
      <c r="B14" s="28" t="s">
        <v>215</v>
      </c>
      <c r="C14" s="29" t="s">
        <v>168</v>
      </c>
      <c r="D14" s="30">
        <v>41275</v>
      </c>
      <c r="E14" s="74" t="s">
        <v>52</v>
      </c>
      <c r="F14" s="30" t="s">
        <v>53</v>
      </c>
      <c r="G14" s="32" t="s">
        <v>54</v>
      </c>
      <c r="H14" s="74" t="s">
        <v>52</v>
      </c>
      <c r="I14" s="74" t="s">
        <v>52</v>
      </c>
      <c r="J14" s="74" t="s">
        <v>52</v>
      </c>
      <c r="K14" s="36">
        <v>18600</v>
      </c>
      <c r="L14" s="37" t="s">
        <v>30</v>
      </c>
      <c r="M14" s="38" t="str">
        <f>IF(K14=N14,"ok","Dif")</f>
        <v>ok</v>
      </c>
      <c r="N14" s="39">
        <v>18600</v>
      </c>
      <c r="O14" s="40">
        <v>0.125</v>
      </c>
      <c r="P14" s="41"/>
      <c r="Q14" s="42">
        <f t="shared" si="1"/>
        <v>16275</v>
      </c>
      <c r="R14" s="43">
        <v>0</v>
      </c>
      <c r="S14" s="44">
        <f t="shared" si="2"/>
        <v>3645.6000000000004</v>
      </c>
      <c r="T14" s="44">
        <f t="shared" si="3"/>
        <v>22245.599999999999</v>
      </c>
      <c r="U14" s="45"/>
      <c r="V14" s="41">
        <v>22245.599999999999</v>
      </c>
      <c r="W14" s="27">
        <v>41304</v>
      </c>
      <c r="X14" s="47" t="s">
        <v>55</v>
      </c>
      <c r="Y14" s="48">
        <f t="shared" si="4"/>
        <v>0</v>
      </c>
      <c r="Z14" s="49"/>
      <c r="AA14" s="50"/>
      <c r="AB14" s="59"/>
      <c r="AC14" s="55"/>
    </row>
    <row r="15" spans="1:32" s="52" customFormat="1" ht="25.5" customHeight="1">
      <c r="A15" s="27">
        <v>41334</v>
      </c>
      <c r="B15" s="28" t="s">
        <v>216</v>
      </c>
      <c r="C15" s="29" t="s">
        <v>168</v>
      </c>
      <c r="D15" s="30">
        <v>41334</v>
      </c>
      <c r="E15" s="74" t="s">
        <v>52</v>
      </c>
      <c r="F15" s="30" t="s">
        <v>49</v>
      </c>
      <c r="G15" s="32" t="s">
        <v>54</v>
      </c>
      <c r="H15" s="74" t="s">
        <v>52</v>
      </c>
      <c r="I15" s="74" t="s">
        <v>52</v>
      </c>
      <c r="J15" s="74" t="s">
        <v>52</v>
      </c>
      <c r="K15" s="43">
        <v>-18600</v>
      </c>
      <c r="L15" s="37" t="s">
        <v>44</v>
      </c>
      <c r="M15" s="38" t="str">
        <f>IF(K15=N15,"ok","Dif")</f>
        <v>ok</v>
      </c>
      <c r="N15" s="39">
        <v>-18600</v>
      </c>
      <c r="O15" s="40">
        <v>0.125</v>
      </c>
      <c r="P15" s="41"/>
      <c r="Q15" s="42">
        <f t="shared" si="1"/>
        <v>-16275</v>
      </c>
      <c r="R15" s="43">
        <v>0</v>
      </c>
      <c r="S15" s="44">
        <f t="shared" si="2"/>
        <v>-3645.6000000000004</v>
      </c>
      <c r="T15" s="44">
        <f t="shared" si="3"/>
        <v>-22245.599999999999</v>
      </c>
      <c r="U15" s="45"/>
      <c r="V15" s="41">
        <v>-22245.599999999999</v>
      </c>
      <c r="W15" s="27">
        <v>41334</v>
      </c>
      <c r="X15" s="75" t="s">
        <v>56</v>
      </c>
      <c r="Y15" s="48">
        <f t="shared" si="4"/>
        <v>0</v>
      </c>
      <c r="Z15" s="49"/>
      <c r="AA15" s="50"/>
      <c r="AB15" s="59"/>
      <c r="AC15" s="55"/>
    </row>
    <row r="16" spans="1:32" s="52" customFormat="1" ht="25.5" customHeight="1">
      <c r="A16" s="27">
        <v>41206</v>
      </c>
      <c r="B16" s="28" t="s">
        <v>217</v>
      </c>
      <c r="C16" s="29" t="s">
        <v>169</v>
      </c>
      <c r="D16" s="30">
        <v>41183</v>
      </c>
      <c r="E16" s="31">
        <v>41071</v>
      </c>
      <c r="F16" s="30" t="s">
        <v>23</v>
      </c>
      <c r="G16" s="76" t="s">
        <v>57</v>
      </c>
      <c r="H16" s="77">
        <v>14.285714</v>
      </c>
      <c r="I16" s="77">
        <v>1400</v>
      </c>
      <c r="J16" s="78"/>
      <c r="K16" s="36">
        <f t="shared" ref="K16:K22" si="6">IF(J16&gt;0,H16*J16,H16*I16)</f>
        <v>19999.999599999999</v>
      </c>
      <c r="L16" s="79" t="s">
        <v>25</v>
      </c>
      <c r="M16" s="38" t="s">
        <v>31</v>
      </c>
      <c r="N16" s="80">
        <v>20000</v>
      </c>
      <c r="O16" s="40">
        <v>0.125</v>
      </c>
      <c r="P16" s="41"/>
      <c r="Q16" s="42">
        <f t="shared" si="1"/>
        <v>17500</v>
      </c>
      <c r="R16" s="43">
        <v>2010.08</v>
      </c>
      <c r="S16" s="44">
        <f t="shared" si="2"/>
        <v>4313.9756800000005</v>
      </c>
      <c r="T16" s="44">
        <f t="shared" si="3"/>
        <v>26324.055679999998</v>
      </c>
      <c r="U16" s="45"/>
      <c r="V16" s="41">
        <v>26324.06</v>
      </c>
      <c r="W16" s="27">
        <v>41629</v>
      </c>
      <c r="X16" s="47" t="s">
        <v>32</v>
      </c>
      <c r="Y16" s="48">
        <f t="shared" si="4"/>
        <v>-4.3200000036449637E-3</v>
      </c>
      <c r="Z16" s="73"/>
      <c r="AA16" s="50"/>
      <c r="AB16" s="51"/>
    </row>
    <row r="17" spans="1:32" s="52" customFormat="1" ht="25.5" customHeight="1">
      <c r="A17" s="27">
        <v>41416</v>
      </c>
      <c r="B17" s="28" t="s">
        <v>218</v>
      </c>
      <c r="C17" s="29" t="s">
        <v>169</v>
      </c>
      <c r="D17" s="30">
        <v>41426</v>
      </c>
      <c r="E17" s="31">
        <v>41416</v>
      </c>
      <c r="F17" s="30" t="s">
        <v>23</v>
      </c>
      <c r="G17" s="32" t="s">
        <v>58</v>
      </c>
      <c r="H17" s="33">
        <f>32/2</f>
        <v>16</v>
      </c>
      <c r="I17" s="34">
        <v>1400</v>
      </c>
      <c r="J17" s="35"/>
      <c r="K17" s="36">
        <f t="shared" si="6"/>
        <v>22400</v>
      </c>
      <c r="L17" s="50"/>
      <c r="M17" s="38" t="str">
        <f t="shared" ref="M17:M22" si="7">IF(K17=N17,"ok","Dif")</f>
        <v>ok</v>
      </c>
      <c r="N17" s="39">
        <v>22400</v>
      </c>
      <c r="O17" s="40">
        <v>0.125</v>
      </c>
      <c r="P17" s="41"/>
      <c r="Q17" s="42">
        <f t="shared" si="1"/>
        <v>19600</v>
      </c>
      <c r="R17" s="43">
        <v>0</v>
      </c>
      <c r="S17" s="44">
        <f t="shared" si="2"/>
        <v>4390.4000000000005</v>
      </c>
      <c r="T17" s="44">
        <f t="shared" si="3"/>
        <v>26790.400000000001</v>
      </c>
      <c r="U17" s="45">
        <v>41416</v>
      </c>
      <c r="V17" s="46"/>
      <c r="W17" s="27"/>
      <c r="X17" s="45"/>
      <c r="Y17" s="48">
        <f t="shared" si="4"/>
        <v>26790.400000000001</v>
      </c>
      <c r="Z17" s="71"/>
      <c r="AA17" s="50"/>
      <c r="AB17" s="56"/>
      <c r="AC17" s="81"/>
      <c r="AF17" s="56"/>
    </row>
    <row r="18" spans="1:32" s="52" customFormat="1" ht="25.5" customHeight="1">
      <c r="A18" s="27"/>
      <c r="B18" s="28"/>
      <c r="C18" s="29" t="s">
        <v>169</v>
      </c>
      <c r="D18" s="30">
        <v>41456</v>
      </c>
      <c r="E18" s="31">
        <v>41416</v>
      </c>
      <c r="F18" s="30" t="s">
        <v>23</v>
      </c>
      <c r="G18" s="32" t="s">
        <v>59</v>
      </c>
      <c r="H18" s="33">
        <v>16</v>
      </c>
      <c r="I18" s="34">
        <v>1400</v>
      </c>
      <c r="J18" s="35"/>
      <c r="K18" s="36">
        <f t="shared" si="6"/>
        <v>22400</v>
      </c>
      <c r="L18" s="50" t="s">
        <v>25</v>
      </c>
      <c r="M18" s="38" t="str">
        <f t="shared" si="7"/>
        <v>ok</v>
      </c>
      <c r="N18" s="39">
        <v>22400</v>
      </c>
      <c r="O18" s="40">
        <v>0.125</v>
      </c>
      <c r="P18" s="41"/>
      <c r="Q18" s="42">
        <f t="shared" si="1"/>
        <v>19600</v>
      </c>
      <c r="R18" s="43"/>
      <c r="S18" s="44">
        <f t="shared" si="2"/>
        <v>4390.4000000000005</v>
      </c>
      <c r="T18" s="44">
        <f t="shared" si="3"/>
        <v>26790.400000000001</v>
      </c>
      <c r="U18" s="45"/>
      <c r="V18" s="46"/>
      <c r="W18" s="27"/>
      <c r="X18" s="45"/>
      <c r="Y18" s="48">
        <f t="shared" si="4"/>
        <v>26790.400000000001</v>
      </c>
      <c r="Z18" s="71"/>
      <c r="AA18" s="50"/>
      <c r="AB18" s="56"/>
      <c r="AC18" s="81"/>
      <c r="AF18" s="54"/>
    </row>
    <row r="19" spans="1:32" s="52" customFormat="1" ht="25.5" customHeight="1">
      <c r="A19" s="27">
        <v>41387</v>
      </c>
      <c r="B19" s="28" t="s">
        <v>219</v>
      </c>
      <c r="C19" s="29" t="s">
        <v>170</v>
      </c>
      <c r="D19" s="30">
        <v>41365</v>
      </c>
      <c r="E19" s="31" t="s">
        <v>60</v>
      </c>
      <c r="F19" s="30"/>
      <c r="G19" s="32" t="s">
        <v>61</v>
      </c>
      <c r="H19" s="33">
        <v>5.0999999999999996</v>
      </c>
      <c r="I19" s="34">
        <v>1000</v>
      </c>
      <c r="J19" s="35"/>
      <c r="K19" s="36">
        <f t="shared" si="6"/>
        <v>5100</v>
      </c>
      <c r="L19" s="37" t="s">
        <v>62</v>
      </c>
      <c r="M19" s="38" t="str">
        <f t="shared" si="7"/>
        <v>ok</v>
      </c>
      <c r="N19" s="39">
        <v>5100</v>
      </c>
      <c r="O19" s="40">
        <v>0.125</v>
      </c>
      <c r="P19" s="41"/>
      <c r="Q19" s="42">
        <f t="shared" si="1"/>
        <v>4462.5</v>
      </c>
      <c r="R19" s="43">
        <v>0</v>
      </c>
      <c r="S19" s="44">
        <f t="shared" si="2"/>
        <v>999.6</v>
      </c>
      <c r="T19" s="44">
        <f t="shared" si="3"/>
        <v>6099.6</v>
      </c>
      <c r="U19" s="45"/>
      <c r="V19" s="46">
        <v>6099.6</v>
      </c>
      <c r="W19" s="27">
        <v>41387</v>
      </c>
      <c r="X19" s="47" t="s">
        <v>32</v>
      </c>
      <c r="Y19" s="48">
        <f t="shared" si="4"/>
        <v>0</v>
      </c>
      <c r="Z19" s="82"/>
      <c r="AA19" s="50"/>
      <c r="AB19" s="51"/>
    </row>
    <row r="20" spans="1:32" s="52" customFormat="1" ht="25.5" customHeight="1">
      <c r="A20" s="27">
        <v>41285</v>
      </c>
      <c r="B20" s="28" t="s">
        <v>220</v>
      </c>
      <c r="C20" s="29" t="s">
        <v>171</v>
      </c>
      <c r="D20" s="30">
        <v>41275</v>
      </c>
      <c r="E20" s="31" t="s">
        <v>70</v>
      </c>
      <c r="F20" s="30"/>
      <c r="G20" s="32" t="s">
        <v>71</v>
      </c>
      <c r="H20" s="33"/>
      <c r="I20" s="34"/>
      <c r="J20" s="35"/>
      <c r="K20" s="36">
        <f t="shared" si="6"/>
        <v>0</v>
      </c>
      <c r="L20" s="37" t="s">
        <v>72</v>
      </c>
      <c r="M20" s="38" t="str">
        <f t="shared" si="7"/>
        <v>ok</v>
      </c>
      <c r="N20" s="39">
        <f>-10400+10400</f>
        <v>0</v>
      </c>
      <c r="O20" s="40">
        <v>0.125</v>
      </c>
      <c r="P20" s="87"/>
      <c r="Q20" s="42">
        <f t="shared" si="1"/>
        <v>0</v>
      </c>
      <c r="R20" s="43">
        <v>0</v>
      </c>
      <c r="S20" s="44">
        <f t="shared" si="2"/>
        <v>0</v>
      </c>
      <c r="T20" s="44">
        <f t="shared" si="3"/>
        <v>0</v>
      </c>
      <c r="U20" s="45"/>
      <c r="V20" s="41">
        <v>0</v>
      </c>
      <c r="W20" s="28" t="s">
        <v>73</v>
      </c>
      <c r="X20" s="70" t="s">
        <v>44</v>
      </c>
      <c r="Y20" s="48">
        <f t="shared" si="4"/>
        <v>0</v>
      </c>
      <c r="Z20" s="83"/>
      <c r="AA20" s="50"/>
      <c r="AB20" s="59"/>
      <c r="AC20" s="55"/>
    </row>
    <row r="21" spans="1:32" s="52" customFormat="1" ht="25.5" customHeight="1">
      <c r="A21" s="27">
        <v>41285</v>
      </c>
      <c r="B21" s="28" t="s">
        <v>221</v>
      </c>
      <c r="C21" s="29" t="s">
        <v>171</v>
      </c>
      <c r="D21" s="30">
        <v>41275</v>
      </c>
      <c r="E21" s="31"/>
      <c r="F21" s="30"/>
      <c r="G21" s="32" t="s">
        <v>63</v>
      </c>
      <c r="H21" s="33">
        <v>8</v>
      </c>
      <c r="I21" s="34">
        <v>1350</v>
      </c>
      <c r="J21" s="35">
        <v>1218.75</v>
      </c>
      <c r="K21" s="36">
        <f t="shared" si="6"/>
        <v>9750</v>
      </c>
      <c r="L21" s="37" t="s">
        <v>64</v>
      </c>
      <c r="M21" s="38" t="str">
        <f t="shared" si="7"/>
        <v>ok</v>
      </c>
      <c r="N21" s="39">
        <v>9750</v>
      </c>
      <c r="O21" s="40">
        <v>0.125</v>
      </c>
      <c r="P21" s="41"/>
      <c r="Q21" s="42">
        <f t="shared" si="1"/>
        <v>8531.25</v>
      </c>
      <c r="R21" s="43">
        <v>0</v>
      </c>
      <c r="S21" s="44">
        <f t="shared" si="2"/>
        <v>1911</v>
      </c>
      <c r="T21" s="44">
        <f t="shared" si="3"/>
        <v>11661</v>
      </c>
      <c r="U21" s="45"/>
      <c r="V21" s="41">
        <v>11661</v>
      </c>
      <c r="W21" s="27">
        <v>41337</v>
      </c>
      <c r="X21" s="47" t="s">
        <v>36</v>
      </c>
      <c r="Y21" s="48">
        <f t="shared" si="4"/>
        <v>0</v>
      </c>
      <c r="Z21" s="83"/>
      <c r="AA21" s="50"/>
      <c r="AB21" s="51"/>
    </row>
    <row r="22" spans="1:32" s="55" customFormat="1" ht="25.5" customHeight="1">
      <c r="A22" s="27">
        <v>41285</v>
      </c>
      <c r="B22" s="28" t="s">
        <v>222</v>
      </c>
      <c r="C22" s="29" t="s">
        <v>171</v>
      </c>
      <c r="D22" s="30">
        <v>41275</v>
      </c>
      <c r="E22" s="31"/>
      <c r="F22" s="30"/>
      <c r="G22" s="32" t="s">
        <v>69</v>
      </c>
      <c r="H22" s="33"/>
      <c r="I22" s="34"/>
      <c r="J22" s="35"/>
      <c r="K22" s="36">
        <f t="shared" si="6"/>
        <v>0</v>
      </c>
      <c r="L22" s="37" t="s">
        <v>44</v>
      </c>
      <c r="M22" s="38" t="str">
        <f t="shared" si="7"/>
        <v>ok</v>
      </c>
      <c r="N22" s="39">
        <f>21250-21250</f>
        <v>0</v>
      </c>
      <c r="O22" s="40">
        <v>0.125</v>
      </c>
      <c r="P22" s="41"/>
      <c r="Q22" s="42">
        <f t="shared" si="1"/>
        <v>0</v>
      </c>
      <c r="R22" s="43">
        <v>0</v>
      </c>
      <c r="S22" s="44">
        <f t="shared" si="2"/>
        <v>0</v>
      </c>
      <c r="T22" s="44">
        <f t="shared" si="3"/>
        <v>0</v>
      </c>
      <c r="U22" s="45"/>
      <c r="V22" s="46">
        <v>0</v>
      </c>
      <c r="W22" s="27">
        <v>41285</v>
      </c>
      <c r="X22" s="70" t="s">
        <v>44</v>
      </c>
      <c r="Y22" s="48">
        <f t="shared" si="4"/>
        <v>0</v>
      </c>
      <c r="Z22" s="71"/>
      <c r="AA22" s="50"/>
      <c r="AB22" s="51"/>
      <c r="AC22" s="52"/>
      <c r="AD22" s="52"/>
      <c r="AE22" s="52"/>
    </row>
    <row r="23" spans="1:32" s="57" customFormat="1" ht="25.5" customHeight="1">
      <c r="A23" s="27">
        <v>41285</v>
      </c>
      <c r="B23" s="28" t="s">
        <v>223</v>
      </c>
      <c r="C23" s="29" t="s">
        <v>171</v>
      </c>
      <c r="D23" s="30">
        <v>41275</v>
      </c>
      <c r="E23" s="31" t="s">
        <v>67</v>
      </c>
      <c r="F23" s="30"/>
      <c r="G23" s="32" t="s">
        <v>68</v>
      </c>
      <c r="H23" s="85">
        <v>0</v>
      </c>
      <c r="I23" s="85">
        <v>0</v>
      </c>
      <c r="J23" s="85">
        <v>0</v>
      </c>
      <c r="K23" s="85">
        <v>0</v>
      </c>
      <c r="L23" s="37" t="s">
        <v>25</v>
      </c>
      <c r="M23" s="38" t="s">
        <v>31</v>
      </c>
      <c r="N23" s="86">
        <f>19520</f>
        <v>19520</v>
      </c>
      <c r="O23" s="40">
        <v>0.125</v>
      </c>
      <c r="P23" s="41"/>
      <c r="Q23" s="42">
        <f t="shared" si="1"/>
        <v>17080</v>
      </c>
      <c r="R23" s="43">
        <v>0</v>
      </c>
      <c r="S23" s="44">
        <f t="shared" si="2"/>
        <v>3825.92</v>
      </c>
      <c r="T23" s="44">
        <f t="shared" si="3"/>
        <v>23345.919999999998</v>
      </c>
      <c r="U23" s="45"/>
      <c r="V23" s="41">
        <f>19520+3825.92</f>
        <v>23345.919999999998</v>
      </c>
      <c r="W23" s="27">
        <v>41317</v>
      </c>
      <c r="X23" s="47" t="s">
        <v>36</v>
      </c>
      <c r="Y23" s="48">
        <f t="shared" si="4"/>
        <v>0</v>
      </c>
      <c r="Z23" s="83"/>
      <c r="AA23" s="50"/>
      <c r="AB23" s="51"/>
      <c r="AC23" s="52"/>
    </row>
    <row r="24" spans="1:32" s="52" customFormat="1" ht="25.5" customHeight="1">
      <c r="A24" s="27">
        <v>41285</v>
      </c>
      <c r="B24" s="28" t="s">
        <v>224</v>
      </c>
      <c r="C24" s="29" t="s">
        <v>171</v>
      </c>
      <c r="D24" s="30">
        <v>41275</v>
      </c>
      <c r="E24" s="31"/>
      <c r="F24" s="30"/>
      <c r="G24" s="32" t="s">
        <v>69</v>
      </c>
      <c r="H24" s="85">
        <v>0</v>
      </c>
      <c r="I24" s="85">
        <v>0</v>
      </c>
      <c r="J24" s="85">
        <v>0</v>
      </c>
      <c r="K24" s="85">
        <v>0</v>
      </c>
      <c r="L24" s="37" t="s">
        <v>44</v>
      </c>
      <c r="M24" s="38" t="str">
        <f>IF(K24=N24,"ok","Dif")</f>
        <v>ok</v>
      </c>
      <c r="N24" s="39">
        <f>21000-21000</f>
        <v>0</v>
      </c>
      <c r="O24" s="40">
        <v>0.125</v>
      </c>
      <c r="P24" s="41"/>
      <c r="Q24" s="42">
        <f t="shared" si="1"/>
        <v>0</v>
      </c>
      <c r="R24" s="43">
        <f>-1696.36+1696.36</f>
        <v>0</v>
      </c>
      <c r="S24" s="44">
        <f t="shared" si="2"/>
        <v>0</v>
      </c>
      <c r="T24" s="44">
        <f t="shared" si="3"/>
        <v>0</v>
      </c>
      <c r="U24" s="45"/>
      <c r="V24" s="41">
        <v>0</v>
      </c>
      <c r="W24" s="27">
        <v>41285</v>
      </c>
      <c r="X24" s="70" t="s">
        <v>44</v>
      </c>
      <c r="Y24" s="48">
        <f t="shared" si="4"/>
        <v>0</v>
      </c>
      <c r="Z24" s="49"/>
      <c r="AA24" s="50"/>
      <c r="AB24" s="51"/>
    </row>
    <row r="25" spans="1:32" s="52" customFormat="1" ht="25.5" customHeight="1">
      <c r="A25" s="27">
        <v>41285</v>
      </c>
      <c r="B25" s="28" t="s">
        <v>225</v>
      </c>
      <c r="C25" s="29" t="s">
        <v>171</v>
      </c>
      <c r="D25" s="30">
        <v>41275</v>
      </c>
      <c r="E25" s="31" t="s">
        <v>67</v>
      </c>
      <c r="F25" s="30"/>
      <c r="G25" s="32" t="s">
        <v>69</v>
      </c>
      <c r="H25" s="85">
        <v>0</v>
      </c>
      <c r="I25" s="85">
        <v>0</v>
      </c>
      <c r="J25" s="85">
        <v>0</v>
      </c>
      <c r="K25" s="85">
        <v>0</v>
      </c>
      <c r="L25" s="37" t="s">
        <v>25</v>
      </c>
      <c r="M25" s="38" t="s">
        <v>31</v>
      </c>
      <c r="N25" s="39">
        <f>18300</f>
        <v>18300</v>
      </c>
      <c r="O25" s="40">
        <v>0.125</v>
      </c>
      <c r="P25" s="41"/>
      <c r="Q25" s="42">
        <f t="shared" si="1"/>
        <v>16012.5</v>
      </c>
      <c r="R25" s="43">
        <v>0</v>
      </c>
      <c r="S25" s="44">
        <f t="shared" si="2"/>
        <v>3586.8</v>
      </c>
      <c r="T25" s="44">
        <f t="shared" si="3"/>
        <v>21886.799999999999</v>
      </c>
      <c r="U25" s="45"/>
      <c r="V25" s="46">
        <v>21886.799999999999</v>
      </c>
      <c r="W25" s="27">
        <v>41317</v>
      </c>
      <c r="X25" s="47" t="s">
        <v>32</v>
      </c>
      <c r="Y25" s="48">
        <f t="shared" si="4"/>
        <v>0</v>
      </c>
      <c r="Z25" s="71"/>
      <c r="AA25" s="50"/>
      <c r="AB25" s="51"/>
      <c r="AD25" s="57"/>
      <c r="AE25" s="57"/>
    </row>
    <row r="26" spans="1:32" s="57" customFormat="1" ht="25.5" customHeight="1">
      <c r="A26" s="27">
        <v>41285</v>
      </c>
      <c r="B26" s="28" t="s">
        <v>226</v>
      </c>
      <c r="C26" s="29" t="s">
        <v>171</v>
      </c>
      <c r="D26" s="30">
        <v>41275</v>
      </c>
      <c r="E26" s="31" t="s">
        <v>74</v>
      </c>
      <c r="F26" s="30"/>
      <c r="G26" s="32" t="s">
        <v>74</v>
      </c>
      <c r="H26" s="33" t="s">
        <v>74</v>
      </c>
      <c r="I26" s="34" t="s">
        <v>74</v>
      </c>
      <c r="J26" s="35" t="s">
        <v>74</v>
      </c>
      <c r="K26" s="36" t="s">
        <v>74</v>
      </c>
      <c r="L26" s="37" t="s">
        <v>74</v>
      </c>
      <c r="M26" s="38" t="str">
        <f>IF(K26=N26,"ok","Dif")</f>
        <v>Dif</v>
      </c>
      <c r="N26" s="39"/>
      <c r="O26" s="40">
        <v>0.125</v>
      </c>
      <c r="P26" s="41"/>
      <c r="Q26" s="42">
        <f t="shared" si="1"/>
        <v>0</v>
      </c>
      <c r="R26" s="43">
        <v>1696.36</v>
      </c>
      <c r="S26" s="44">
        <f t="shared" si="2"/>
        <v>332.48656</v>
      </c>
      <c r="T26" s="44">
        <f t="shared" si="3"/>
        <v>2028.84656</v>
      </c>
      <c r="U26" s="45"/>
      <c r="V26" s="46">
        <v>2028.85</v>
      </c>
      <c r="W26" s="27">
        <v>41317</v>
      </c>
      <c r="X26" s="47" t="s">
        <v>32</v>
      </c>
      <c r="Y26" s="48">
        <f t="shared" si="4"/>
        <v>-3.4399999999550346E-3</v>
      </c>
      <c r="Z26" s="71"/>
      <c r="AA26" s="50"/>
      <c r="AB26" s="51"/>
      <c r="AC26" s="52"/>
      <c r="AD26" s="55"/>
      <c r="AE26" s="55"/>
      <c r="AF26" s="52"/>
    </row>
    <row r="27" spans="1:32" s="55" customFormat="1" ht="25.5" customHeight="1">
      <c r="A27" s="27">
        <v>41417</v>
      </c>
      <c r="B27" s="28" t="s">
        <v>227</v>
      </c>
      <c r="C27" s="29" t="s">
        <v>171</v>
      </c>
      <c r="D27" s="30">
        <v>41395</v>
      </c>
      <c r="E27" s="31"/>
      <c r="F27" s="30"/>
      <c r="G27" s="32" t="s">
        <v>65</v>
      </c>
      <c r="H27" s="33">
        <v>8</v>
      </c>
      <c r="I27" s="34">
        <v>1350</v>
      </c>
      <c r="J27" s="35">
        <v>1218.75</v>
      </c>
      <c r="K27" s="36">
        <f>IF(J27&gt;0,H27*J27,H27*I27)</f>
        <v>9750</v>
      </c>
      <c r="L27" s="37" t="s">
        <v>25</v>
      </c>
      <c r="M27" s="38" t="str">
        <f>IF(K27=N27,"ok","Dif")</f>
        <v>ok</v>
      </c>
      <c r="N27" s="39">
        <v>9750</v>
      </c>
      <c r="O27" s="40">
        <v>0.125</v>
      </c>
      <c r="P27" s="41"/>
      <c r="Q27" s="42">
        <f t="shared" si="1"/>
        <v>8531.25</v>
      </c>
      <c r="R27" s="43">
        <v>2412.29</v>
      </c>
      <c r="S27" s="44">
        <f t="shared" si="2"/>
        <v>2383.8088400000001</v>
      </c>
      <c r="T27" s="44">
        <f t="shared" si="3"/>
        <v>14546.098839999999</v>
      </c>
      <c r="U27" s="45">
        <v>41448</v>
      </c>
      <c r="V27" s="46"/>
      <c r="W27" s="27"/>
      <c r="X27" s="47"/>
      <c r="Y27" s="48">
        <f t="shared" si="4"/>
        <v>14546.098839999999</v>
      </c>
      <c r="Z27" s="71"/>
      <c r="AA27" s="50"/>
      <c r="AB27" s="56"/>
      <c r="AC27" s="81"/>
      <c r="AF27" s="52"/>
    </row>
    <row r="28" spans="1:32" s="52" customFormat="1" ht="25.5" customHeight="1">
      <c r="A28" s="27">
        <v>41422</v>
      </c>
      <c r="B28" s="28" t="s">
        <v>228</v>
      </c>
      <c r="C28" s="29" t="s">
        <v>171</v>
      </c>
      <c r="D28" s="30">
        <v>41395</v>
      </c>
      <c r="E28" s="31"/>
      <c r="F28" s="61"/>
      <c r="G28" s="32" t="s">
        <v>66</v>
      </c>
      <c r="H28" s="33">
        <f>19/2</f>
        <v>9.5</v>
      </c>
      <c r="I28" s="34">
        <v>1350</v>
      </c>
      <c r="J28" s="35"/>
      <c r="K28" s="36">
        <f>IF(J28&gt;0,H28*J28,H28*I28)</f>
        <v>12825</v>
      </c>
      <c r="L28" s="37" t="s">
        <v>30</v>
      </c>
      <c r="M28" s="38" t="str">
        <f>IF(K28=N28,"ok","Dif")</f>
        <v>ok</v>
      </c>
      <c r="N28" s="84">
        <v>12825</v>
      </c>
      <c r="O28" s="40">
        <v>0.125</v>
      </c>
      <c r="P28" s="64"/>
      <c r="Q28" s="42">
        <f t="shared" si="1"/>
        <v>11221.875</v>
      </c>
      <c r="R28" s="65"/>
      <c r="S28" s="44">
        <f t="shared" si="2"/>
        <v>2513.7000000000003</v>
      </c>
      <c r="T28" s="44">
        <f t="shared" si="3"/>
        <v>15338.7</v>
      </c>
      <c r="U28" s="45">
        <v>41422</v>
      </c>
      <c r="V28" s="46"/>
      <c r="W28" s="27"/>
      <c r="X28" s="47"/>
      <c r="Y28" s="48">
        <f t="shared" si="4"/>
        <v>15338.7</v>
      </c>
      <c r="Z28" s="66"/>
      <c r="AA28" s="67"/>
      <c r="AB28" s="72"/>
      <c r="AC28" s="57"/>
      <c r="AF28" s="56"/>
    </row>
    <row r="29" spans="1:32" s="55" customFormat="1" ht="25.5" customHeight="1">
      <c r="A29" s="27"/>
      <c r="B29" s="28"/>
      <c r="C29" s="29" t="s">
        <v>171</v>
      </c>
      <c r="D29" s="61">
        <v>41579</v>
      </c>
      <c r="E29" s="31"/>
      <c r="F29" s="61"/>
      <c r="G29" s="32" t="s">
        <v>66</v>
      </c>
      <c r="H29" s="33">
        <v>9.5</v>
      </c>
      <c r="I29" s="34">
        <v>1350</v>
      </c>
      <c r="J29" s="35"/>
      <c r="K29" s="36">
        <f>IF(J29&gt;0,H29*J29,H29*I29)</f>
        <v>12825</v>
      </c>
      <c r="L29" s="37" t="s">
        <v>25</v>
      </c>
      <c r="M29" s="38" t="str">
        <f>IF(K29=N29,"ok","Dif")</f>
        <v>ok</v>
      </c>
      <c r="N29" s="84">
        <v>12825</v>
      </c>
      <c r="O29" s="40">
        <v>0.125</v>
      </c>
      <c r="P29" s="64"/>
      <c r="Q29" s="42">
        <f t="shared" si="1"/>
        <v>11221.875</v>
      </c>
      <c r="R29" s="65"/>
      <c r="S29" s="44">
        <f t="shared" si="2"/>
        <v>2513.7000000000003</v>
      </c>
      <c r="T29" s="44">
        <f t="shared" si="3"/>
        <v>15338.7</v>
      </c>
      <c r="U29" s="45"/>
      <c r="V29" s="46"/>
      <c r="W29" s="27"/>
      <c r="X29" s="47"/>
      <c r="Y29" s="48">
        <f t="shared" si="4"/>
        <v>15338.7</v>
      </c>
      <c r="Z29" s="66"/>
      <c r="AA29" s="67"/>
      <c r="AB29" s="72"/>
      <c r="AC29" s="57"/>
      <c r="AD29" s="52"/>
      <c r="AE29" s="52"/>
      <c r="AF29" s="56"/>
    </row>
    <row r="30" spans="1:32" s="55" customFormat="1" ht="25.5" customHeight="1">
      <c r="A30" s="27">
        <v>41380</v>
      </c>
      <c r="B30" s="28" t="s">
        <v>229</v>
      </c>
      <c r="C30" s="29" t="s">
        <v>172</v>
      </c>
      <c r="D30" s="30">
        <v>41365</v>
      </c>
      <c r="E30" s="31">
        <v>40413</v>
      </c>
      <c r="F30" s="30" t="s">
        <v>39</v>
      </c>
      <c r="G30" s="32" t="s">
        <v>75</v>
      </c>
      <c r="H30" s="85">
        <v>0</v>
      </c>
      <c r="I30" s="85">
        <v>0</v>
      </c>
      <c r="J30" s="85">
        <v>0</v>
      </c>
      <c r="K30" s="85">
        <v>0</v>
      </c>
      <c r="L30" s="50" t="s">
        <v>25</v>
      </c>
      <c r="M30" s="38" t="str">
        <f>IF(K30=N30,"ok","Dif")</f>
        <v>Dif</v>
      </c>
      <c r="N30" s="39">
        <v>19600</v>
      </c>
      <c r="O30" s="40">
        <v>0.125</v>
      </c>
      <c r="P30" s="41"/>
      <c r="Q30" s="42">
        <f t="shared" si="1"/>
        <v>17150</v>
      </c>
      <c r="R30" s="43">
        <v>0</v>
      </c>
      <c r="S30" s="44">
        <f t="shared" si="2"/>
        <v>3841.6000000000004</v>
      </c>
      <c r="T30" s="44">
        <f t="shared" si="3"/>
        <v>23441.599999999999</v>
      </c>
      <c r="U30" s="45">
        <v>41409</v>
      </c>
      <c r="V30" s="41"/>
      <c r="W30" s="27"/>
      <c r="X30" s="47"/>
      <c r="Y30" s="48">
        <f t="shared" si="4"/>
        <v>23441.599999999999</v>
      </c>
      <c r="Z30" s="83"/>
      <c r="AA30" s="50"/>
      <c r="AB30" s="51"/>
      <c r="AC30" s="52"/>
      <c r="AF30" s="56"/>
    </row>
    <row r="31" spans="1:32" s="52" customFormat="1" ht="25.5" customHeight="1">
      <c r="A31" s="27">
        <v>41204</v>
      </c>
      <c r="B31" s="28" t="s">
        <v>230</v>
      </c>
      <c r="C31" s="29" t="s">
        <v>173</v>
      </c>
      <c r="D31" s="30">
        <v>41183</v>
      </c>
      <c r="E31" s="31">
        <v>40981</v>
      </c>
      <c r="F31" s="30" t="s">
        <v>23</v>
      </c>
      <c r="G31" s="32" t="s">
        <v>76</v>
      </c>
      <c r="H31" s="33">
        <v>5.5357139999999996</v>
      </c>
      <c r="I31" s="34">
        <v>1400</v>
      </c>
      <c r="J31" s="35"/>
      <c r="K31" s="36">
        <f>IF(J31&gt;0,H31*J31,H31*I31)</f>
        <v>7749.9995999999992</v>
      </c>
      <c r="L31" s="37" t="s">
        <v>25</v>
      </c>
      <c r="M31" s="38" t="s">
        <v>31</v>
      </c>
      <c r="N31" s="39">
        <f>6500+1250</f>
        <v>7750</v>
      </c>
      <c r="O31" s="40">
        <v>0.125</v>
      </c>
      <c r="P31" s="41"/>
      <c r="Q31" s="42">
        <f t="shared" si="1"/>
        <v>6781.25</v>
      </c>
      <c r="R31" s="43">
        <f>302.3+301.9+241.3+648.59</f>
        <v>1494.0900000000001</v>
      </c>
      <c r="S31" s="44">
        <f t="shared" si="2"/>
        <v>1811.8416400000001</v>
      </c>
      <c r="T31" s="44">
        <f t="shared" si="3"/>
        <v>11055.931640000001</v>
      </c>
      <c r="U31" s="45"/>
      <c r="V31" s="41">
        <v>11055.93</v>
      </c>
      <c r="W31" s="27">
        <v>41213</v>
      </c>
      <c r="X31" s="47" t="s">
        <v>32</v>
      </c>
      <c r="Y31" s="48">
        <f t="shared" si="4"/>
        <v>1.6400000004068715E-3</v>
      </c>
      <c r="Z31" s="73"/>
      <c r="AA31" s="50"/>
      <c r="AB31" s="51"/>
      <c r="AD31" s="55"/>
      <c r="AE31" s="55"/>
    </row>
    <row r="32" spans="1:32" s="55" customFormat="1" ht="25.5" customHeight="1">
      <c r="A32" s="27">
        <v>41380</v>
      </c>
      <c r="B32" s="28" t="s">
        <v>231</v>
      </c>
      <c r="C32" s="29" t="s">
        <v>174</v>
      </c>
      <c r="D32" s="30">
        <v>41365</v>
      </c>
      <c r="E32" s="31"/>
      <c r="F32" s="30"/>
      <c r="G32" s="32" t="s">
        <v>68</v>
      </c>
      <c r="H32" s="85">
        <v>0</v>
      </c>
      <c r="I32" s="85">
        <v>0</v>
      </c>
      <c r="J32" s="85">
        <v>0</v>
      </c>
      <c r="K32" s="85">
        <v>0</v>
      </c>
      <c r="L32" s="50" t="s">
        <v>25</v>
      </c>
      <c r="M32" s="38" t="str">
        <f>IF(K32=N32,"ok","Dif")</f>
        <v>Dif</v>
      </c>
      <c r="N32" s="39">
        <v>13125</v>
      </c>
      <c r="O32" s="40">
        <v>0.125</v>
      </c>
      <c r="P32" s="41"/>
      <c r="Q32" s="42">
        <f t="shared" si="1"/>
        <v>11484.375</v>
      </c>
      <c r="R32" s="43">
        <v>20</v>
      </c>
      <c r="S32" s="44">
        <f t="shared" si="2"/>
        <v>2576.42</v>
      </c>
      <c r="T32" s="44">
        <f t="shared" si="3"/>
        <v>15721.42</v>
      </c>
      <c r="U32" s="45">
        <v>41409</v>
      </c>
      <c r="V32" s="41"/>
      <c r="W32" s="27"/>
      <c r="X32" s="47"/>
      <c r="Y32" s="48">
        <f t="shared" si="4"/>
        <v>15721.42</v>
      </c>
      <c r="Z32" s="83"/>
      <c r="AA32" s="50"/>
      <c r="AB32" s="51"/>
      <c r="AC32" s="52"/>
      <c r="AF32" s="52"/>
    </row>
    <row r="33" spans="1:32" s="52" customFormat="1" ht="25.5" customHeight="1">
      <c r="A33" s="27">
        <v>41192</v>
      </c>
      <c r="B33" s="28" t="s">
        <v>232</v>
      </c>
      <c r="C33" s="88" t="s">
        <v>175</v>
      </c>
      <c r="D33" s="30">
        <v>41183</v>
      </c>
      <c r="E33" s="31" t="s">
        <v>60</v>
      </c>
      <c r="F33" s="30"/>
      <c r="G33" s="32" t="s">
        <v>77</v>
      </c>
      <c r="H33" s="32" t="s">
        <v>77</v>
      </c>
      <c r="I33" s="32" t="s">
        <v>77</v>
      </c>
      <c r="J33" s="32" t="s">
        <v>77</v>
      </c>
      <c r="K33" s="32" t="s">
        <v>77</v>
      </c>
      <c r="L33" s="37" t="s">
        <v>78</v>
      </c>
      <c r="M33" s="38" t="s">
        <v>35</v>
      </c>
      <c r="N33" s="39">
        <v>5000</v>
      </c>
      <c r="O33" s="89">
        <v>0.9</v>
      </c>
      <c r="P33" s="58"/>
      <c r="Q33" s="42">
        <f t="shared" si="1"/>
        <v>500</v>
      </c>
      <c r="R33" s="43">
        <v>0</v>
      </c>
      <c r="S33" s="44">
        <f t="shared" si="2"/>
        <v>980</v>
      </c>
      <c r="T33" s="44">
        <f t="shared" si="3"/>
        <v>5980</v>
      </c>
      <c r="U33" s="45" t="s">
        <v>49</v>
      </c>
      <c r="V33" s="41">
        <v>5980</v>
      </c>
      <c r="W33" s="27">
        <v>41221</v>
      </c>
      <c r="X33" s="47" t="s">
        <v>36</v>
      </c>
      <c r="Y33" s="48">
        <f t="shared" si="4"/>
        <v>0</v>
      </c>
      <c r="Z33" s="90"/>
      <c r="AA33" s="50"/>
      <c r="AB33" s="51"/>
      <c r="AF33" s="57"/>
    </row>
    <row r="34" spans="1:32" s="52" customFormat="1" ht="25.5" customHeight="1">
      <c r="A34" s="27">
        <v>41269</v>
      </c>
      <c r="B34" s="28" t="s">
        <v>233</v>
      </c>
      <c r="C34" s="88" t="s">
        <v>175</v>
      </c>
      <c r="D34" s="30">
        <v>41244</v>
      </c>
      <c r="E34" s="31" t="s">
        <v>60</v>
      </c>
      <c r="F34" s="30"/>
      <c r="G34" s="32" t="s">
        <v>77</v>
      </c>
      <c r="H34" s="32" t="s">
        <v>77</v>
      </c>
      <c r="I34" s="32" t="s">
        <v>77</v>
      </c>
      <c r="J34" s="32" t="s">
        <v>77</v>
      </c>
      <c r="K34" s="32" t="s">
        <v>77</v>
      </c>
      <c r="L34" s="37" t="s">
        <v>79</v>
      </c>
      <c r="M34" s="38" t="s">
        <v>35</v>
      </c>
      <c r="N34" s="39">
        <v>800</v>
      </c>
      <c r="O34" s="89">
        <v>0.9</v>
      </c>
      <c r="P34" s="58"/>
      <c r="Q34" s="42">
        <f t="shared" si="1"/>
        <v>80</v>
      </c>
      <c r="R34" s="43">
        <v>0</v>
      </c>
      <c r="S34" s="44">
        <f t="shared" si="2"/>
        <v>156.80000000000001</v>
      </c>
      <c r="T34" s="44">
        <f t="shared" si="3"/>
        <v>956.8</v>
      </c>
      <c r="U34" s="45"/>
      <c r="V34" s="46">
        <v>956.8</v>
      </c>
      <c r="W34" s="27">
        <v>41298</v>
      </c>
      <c r="X34" s="47" t="s">
        <v>36</v>
      </c>
      <c r="Y34" s="48">
        <f t="shared" si="4"/>
        <v>0</v>
      </c>
      <c r="Z34" s="71"/>
      <c r="AA34" s="50"/>
      <c r="AB34" s="51"/>
      <c r="AF34" s="55"/>
    </row>
    <row r="35" spans="1:32" s="52" customFormat="1" ht="25.5" customHeight="1">
      <c r="A35" s="27">
        <v>41269</v>
      </c>
      <c r="B35" s="28" t="s">
        <v>234</v>
      </c>
      <c r="C35" s="88" t="s">
        <v>175</v>
      </c>
      <c r="D35" s="30">
        <v>41244</v>
      </c>
      <c r="E35" s="31" t="s">
        <v>60</v>
      </c>
      <c r="F35" s="30"/>
      <c r="G35" s="32" t="s">
        <v>80</v>
      </c>
      <c r="H35" s="32" t="s">
        <v>77</v>
      </c>
      <c r="I35" s="32" t="s">
        <v>77</v>
      </c>
      <c r="J35" s="32" t="s">
        <v>77</v>
      </c>
      <c r="K35" s="32" t="s">
        <v>77</v>
      </c>
      <c r="L35" s="37" t="s">
        <v>81</v>
      </c>
      <c r="M35" s="38" t="s">
        <v>35</v>
      </c>
      <c r="N35" s="39">
        <v>2800</v>
      </c>
      <c r="O35" s="89">
        <v>0.9</v>
      </c>
      <c r="P35" s="58"/>
      <c r="Q35" s="42">
        <f t="shared" ref="Q35:Q66" si="8">N35-((N35*O35)+P35)</f>
        <v>280</v>
      </c>
      <c r="R35" s="43">
        <v>0</v>
      </c>
      <c r="S35" s="44">
        <f t="shared" ref="S35:S66" si="9">(N35+R35)*19.6%</f>
        <v>548.80000000000007</v>
      </c>
      <c r="T35" s="44">
        <f t="shared" ref="T35:T66" si="10">S35+N35+R35</f>
        <v>3348.8</v>
      </c>
      <c r="U35" s="45"/>
      <c r="V35" s="41">
        <v>3348.8</v>
      </c>
      <c r="W35" s="27">
        <v>41298</v>
      </c>
      <c r="X35" s="47" t="s">
        <v>36</v>
      </c>
      <c r="Y35" s="48">
        <f t="shared" ref="Y35:Y66" si="11">T35-V35</f>
        <v>0</v>
      </c>
      <c r="Z35" s="83"/>
      <c r="AA35" s="50"/>
      <c r="AB35" s="59"/>
      <c r="AC35" s="55"/>
    </row>
    <row r="36" spans="1:32" s="52" customFormat="1" ht="25.5" customHeight="1">
      <c r="A36" s="27">
        <v>41283</v>
      </c>
      <c r="B36" s="28" t="s">
        <v>235</v>
      </c>
      <c r="C36" s="88" t="s">
        <v>175</v>
      </c>
      <c r="D36" s="30">
        <v>41275</v>
      </c>
      <c r="E36" s="31" t="s">
        <v>60</v>
      </c>
      <c r="F36" s="30"/>
      <c r="G36" s="32" t="s">
        <v>82</v>
      </c>
      <c r="H36" s="32" t="s">
        <v>77</v>
      </c>
      <c r="I36" s="32" t="s">
        <v>77</v>
      </c>
      <c r="J36" s="32" t="s">
        <v>77</v>
      </c>
      <c r="K36" s="32" t="s">
        <v>77</v>
      </c>
      <c r="L36" s="37" t="s">
        <v>83</v>
      </c>
      <c r="M36" s="38" t="s">
        <v>35</v>
      </c>
      <c r="N36" s="39">
        <v>2800</v>
      </c>
      <c r="O36" s="89">
        <v>0.9</v>
      </c>
      <c r="P36" s="58"/>
      <c r="Q36" s="42">
        <f t="shared" si="8"/>
        <v>280</v>
      </c>
      <c r="R36" s="43">
        <v>0</v>
      </c>
      <c r="S36" s="44">
        <f t="shared" si="9"/>
        <v>548.80000000000007</v>
      </c>
      <c r="T36" s="44">
        <f t="shared" si="10"/>
        <v>3348.8</v>
      </c>
      <c r="U36" s="45"/>
      <c r="V36" s="46">
        <v>3348.8</v>
      </c>
      <c r="W36" s="27">
        <v>41298</v>
      </c>
      <c r="X36" s="47" t="s">
        <v>36</v>
      </c>
      <c r="Y36" s="48">
        <f t="shared" si="11"/>
        <v>0</v>
      </c>
      <c r="Z36" s="71"/>
      <c r="AA36" s="50"/>
      <c r="AB36" s="72"/>
      <c r="AC36" s="57"/>
      <c r="AF36" s="55"/>
    </row>
    <row r="37" spans="1:32" s="52" customFormat="1" ht="25.5" customHeight="1">
      <c r="A37" s="27">
        <v>41305</v>
      </c>
      <c r="B37" s="28" t="s">
        <v>236</v>
      </c>
      <c r="C37" s="88" t="s">
        <v>175</v>
      </c>
      <c r="D37" s="30">
        <v>41275</v>
      </c>
      <c r="E37" s="31" t="s">
        <v>60</v>
      </c>
      <c r="F37" s="30"/>
      <c r="G37" s="32" t="s">
        <v>82</v>
      </c>
      <c r="H37" s="32" t="s">
        <v>77</v>
      </c>
      <c r="I37" s="32" t="s">
        <v>77</v>
      </c>
      <c r="J37" s="32" t="s">
        <v>77</v>
      </c>
      <c r="K37" s="32" t="s">
        <v>77</v>
      </c>
      <c r="L37" s="50" t="s">
        <v>84</v>
      </c>
      <c r="M37" s="38" t="s">
        <v>35</v>
      </c>
      <c r="N37" s="39">
        <v>2800</v>
      </c>
      <c r="O37" s="89">
        <v>0.9</v>
      </c>
      <c r="P37" s="41"/>
      <c r="Q37" s="42">
        <f t="shared" si="8"/>
        <v>280</v>
      </c>
      <c r="R37" s="43">
        <v>0</v>
      </c>
      <c r="S37" s="44">
        <f t="shared" si="9"/>
        <v>548.80000000000007</v>
      </c>
      <c r="T37" s="44">
        <f t="shared" si="10"/>
        <v>3348.8</v>
      </c>
      <c r="U37" s="45"/>
      <c r="V37" s="41">
        <v>3348.8</v>
      </c>
      <c r="W37" s="27">
        <v>41327</v>
      </c>
      <c r="X37" s="47" t="s">
        <v>36</v>
      </c>
      <c r="Y37" s="48">
        <f t="shared" si="11"/>
        <v>0</v>
      </c>
      <c r="Z37" s="71"/>
      <c r="AA37" s="50"/>
      <c r="AB37" s="72"/>
      <c r="AC37" s="57"/>
      <c r="AF37" s="55"/>
    </row>
    <row r="38" spans="1:32" s="52" customFormat="1" ht="25.5" customHeight="1">
      <c r="A38" s="27">
        <v>41338</v>
      </c>
      <c r="B38" s="28" t="s">
        <v>237</v>
      </c>
      <c r="C38" s="88" t="s">
        <v>175</v>
      </c>
      <c r="D38" s="30">
        <v>41334</v>
      </c>
      <c r="E38" s="31" t="s">
        <v>60</v>
      </c>
      <c r="F38" s="30"/>
      <c r="G38" s="32" t="s">
        <v>82</v>
      </c>
      <c r="H38" s="32" t="s">
        <v>77</v>
      </c>
      <c r="I38" s="32" t="s">
        <v>77</v>
      </c>
      <c r="J38" s="32" t="s">
        <v>77</v>
      </c>
      <c r="K38" s="32" t="s">
        <v>77</v>
      </c>
      <c r="L38" s="37" t="s">
        <v>85</v>
      </c>
      <c r="M38" s="38" t="s">
        <v>35</v>
      </c>
      <c r="N38" s="39">
        <v>2800</v>
      </c>
      <c r="O38" s="89">
        <v>0.9</v>
      </c>
      <c r="P38" s="41"/>
      <c r="Q38" s="42">
        <f t="shared" si="8"/>
        <v>280</v>
      </c>
      <c r="R38" s="43">
        <v>0</v>
      </c>
      <c r="S38" s="44">
        <f t="shared" si="9"/>
        <v>548.80000000000007</v>
      </c>
      <c r="T38" s="44">
        <f t="shared" si="10"/>
        <v>3348.8</v>
      </c>
      <c r="U38" s="45"/>
      <c r="V38" s="46">
        <v>3348.8</v>
      </c>
      <c r="W38" s="27">
        <v>41382</v>
      </c>
      <c r="X38" s="47" t="s">
        <v>36</v>
      </c>
      <c r="Y38" s="48">
        <f t="shared" si="11"/>
        <v>0</v>
      </c>
      <c r="Z38" s="28"/>
      <c r="AA38" s="50"/>
      <c r="AB38" s="91"/>
      <c r="AC38" s="92"/>
    </row>
    <row r="39" spans="1:32" s="52" customFormat="1" ht="25.5" customHeight="1">
      <c r="A39" s="27">
        <v>41369</v>
      </c>
      <c r="B39" s="28" t="s">
        <v>238</v>
      </c>
      <c r="C39" s="88" t="s">
        <v>175</v>
      </c>
      <c r="D39" s="30">
        <v>41365</v>
      </c>
      <c r="E39" s="31" t="s">
        <v>60</v>
      </c>
      <c r="F39" s="30"/>
      <c r="G39" s="32" t="s">
        <v>82</v>
      </c>
      <c r="H39" s="32" t="s">
        <v>77</v>
      </c>
      <c r="I39" s="32" t="s">
        <v>77</v>
      </c>
      <c r="J39" s="32" t="s">
        <v>77</v>
      </c>
      <c r="K39" s="32" t="s">
        <v>77</v>
      </c>
      <c r="L39" s="50" t="s">
        <v>86</v>
      </c>
      <c r="M39" s="38" t="s">
        <v>35</v>
      </c>
      <c r="N39" s="39">
        <v>2800</v>
      </c>
      <c r="O39" s="89">
        <v>0.9</v>
      </c>
      <c r="P39" s="41"/>
      <c r="Q39" s="42">
        <f t="shared" si="8"/>
        <v>280</v>
      </c>
      <c r="R39" s="43">
        <v>0</v>
      </c>
      <c r="S39" s="44">
        <f t="shared" si="9"/>
        <v>548.80000000000007</v>
      </c>
      <c r="T39" s="44">
        <f t="shared" si="10"/>
        <v>3348.8</v>
      </c>
      <c r="U39" s="45">
        <v>41398</v>
      </c>
      <c r="V39" s="41"/>
      <c r="W39" s="27"/>
      <c r="X39" s="47"/>
      <c r="Y39" s="48">
        <f t="shared" si="11"/>
        <v>3348.8</v>
      </c>
      <c r="Z39" s="83"/>
      <c r="AA39" s="50"/>
      <c r="AB39" s="51"/>
      <c r="AF39" s="54"/>
    </row>
    <row r="40" spans="1:32" s="52" customFormat="1" ht="25.5" customHeight="1">
      <c r="A40" s="27">
        <v>41416</v>
      </c>
      <c r="B40" s="28" t="s">
        <v>239</v>
      </c>
      <c r="C40" s="88" t="s">
        <v>175</v>
      </c>
      <c r="D40" s="30">
        <v>41395</v>
      </c>
      <c r="E40" s="31" t="s">
        <v>60</v>
      </c>
      <c r="F40" s="30"/>
      <c r="G40" s="32" t="s">
        <v>82</v>
      </c>
      <c r="H40" s="32" t="s">
        <v>77</v>
      </c>
      <c r="I40" s="32" t="s">
        <v>77</v>
      </c>
      <c r="J40" s="32" t="s">
        <v>77</v>
      </c>
      <c r="K40" s="32" t="s">
        <v>77</v>
      </c>
      <c r="L40" s="37" t="s">
        <v>87</v>
      </c>
      <c r="M40" s="38" t="s">
        <v>35</v>
      </c>
      <c r="N40" s="39">
        <v>2800</v>
      </c>
      <c r="O40" s="89">
        <v>0.9</v>
      </c>
      <c r="P40" s="41"/>
      <c r="Q40" s="42">
        <f t="shared" si="8"/>
        <v>280</v>
      </c>
      <c r="R40" s="43">
        <v>0</v>
      </c>
      <c r="S40" s="44">
        <f t="shared" si="9"/>
        <v>548.80000000000007</v>
      </c>
      <c r="T40" s="44">
        <f t="shared" si="10"/>
        <v>3348.8</v>
      </c>
      <c r="U40" s="45">
        <v>41447</v>
      </c>
      <c r="V40" s="46"/>
      <c r="W40" s="27"/>
      <c r="X40" s="47"/>
      <c r="Y40" s="48">
        <f t="shared" si="11"/>
        <v>3348.8</v>
      </c>
      <c r="Z40" s="82"/>
      <c r="AA40" s="50"/>
      <c r="AB40" s="56"/>
      <c r="AC40" s="81"/>
      <c r="AF40" s="54"/>
    </row>
    <row r="41" spans="1:32" s="54" customFormat="1" ht="25.5" customHeight="1">
      <c r="A41" s="27"/>
      <c r="B41" s="28"/>
      <c r="C41" s="88" t="s">
        <v>175</v>
      </c>
      <c r="D41" s="30">
        <v>41426</v>
      </c>
      <c r="E41" s="31" t="s">
        <v>60</v>
      </c>
      <c r="F41" s="30"/>
      <c r="G41" s="32" t="s">
        <v>82</v>
      </c>
      <c r="H41" s="32" t="s">
        <v>77</v>
      </c>
      <c r="I41" s="32" t="s">
        <v>77</v>
      </c>
      <c r="J41" s="32" t="s">
        <v>77</v>
      </c>
      <c r="K41" s="32" t="s">
        <v>77</v>
      </c>
      <c r="L41" s="37" t="s">
        <v>88</v>
      </c>
      <c r="M41" s="38" t="s">
        <v>35</v>
      </c>
      <c r="N41" s="39">
        <v>2800</v>
      </c>
      <c r="O41" s="89">
        <v>0.9</v>
      </c>
      <c r="P41" s="41"/>
      <c r="Q41" s="42">
        <f t="shared" si="8"/>
        <v>280</v>
      </c>
      <c r="R41" s="43">
        <v>0</v>
      </c>
      <c r="S41" s="44">
        <f t="shared" si="9"/>
        <v>548.80000000000007</v>
      </c>
      <c r="T41" s="44">
        <f t="shared" si="10"/>
        <v>3348.8</v>
      </c>
      <c r="U41" s="45"/>
      <c r="V41" s="41"/>
      <c r="W41" s="27"/>
      <c r="X41" s="47"/>
      <c r="Y41" s="48">
        <f t="shared" si="11"/>
        <v>3348.8</v>
      </c>
      <c r="Z41" s="53"/>
      <c r="AA41" s="50"/>
      <c r="AB41" s="56"/>
      <c r="AC41" s="56"/>
      <c r="AF41" s="52"/>
    </row>
    <row r="42" spans="1:32" s="54" customFormat="1" ht="25.5" customHeight="1">
      <c r="A42" s="27"/>
      <c r="B42" s="28"/>
      <c r="C42" s="88" t="s">
        <v>175</v>
      </c>
      <c r="D42" s="30">
        <v>41456</v>
      </c>
      <c r="E42" s="31" t="s">
        <v>60</v>
      </c>
      <c r="F42" s="30"/>
      <c r="G42" s="32" t="s">
        <v>82</v>
      </c>
      <c r="H42" s="32" t="s">
        <v>77</v>
      </c>
      <c r="I42" s="32" t="s">
        <v>77</v>
      </c>
      <c r="J42" s="32" t="s">
        <v>77</v>
      </c>
      <c r="K42" s="32" t="s">
        <v>77</v>
      </c>
      <c r="L42" s="37" t="s">
        <v>89</v>
      </c>
      <c r="M42" s="38" t="s">
        <v>35</v>
      </c>
      <c r="N42" s="39">
        <v>2800</v>
      </c>
      <c r="O42" s="89">
        <v>0.9</v>
      </c>
      <c r="P42" s="41"/>
      <c r="Q42" s="42">
        <f t="shared" si="8"/>
        <v>280</v>
      </c>
      <c r="R42" s="43">
        <v>0</v>
      </c>
      <c r="S42" s="44">
        <f t="shared" si="9"/>
        <v>548.80000000000007</v>
      </c>
      <c r="T42" s="44">
        <f t="shared" si="10"/>
        <v>3348.8</v>
      </c>
      <c r="U42" s="45"/>
      <c r="V42" s="41"/>
      <c r="W42" s="27"/>
      <c r="X42" s="47"/>
      <c r="Y42" s="48">
        <f t="shared" si="11"/>
        <v>3348.8</v>
      </c>
      <c r="Z42" s="53"/>
      <c r="AA42" s="50"/>
      <c r="AB42" s="56"/>
      <c r="AC42" s="56"/>
      <c r="AF42" s="52"/>
    </row>
    <row r="43" spans="1:32" s="54" customFormat="1" ht="25.5" customHeight="1">
      <c r="A43" s="27"/>
      <c r="B43" s="28"/>
      <c r="C43" s="88" t="s">
        <v>175</v>
      </c>
      <c r="D43" s="30">
        <v>41487</v>
      </c>
      <c r="E43" s="31" t="s">
        <v>60</v>
      </c>
      <c r="F43" s="30"/>
      <c r="G43" s="32" t="s">
        <v>82</v>
      </c>
      <c r="H43" s="32" t="s">
        <v>77</v>
      </c>
      <c r="I43" s="32" t="s">
        <v>77</v>
      </c>
      <c r="J43" s="32" t="s">
        <v>77</v>
      </c>
      <c r="K43" s="32" t="s">
        <v>77</v>
      </c>
      <c r="L43" s="37" t="s">
        <v>90</v>
      </c>
      <c r="M43" s="38" t="s">
        <v>35</v>
      </c>
      <c r="N43" s="39">
        <v>2800</v>
      </c>
      <c r="O43" s="89">
        <v>0.9</v>
      </c>
      <c r="P43" s="41"/>
      <c r="Q43" s="42">
        <f t="shared" si="8"/>
        <v>280</v>
      </c>
      <c r="R43" s="43">
        <v>0</v>
      </c>
      <c r="S43" s="44">
        <f t="shared" si="9"/>
        <v>548.80000000000007</v>
      </c>
      <c r="T43" s="44">
        <f t="shared" si="10"/>
        <v>3348.8</v>
      </c>
      <c r="U43" s="45"/>
      <c r="V43" s="41"/>
      <c r="W43" s="27"/>
      <c r="X43" s="47"/>
      <c r="Y43" s="48">
        <f t="shared" si="11"/>
        <v>3348.8</v>
      </c>
      <c r="Z43" s="53"/>
      <c r="AA43" s="50"/>
      <c r="AB43" s="56"/>
      <c r="AC43" s="56"/>
      <c r="AF43" s="52"/>
    </row>
    <row r="44" spans="1:32" s="54" customFormat="1" ht="25.5" customHeight="1">
      <c r="A44" s="27"/>
      <c r="B44" s="28"/>
      <c r="C44" s="88" t="s">
        <v>175</v>
      </c>
      <c r="D44" s="30">
        <v>41518</v>
      </c>
      <c r="E44" s="31" t="s">
        <v>60</v>
      </c>
      <c r="F44" s="30"/>
      <c r="G44" s="32" t="s">
        <v>82</v>
      </c>
      <c r="H44" s="32" t="s">
        <v>77</v>
      </c>
      <c r="I44" s="32" t="s">
        <v>77</v>
      </c>
      <c r="J44" s="32" t="s">
        <v>77</v>
      </c>
      <c r="K44" s="32" t="s">
        <v>77</v>
      </c>
      <c r="L44" s="37" t="s">
        <v>91</v>
      </c>
      <c r="M44" s="38" t="s">
        <v>35</v>
      </c>
      <c r="N44" s="39">
        <v>2800</v>
      </c>
      <c r="O44" s="89">
        <v>0.9</v>
      </c>
      <c r="P44" s="41"/>
      <c r="Q44" s="42">
        <f t="shared" si="8"/>
        <v>280</v>
      </c>
      <c r="R44" s="43">
        <v>0</v>
      </c>
      <c r="S44" s="44">
        <f t="shared" si="9"/>
        <v>548.80000000000007</v>
      </c>
      <c r="T44" s="44">
        <f t="shared" si="10"/>
        <v>3348.8</v>
      </c>
      <c r="U44" s="45"/>
      <c r="V44" s="41"/>
      <c r="W44" s="27"/>
      <c r="X44" s="47"/>
      <c r="Y44" s="48">
        <f t="shared" si="11"/>
        <v>3348.8</v>
      </c>
      <c r="Z44" s="53"/>
      <c r="AA44" s="50"/>
      <c r="AB44" s="56"/>
      <c r="AC44" s="56"/>
      <c r="AF44" s="93"/>
    </row>
    <row r="45" spans="1:32" s="54" customFormat="1" ht="25.5" customHeight="1">
      <c r="A45" s="27"/>
      <c r="B45" s="28"/>
      <c r="C45" s="88" t="s">
        <v>175</v>
      </c>
      <c r="D45" s="30">
        <v>41548</v>
      </c>
      <c r="E45" s="31" t="s">
        <v>60</v>
      </c>
      <c r="F45" s="30"/>
      <c r="G45" s="32" t="s">
        <v>82</v>
      </c>
      <c r="H45" s="32" t="s">
        <v>77</v>
      </c>
      <c r="I45" s="32" t="s">
        <v>77</v>
      </c>
      <c r="J45" s="32" t="s">
        <v>77</v>
      </c>
      <c r="K45" s="32" t="s">
        <v>77</v>
      </c>
      <c r="L45" s="37" t="s">
        <v>92</v>
      </c>
      <c r="M45" s="38" t="s">
        <v>35</v>
      </c>
      <c r="N45" s="39">
        <v>2800</v>
      </c>
      <c r="O45" s="89">
        <v>0.9</v>
      </c>
      <c r="P45" s="41"/>
      <c r="Q45" s="42">
        <f t="shared" si="8"/>
        <v>280</v>
      </c>
      <c r="R45" s="43">
        <v>0</v>
      </c>
      <c r="S45" s="44">
        <f t="shared" si="9"/>
        <v>548.80000000000007</v>
      </c>
      <c r="T45" s="44">
        <f t="shared" si="10"/>
        <v>3348.8</v>
      </c>
      <c r="U45" s="45"/>
      <c r="V45" s="41"/>
      <c r="W45" s="27"/>
      <c r="X45" s="47"/>
      <c r="Y45" s="48">
        <f t="shared" si="11"/>
        <v>3348.8</v>
      </c>
      <c r="Z45" s="53"/>
      <c r="AA45" s="50"/>
      <c r="AB45" s="56"/>
      <c r="AC45" s="56"/>
      <c r="AF45" s="93"/>
    </row>
    <row r="46" spans="1:32" s="54" customFormat="1" ht="25.5" customHeight="1">
      <c r="A46" s="27"/>
      <c r="B46" s="28"/>
      <c r="C46" s="88" t="s">
        <v>175</v>
      </c>
      <c r="D46" s="30">
        <v>41579</v>
      </c>
      <c r="E46" s="31" t="s">
        <v>60</v>
      </c>
      <c r="F46" s="30"/>
      <c r="G46" s="32" t="s">
        <v>82</v>
      </c>
      <c r="H46" s="32" t="s">
        <v>77</v>
      </c>
      <c r="I46" s="32" t="s">
        <v>77</v>
      </c>
      <c r="J46" s="32" t="s">
        <v>77</v>
      </c>
      <c r="K46" s="32" t="s">
        <v>77</v>
      </c>
      <c r="L46" s="37" t="s">
        <v>93</v>
      </c>
      <c r="M46" s="38" t="s">
        <v>35</v>
      </c>
      <c r="N46" s="39">
        <v>2800</v>
      </c>
      <c r="O46" s="89">
        <v>0.9</v>
      </c>
      <c r="P46" s="41"/>
      <c r="Q46" s="42">
        <f t="shared" si="8"/>
        <v>280</v>
      </c>
      <c r="R46" s="43">
        <v>0</v>
      </c>
      <c r="S46" s="44">
        <f t="shared" si="9"/>
        <v>548.80000000000007</v>
      </c>
      <c r="T46" s="44">
        <f t="shared" si="10"/>
        <v>3348.8</v>
      </c>
      <c r="U46" s="45"/>
      <c r="V46" s="41"/>
      <c r="W46" s="27"/>
      <c r="X46" s="47"/>
      <c r="Y46" s="48">
        <f t="shared" si="11"/>
        <v>3348.8</v>
      </c>
      <c r="Z46" s="53"/>
      <c r="AA46" s="50"/>
      <c r="AB46" s="56"/>
      <c r="AC46" s="56"/>
      <c r="AF46" s="93"/>
    </row>
    <row r="47" spans="1:32" s="55" customFormat="1" ht="30" customHeight="1">
      <c r="A47" s="27">
        <v>41317</v>
      </c>
      <c r="B47" s="28" t="s">
        <v>240</v>
      </c>
      <c r="C47" s="29" t="s">
        <v>176</v>
      </c>
      <c r="D47" s="30">
        <v>41306</v>
      </c>
      <c r="E47" s="31">
        <v>41317</v>
      </c>
      <c r="F47" s="30" t="s">
        <v>23</v>
      </c>
      <c r="G47" s="32" t="s">
        <v>95</v>
      </c>
      <c r="H47" s="33">
        <v>10</v>
      </c>
      <c r="I47" s="34">
        <v>1300</v>
      </c>
      <c r="J47" s="35"/>
      <c r="K47" s="36">
        <f>IF(J47&gt;0,H47*J47,H47*I47)</f>
        <v>13000</v>
      </c>
      <c r="L47" s="37" t="s">
        <v>30</v>
      </c>
      <c r="M47" s="38" t="str">
        <f>IF(K47=N47,"ok","Dif")</f>
        <v>ok</v>
      </c>
      <c r="N47" s="39">
        <v>13000</v>
      </c>
      <c r="O47" s="40">
        <v>0.125</v>
      </c>
      <c r="P47" s="41"/>
      <c r="Q47" s="42">
        <f t="shared" si="8"/>
        <v>11375</v>
      </c>
      <c r="R47" s="43">
        <v>0</v>
      </c>
      <c r="S47" s="44">
        <f t="shared" si="9"/>
        <v>2548</v>
      </c>
      <c r="T47" s="44">
        <f t="shared" si="10"/>
        <v>15548</v>
      </c>
      <c r="U47" s="45"/>
      <c r="V47" s="46">
        <v>15548</v>
      </c>
      <c r="W47" s="27">
        <v>41317</v>
      </c>
      <c r="X47" s="94" t="s">
        <v>55</v>
      </c>
      <c r="Y47" s="48">
        <f t="shared" si="11"/>
        <v>0</v>
      </c>
      <c r="Z47" s="71"/>
      <c r="AA47" s="50"/>
      <c r="AB47" s="51"/>
      <c r="AC47" s="52"/>
    </row>
    <row r="48" spans="1:32" s="55" customFormat="1" ht="30.6">
      <c r="A48" s="27">
        <v>41362</v>
      </c>
      <c r="B48" s="28" t="s">
        <v>241</v>
      </c>
      <c r="C48" s="29" t="s">
        <v>176</v>
      </c>
      <c r="D48" s="30">
        <v>41334</v>
      </c>
      <c r="E48" s="31">
        <v>41317</v>
      </c>
      <c r="F48" s="30" t="s">
        <v>23</v>
      </c>
      <c r="G48" s="32" t="s">
        <v>95</v>
      </c>
      <c r="H48" s="69">
        <v>-10</v>
      </c>
      <c r="I48" s="34">
        <v>1300</v>
      </c>
      <c r="J48" s="35"/>
      <c r="K48" s="43">
        <f>IF(J48&gt;0,H48*J48,H48*I48)</f>
        <v>-13000</v>
      </c>
      <c r="L48" s="37" t="s">
        <v>44</v>
      </c>
      <c r="M48" s="38" t="str">
        <f>IF(K48=N48,"ok","Dif")</f>
        <v>ok</v>
      </c>
      <c r="N48" s="39">
        <v>-13000</v>
      </c>
      <c r="O48" s="40">
        <v>0.125</v>
      </c>
      <c r="P48" s="41"/>
      <c r="Q48" s="42">
        <f t="shared" si="8"/>
        <v>-11375</v>
      </c>
      <c r="R48" s="43">
        <v>0</v>
      </c>
      <c r="S48" s="44">
        <f t="shared" si="9"/>
        <v>-2548</v>
      </c>
      <c r="T48" s="44">
        <f t="shared" si="10"/>
        <v>-15548</v>
      </c>
      <c r="U48" s="45"/>
      <c r="V48" s="41">
        <v>-15548</v>
      </c>
      <c r="W48" s="27">
        <v>41362</v>
      </c>
      <c r="X48" s="70" t="s">
        <v>56</v>
      </c>
      <c r="Y48" s="48">
        <f t="shared" si="11"/>
        <v>0</v>
      </c>
      <c r="Z48" s="71"/>
      <c r="AA48" s="50"/>
      <c r="AB48" s="51"/>
      <c r="AC48" s="52"/>
      <c r="AF48" s="52"/>
    </row>
    <row r="49" spans="1:32" s="55" customFormat="1" ht="25.5" customHeight="1">
      <c r="A49" s="27">
        <v>41362</v>
      </c>
      <c r="B49" s="28" t="s">
        <v>242</v>
      </c>
      <c r="C49" s="29" t="s">
        <v>176</v>
      </c>
      <c r="D49" s="30">
        <v>41334</v>
      </c>
      <c r="E49" s="31">
        <v>41317</v>
      </c>
      <c r="F49" s="30" t="s">
        <v>23</v>
      </c>
      <c r="G49" s="32" t="s">
        <v>94</v>
      </c>
      <c r="H49" s="33">
        <v>7.5</v>
      </c>
      <c r="I49" s="34">
        <v>1300</v>
      </c>
      <c r="J49" s="35"/>
      <c r="K49" s="36">
        <f>IF(J49&gt;0,H49*J49,H49*I49)</f>
        <v>9750</v>
      </c>
      <c r="L49" s="37" t="s">
        <v>30</v>
      </c>
      <c r="M49" s="38" t="str">
        <f>IF(K49=N49,"ok","Dif")</f>
        <v>ok</v>
      </c>
      <c r="N49" s="39">
        <v>9750</v>
      </c>
      <c r="O49" s="40">
        <v>0.125</v>
      </c>
      <c r="P49" s="41"/>
      <c r="Q49" s="42">
        <f t="shared" si="8"/>
        <v>8531.25</v>
      </c>
      <c r="R49" s="43">
        <v>0</v>
      </c>
      <c r="S49" s="44">
        <f t="shared" si="9"/>
        <v>1911</v>
      </c>
      <c r="T49" s="44">
        <f t="shared" si="10"/>
        <v>11661</v>
      </c>
      <c r="U49" s="45"/>
      <c r="V49" s="41">
        <v>11661</v>
      </c>
      <c r="W49" s="27">
        <v>41417</v>
      </c>
      <c r="X49" s="47" t="s">
        <v>32</v>
      </c>
      <c r="Y49" s="48">
        <f t="shared" si="11"/>
        <v>0</v>
      </c>
      <c r="Z49" s="71"/>
      <c r="AA49" s="50"/>
      <c r="AB49" s="51"/>
      <c r="AC49" s="52"/>
      <c r="AF49" s="52"/>
    </row>
    <row r="50" spans="1:32" s="55" customFormat="1" ht="25.5" customHeight="1">
      <c r="A50" s="27">
        <v>41435</v>
      </c>
      <c r="B50" s="28" t="s">
        <v>243</v>
      </c>
      <c r="C50" s="29" t="s">
        <v>176</v>
      </c>
      <c r="D50" s="30">
        <v>41426</v>
      </c>
      <c r="E50" s="31">
        <v>41317</v>
      </c>
      <c r="F50" s="30" t="s">
        <v>23</v>
      </c>
      <c r="G50" s="32" t="s">
        <v>94</v>
      </c>
      <c r="H50" s="33">
        <v>7.5</v>
      </c>
      <c r="I50" s="34">
        <v>1300</v>
      </c>
      <c r="J50" s="35"/>
      <c r="K50" s="36">
        <f>IF(J50&gt;0,H50*J50,H50*I50)</f>
        <v>9750</v>
      </c>
      <c r="L50" s="37" t="s">
        <v>25</v>
      </c>
      <c r="M50" s="38" t="str">
        <f>IF(K50=N50,"ok","Dif")</f>
        <v>ok</v>
      </c>
      <c r="N50" s="39">
        <v>9750</v>
      </c>
      <c r="O50" s="40">
        <v>0.125</v>
      </c>
      <c r="P50" s="41"/>
      <c r="Q50" s="42">
        <f t="shared" si="8"/>
        <v>8531.25</v>
      </c>
      <c r="R50" s="43">
        <v>506.04</v>
      </c>
      <c r="S50" s="44">
        <f t="shared" si="9"/>
        <v>2010.1838400000001</v>
      </c>
      <c r="T50" s="44">
        <f t="shared" si="10"/>
        <v>12266.223840000001</v>
      </c>
      <c r="U50" s="45">
        <v>41465</v>
      </c>
      <c r="V50" s="41">
        <v>12266.22</v>
      </c>
      <c r="W50" s="27">
        <v>41438</v>
      </c>
      <c r="X50" s="47" t="s">
        <v>32</v>
      </c>
      <c r="Y50" s="48">
        <f t="shared" si="11"/>
        <v>3.8400000012188684E-3</v>
      </c>
      <c r="Z50" s="71"/>
      <c r="AA50" s="50"/>
      <c r="AB50" s="51"/>
      <c r="AC50" s="52"/>
      <c r="AF50" s="52"/>
    </row>
    <row r="51" spans="1:32" s="52" customFormat="1" ht="25.5" customHeight="1">
      <c r="A51" s="27">
        <v>41288</v>
      </c>
      <c r="B51" s="28" t="s">
        <v>244</v>
      </c>
      <c r="C51" s="29" t="s">
        <v>177</v>
      </c>
      <c r="D51" s="30">
        <v>41275</v>
      </c>
      <c r="E51" s="31">
        <v>40714</v>
      </c>
      <c r="F51" s="30" t="s">
        <v>23</v>
      </c>
      <c r="G51" s="32" t="s">
        <v>96</v>
      </c>
      <c r="H51" s="33">
        <f>26.5/2</f>
        <v>13.25</v>
      </c>
      <c r="I51" s="34">
        <v>1400</v>
      </c>
      <c r="J51" s="35"/>
      <c r="K51" s="36">
        <f>IF(J51&gt;0,H51*J51,H51*I51)</f>
        <v>18550</v>
      </c>
      <c r="L51" s="37" t="s">
        <v>25</v>
      </c>
      <c r="M51" s="38" t="str">
        <f>IF(K51=N51,"ok","Dif")</f>
        <v>ok</v>
      </c>
      <c r="N51" s="39">
        <v>18550</v>
      </c>
      <c r="O51" s="95">
        <v>0</v>
      </c>
      <c r="P51" s="41"/>
      <c r="Q51" s="42">
        <f t="shared" si="8"/>
        <v>18550</v>
      </c>
      <c r="R51" s="43">
        <v>0</v>
      </c>
      <c r="S51" s="44">
        <f t="shared" si="9"/>
        <v>3635.8</v>
      </c>
      <c r="T51" s="44">
        <f t="shared" si="10"/>
        <v>22185.8</v>
      </c>
      <c r="U51" s="45">
        <v>41318</v>
      </c>
      <c r="V51" s="46"/>
      <c r="W51" s="27"/>
      <c r="X51" s="47"/>
      <c r="Y51" s="48">
        <f t="shared" si="11"/>
        <v>22185.8</v>
      </c>
      <c r="Z51" s="71"/>
      <c r="AA51" s="50"/>
      <c r="AB51" s="51"/>
      <c r="AF51" s="54"/>
    </row>
    <row r="52" spans="1:32" s="57" customFormat="1" ht="25.5" customHeight="1">
      <c r="A52" s="27">
        <v>41236</v>
      </c>
      <c r="B52" s="28" t="s">
        <v>245</v>
      </c>
      <c r="C52" s="29" t="s">
        <v>178</v>
      </c>
      <c r="D52" s="30">
        <v>41214</v>
      </c>
      <c r="E52" s="31" t="s">
        <v>60</v>
      </c>
      <c r="F52" s="30"/>
      <c r="G52" s="32" t="s">
        <v>97</v>
      </c>
      <c r="H52" s="96" t="s">
        <v>77</v>
      </c>
      <c r="I52" s="96" t="s">
        <v>77</v>
      </c>
      <c r="J52" s="96" t="s">
        <v>77</v>
      </c>
      <c r="K52" s="96" t="s">
        <v>77</v>
      </c>
      <c r="L52" s="37" t="s">
        <v>81</v>
      </c>
      <c r="M52" s="38" t="s">
        <v>35</v>
      </c>
      <c r="N52" s="39">
        <v>1533.33</v>
      </c>
      <c r="O52" s="89">
        <v>0.9</v>
      </c>
      <c r="P52" s="41"/>
      <c r="Q52" s="42">
        <f t="shared" si="8"/>
        <v>153.33299999999986</v>
      </c>
      <c r="R52" s="43">
        <v>0</v>
      </c>
      <c r="S52" s="44">
        <f t="shared" si="9"/>
        <v>300.53267999999997</v>
      </c>
      <c r="T52" s="44">
        <f t="shared" si="10"/>
        <v>1833.86268</v>
      </c>
      <c r="U52" s="45"/>
      <c r="V52" s="46">
        <v>1833.86</v>
      </c>
      <c r="W52" s="27">
        <v>41296</v>
      </c>
      <c r="X52" s="47" t="s">
        <v>36</v>
      </c>
      <c r="Y52" s="48">
        <f t="shared" si="11"/>
        <v>2.6800000000548607E-3</v>
      </c>
      <c r="Z52" s="71"/>
      <c r="AA52" s="50"/>
      <c r="AB52" s="51"/>
      <c r="AC52" s="52"/>
      <c r="AF52" s="52"/>
    </row>
    <row r="53" spans="1:32" s="57" customFormat="1" ht="25.5" customHeight="1">
      <c r="A53" s="27">
        <v>41269</v>
      </c>
      <c r="B53" s="28" t="s">
        <v>246</v>
      </c>
      <c r="C53" s="29" t="s">
        <v>178</v>
      </c>
      <c r="D53" s="30">
        <v>41244</v>
      </c>
      <c r="E53" s="31" t="s">
        <v>60</v>
      </c>
      <c r="F53" s="30"/>
      <c r="G53" s="32" t="s">
        <v>97</v>
      </c>
      <c r="H53" s="96" t="s">
        <v>77</v>
      </c>
      <c r="I53" s="96" t="s">
        <v>77</v>
      </c>
      <c r="J53" s="96" t="s">
        <v>77</v>
      </c>
      <c r="K53" s="96" t="s">
        <v>77</v>
      </c>
      <c r="L53" s="37" t="s">
        <v>83</v>
      </c>
      <c r="M53" s="38" t="s">
        <v>35</v>
      </c>
      <c r="N53" s="39">
        <v>1533.33</v>
      </c>
      <c r="O53" s="89">
        <v>0.9</v>
      </c>
      <c r="P53" s="87"/>
      <c r="Q53" s="42">
        <f t="shared" si="8"/>
        <v>153.33299999999986</v>
      </c>
      <c r="R53" s="43">
        <v>0</v>
      </c>
      <c r="S53" s="44">
        <f t="shared" si="9"/>
        <v>300.53267999999997</v>
      </c>
      <c r="T53" s="44">
        <f t="shared" si="10"/>
        <v>1833.86268</v>
      </c>
      <c r="U53" s="45"/>
      <c r="V53" s="41">
        <v>1833.86</v>
      </c>
      <c r="W53" s="27">
        <v>41317</v>
      </c>
      <c r="X53" s="47" t="s">
        <v>36</v>
      </c>
      <c r="Y53" s="48">
        <f t="shared" si="11"/>
        <v>2.6800000000548607E-3</v>
      </c>
      <c r="Z53" s="83"/>
      <c r="AA53" s="50"/>
      <c r="AB53" s="59"/>
      <c r="AC53" s="55"/>
      <c r="AF53" s="52"/>
    </row>
    <row r="54" spans="1:32" s="57" customFormat="1" ht="25.5" customHeight="1">
      <c r="A54" s="27">
        <v>41303</v>
      </c>
      <c r="B54" s="28" t="s">
        <v>247</v>
      </c>
      <c r="C54" s="29" t="s">
        <v>178</v>
      </c>
      <c r="D54" s="30">
        <v>41275</v>
      </c>
      <c r="E54" s="31" t="s">
        <v>60</v>
      </c>
      <c r="F54" s="30"/>
      <c r="G54" s="32" t="s">
        <v>97</v>
      </c>
      <c r="H54" s="96" t="s">
        <v>77</v>
      </c>
      <c r="I54" s="96" t="s">
        <v>77</v>
      </c>
      <c r="J54" s="96" t="s">
        <v>77</v>
      </c>
      <c r="K54" s="96" t="s">
        <v>77</v>
      </c>
      <c r="L54" s="37" t="s">
        <v>84</v>
      </c>
      <c r="M54" s="38" t="s">
        <v>35</v>
      </c>
      <c r="N54" s="39">
        <v>1533.33</v>
      </c>
      <c r="O54" s="89">
        <v>0.9</v>
      </c>
      <c r="P54" s="41"/>
      <c r="Q54" s="42">
        <f t="shared" si="8"/>
        <v>153.33299999999986</v>
      </c>
      <c r="R54" s="43">
        <v>0</v>
      </c>
      <c r="S54" s="44">
        <f t="shared" si="9"/>
        <v>300.53267999999997</v>
      </c>
      <c r="T54" s="44">
        <f t="shared" si="10"/>
        <v>1833.86268</v>
      </c>
      <c r="U54" s="45">
        <v>41333</v>
      </c>
      <c r="V54" s="41"/>
      <c r="W54" s="27"/>
      <c r="X54" s="47"/>
      <c r="Y54" s="48">
        <f t="shared" si="11"/>
        <v>1833.86268</v>
      </c>
      <c r="Z54" s="83"/>
      <c r="AA54" s="50"/>
      <c r="AB54" s="59"/>
      <c r="AC54" s="55"/>
      <c r="AF54" s="52"/>
    </row>
    <row r="55" spans="1:32" s="57" customFormat="1" ht="25.5" customHeight="1">
      <c r="A55" s="27">
        <v>41317</v>
      </c>
      <c r="B55" s="28" t="s">
        <v>248</v>
      </c>
      <c r="C55" s="29" t="s">
        <v>178</v>
      </c>
      <c r="D55" s="30">
        <v>41306</v>
      </c>
      <c r="E55" s="31" t="s">
        <v>60</v>
      </c>
      <c r="F55" s="30"/>
      <c r="G55" s="32" t="s">
        <v>97</v>
      </c>
      <c r="H55" s="96" t="s">
        <v>77</v>
      </c>
      <c r="I55" s="96" t="s">
        <v>77</v>
      </c>
      <c r="J55" s="96" t="s">
        <v>77</v>
      </c>
      <c r="K55" s="96" t="s">
        <v>77</v>
      </c>
      <c r="L55" s="37" t="s">
        <v>85</v>
      </c>
      <c r="M55" s="38" t="s">
        <v>35</v>
      </c>
      <c r="N55" s="39">
        <v>1533.33</v>
      </c>
      <c r="O55" s="89">
        <v>0.9</v>
      </c>
      <c r="P55" s="41"/>
      <c r="Q55" s="42">
        <f t="shared" si="8"/>
        <v>153.33299999999986</v>
      </c>
      <c r="R55" s="43">
        <v>0</v>
      </c>
      <c r="S55" s="44">
        <f t="shared" si="9"/>
        <v>300.53267999999997</v>
      </c>
      <c r="T55" s="44">
        <f t="shared" si="10"/>
        <v>1833.86268</v>
      </c>
      <c r="U55" s="45">
        <v>41344</v>
      </c>
      <c r="V55" s="46"/>
      <c r="W55" s="27"/>
      <c r="X55" s="45"/>
      <c r="Y55" s="48">
        <f t="shared" si="11"/>
        <v>1833.86268</v>
      </c>
      <c r="Z55" s="71"/>
      <c r="AA55" s="50"/>
      <c r="AB55" s="51"/>
      <c r="AC55" s="52"/>
      <c r="AF55" s="52"/>
    </row>
    <row r="56" spans="1:32" s="57" customFormat="1" ht="25.5" customHeight="1">
      <c r="A56" s="27">
        <v>41212</v>
      </c>
      <c r="B56" s="28" t="s">
        <v>249</v>
      </c>
      <c r="C56" s="29" t="s">
        <v>179</v>
      </c>
      <c r="D56" s="30">
        <v>41183</v>
      </c>
      <c r="E56" s="31">
        <v>41127</v>
      </c>
      <c r="F56" s="30" t="s">
        <v>39</v>
      </c>
      <c r="G56" s="32" t="s">
        <v>98</v>
      </c>
      <c r="H56" s="33">
        <v>4.6153839999999997</v>
      </c>
      <c r="I56" s="34">
        <v>1300</v>
      </c>
      <c r="J56" s="35"/>
      <c r="K56" s="36">
        <f>IF(J56&gt;0,H56*J56,H56*I56)</f>
        <v>5999.9991999999993</v>
      </c>
      <c r="L56" s="37" t="s">
        <v>30</v>
      </c>
      <c r="M56" s="38" t="s">
        <v>31</v>
      </c>
      <c r="N56" s="39">
        <v>6000</v>
      </c>
      <c r="O56" s="40">
        <v>0.125</v>
      </c>
      <c r="P56" s="41"/>
      <c r="Q56" s="42">
        <f t="shared" si="8"/>
        <v>5250</v>
      </c>
      <c r="R56" s="43">
        <v>0</v>
      </c>
      <c r="S56" s="44">
        <f t="shared" si="9"/>
        <v>1176</v>
      </c>
      <c r="T56" s="44">
        <f t="shared" si="10"/>
        <v>7176</v>
      </c>
      <c r="U56" s="45"/>
      <c r="V56" s="41">
        <v>7176</v>
      </c>
      <c r="W56" s="27">
        <v>41227</v>
      </c>
      <c r="X56" s="47" t="s">
        <v>36</v>
      </c>
      <c r="Y56" s="48">
        <f t="shared" si="11"/>
        <v>0</v>
      </c>
      <c r="Z56" s="71"/>
      <c r="AA56" s="50"/>
      <c r="AB56" s="51"/>
      <c r="AC56" s="52"/>
      <c r="AF56" s="52"/>
    </row>
    <row r="57" spans="1:32" s="57" customFormat="1" ht="25.5" customHeight="1">
      <c r="A57" s="27"/>
      <c r="B57" s="28"/>
      <c r="C57" s="29" t="s">
        <v>180</v>
      </c>
      <c r="D57" s="30">
        <v>41548</v>
      </c>
      <c r="E57" s="31">
        <v>41127</v>
      </c>
      <c r="F57" s="30" t="s">
        <v>39</v>
      </c>
      <c r="G57" s="32" t="s">
        <v>98</v>
      </c>
      <c r="H57" s="33">
        <f>5.384615</f>
        <v>5.3846150000000002</v>
      </c>
      <c r="I57" s="34">
        <v>1300</v>
      </c>
      <c r="J57" s="35"/>
      <c r="K57" s="36">
        <f>IF(J57&gt;0,H57*J57,H57*I57)</f>
        <v>6999.9994999999999</v>
      </c>
      <c r="L57" s="37" t="s">
        <v>25</v>
      </c>
      <c r="M57" s="38" t="s">
        <v>31</v>
      </c>
      <c r="N57" s="39">
        <v>7000</v>
      </c>
      <c r="O57" s="40">
        <v>0.125</v>
      </c>
      <c r="P57" s="41"/>
      <c r="Q57" s="42">
        <f t="shared" si="8"/>
        <v>6125</v>
      </c>
      <c r="R57" s="43">
        <v>0</v>
      </c>
      <c r="S57" s="44">
        <f t="shared" si="9"/>
        <v>1372</v>
      </c>
      <c r="T57" s="44">
        <f t="shared" si="10"/>
        <v>8372</v>
      </c>
      <c r="U57" s="45"/>
      <c r="V57" s="41"/>
      <c r="W57" s="27"/>
      <c r="X57" s="47"/>
      <c r="Y57" s="48">
        <f t="shared" si="11"/>
        <v>8372</v>
      </c>
      <c r="Z57" s="71"/>
      <c r="AA57" s="50"/>
      <c r="AB57" s="51"/>
      <c r="AC57" s="52"/>
      <c r="AF57" s="52"/>
    </row>
    <row r="58" spans="1:32" s="57" customFormat="1" ht="25.5" customHeight="1">
      <c r="A58" s="27">
        <v>41269</v>
      </c>
      <c r="B58" s="28" t="s">
        <v>250</v>
      </c>
      <c r="C58" s="29" t="s">
        <v>181</v>
      </c>
      <c r="D58" s="30">
        <v>41244</v>
      </c>
      <c r="E58" s="31" t="s">
        <v>60</v>
      </c>
      <c r="F58" s="30"/>
      <c r="G58" s="32" t="s">
        <v>103</v>
      </c>
      <c r="H58" s="96" t="s">
        <v>77</v>
      </c>
      <c r="I58" s="96" t="s">
        <v>77</v>
      </c>
      <c r="J58" s="96" t="s">
        <v>77</v>
      </c>
      <c r="K58" s="96" t="s">
        <v>77</v>
      </c>
      <c r="L58" s="37" t="s">
        <v>84</v>
      </c>
      <c r="M58" s="38" t="s">
        <v>35</v>
      </c>
      <c r="N58" s="39">
        <v>2555.56</v>
      </c>
      <c r="O58" s="89">
        <v>0.9</v>
      </c>
      <c r="P58" s="58"/>
      <c r="Q58" s="42">
        <f t="shared" si="8"/>
        <v>255.55600000000004</v>
      </c>
      <c r="R58" s="43">
        <v>0</v>
      </c>
      <c r="S58" s="44">
        <f t="shared" si="9"/>
        <v>500.88976000000002</v>
      </c>
      <c r="T58" s="44">
        <f t="shared" si="10"/>
        <v>3056.44976</v>
      </c>
      <c r="U58" s="45"/>
      <c r="V58" s="46">
        <v>3056.45</v>
      </c>
      <c r="W58" s="27">
        <v>41362</v>
      </c>
      <c r="X58" s="47" t="s">
        <v>32</v>
      </c>
      <c r="Y58" s="48">
        <f t="shared" si="11"/>
        <v>-2.399999998488056E-4</v>
      </c>
      <c r="Z58" s="71"/>
      <c r="AA58" s="50"/>
      <c r="AB58" s="51"/>
      <c r="AC58" s="52"/>
      <c r="AF58" s="52"/>
    </row>
    <row r="59" spans="1:32" s="57" customFormat="1" ht="25.5" customHeight="1">
      <c r="A59" s="27">
        <v>41439</v>
      </c>
      <c r="B59" s="28" t="s">
        <v>251</v>
      </c>
      <c r="C59" s="29" t="s">
        <v>181</v>
      </c>
      <c r="D59" s="30">
        <v>41426</v>
      </c>
      <c r="E59" s="37" t="s">
        <v>60</v>
      </c>
      <c r="F59" s="30"/>
      <c r="G59" s="32" t="s">
        <v>99</v>
      </c>
      <c r="H59" s="33">
        <f>13/4</f>
        <v>3.25</v>
      </c>
      <c r="I59" s="34">
        <v>800</v>
      </c>
      <c r="J59" s="35"/>
      <c r="K59" s="36">
        <f>IF(J59&gt;0,H59*J59,H59*I59)</f>
        <v>2600</v>
      </c>
      <c r="L59" s="37" t="s">
        <v>100</v>
      </c>
      <c r="M59" s="38" t="s">
        <v>35</v>
      </c>
      <c r="N59" s="39">
        <v>2605.56</v>
      </c>
      <c r="O59" s="97">
        <v>0</v>
      </c>
      <c r="P59" s="58"/>
      <c r="Q59" s="42">
        <f t="shared" si="8"/>
        <v>2605.56</v>
      </c>
      <c r="R59" s="43">
        <v>0</v>
      </c>
      <c r="S59" s="44">
        <f t="shared" si="9"/>
        <v>510.68976000000004</v>
      </c>
      <c r="T59" s="44">
        <f t="shared" si="10"/>
        <v>3116.2497600000002</v>
      </c>
      <c r="U59" s="45">
        <v>41469</v>
      </c>
      <c r="V59" s="46"/>
      <c r="W59" s="27"/>
      <c r="X59" s="47"/>
      <c r="Y59" s="48">
        <f t="shared" si="11"/>
        <v>3116.2497600000002</v>
      </c>
      <c r="Z59" s="71"/>
      <c r="AA59" s="50"/>
      <c r="AB59" s="51"/>
      <c r="AC59" s="52"/>
      <c r="AF59" s="52"/>
    </row>
    <row r="60" spans="1:32" s="57" customFormat="1" ht="44.25" customHeight="1">
      <c r="A60" s="27"/>
      <c r="B60" s="28"/>
      <c r="C60" s="29" t="s">
        <v>181</v>
      </c>
      <c r="D60" s="30">
        <v>41518</v>
      </c>
      <c r="E60" s="37" t="s">
        <v>60</v>
      </c>
      <c r="F60" s="30"/>
      <c r="G60" s="32" t="s">
        <v>99</v>
      </c>
      <c r="H60" s="33">
        <f>13/4</f>
        <v>3.25</v>
      </c>
      <c r="I60" s="34">
        <v>800</v>
      </c>
      <c r="J60" s="35"/>
      <c r="K60" s="36">
        <f>IF(J60&gt;0,H60*J60,H60*I60)</f>
        <v>2600</v>
      </c>
      <c r="L60" s="37" t="s">
        <v>101</v>
      </c>
      <c r="M60" s="38" t="s">
        <v>35</v>
      </c>
      <c r="N60" s="39">
        <v>2605.56</v>
      </c>
      <c r="O60" s="97">
        <v>0</v>
      </c>
      <c r="P60" s="58"/>
      <c r="Q60" s="42">
        <f t="shared" si="8"/>
        <v>2605.56</v>
      </c>
      <c r="R60" s="43">
        <v>0</v>
      </c>
      <c r="S60" s="44">
        <f t="shared" si="9"/>
        <v>510.68976000000004</v>
      </c>
      <c r="T60" s="44">
        <f t="shared" si="10"/>
        <v>3116.2497600000002</v>
      </c>
      <c r="U60" s="45"/>
      <c r="V60" s="46"/>
      <c r="W60" s="27"/>
      <c r="X60" s="47"/>
      <c r="Y60" s="48">
        <f t="shared" si="11"/>
        <v>3116.2497600000002</v>
      </c>
      <c r="Z60" s="71"/>
      <c r="AA60" s="50"/>
      <c r="AB60" s="51"/>
      <c r="AC60" s="52"/>
      <c r="AF60" s="52"/>
    </row>
    <row r="61" spans="1:32" s="57" customFormat="1" ht="25.5" customHeight="1">
      <c r="A61" s="27"/>
      <c r="B61" s="28"/>
      <c r="C61" s="29" t="s">
        <v>181</v>
      </c>
      <c r="D61" s="30">
        <v>41609</v>
      </c>
      <c r="E61" s="37" t="s">
        <v>60</v>
      </c>
      <c r="F61" s="30"/>
      <c r="G61" s="32" t="s">
        <v>99</v>
      </c>
      <c r="H61" s="33">
        <f>13/4</f>
        <v>3.25</v>
      </c>
      <c r="I61" s="34">
        <v>800</v>
      </c>
      <c r="J61" s="35"/>
      <c r="K61" s="36">
        <f>IF(J61&gt;0,H61*J61,H61*I61)</f>
        <v>2600</v>
      </c>
      <c r="L61" s="37" t="s">
        <v>102</v>
      </c>
      <c r="M61" s="38" t="s">
        <v>35</v>
      </c>
      <c r="N61" s="39">
        <v>2605.56</v>
      </c>
      <c r="O61" s="97">
        <v>0</v>
      </c>
      <c r="P61" s="58"/>
      <c r="Q61" s="42">
        <f t="shared" si="8"/>
        <v>2605.56</v>
      </c>
      <c r="R61" s="43">
        <v>0</v>
      </c>
      <c r="S61" s="44">
        <f t="shared" si="9"/>
        <v>510.68976000000004</v>
      </c>
      <c r="T61" s="44">
        <f t="shared" si="10"/>
        <v>3116.2497600000002</v>
      </c>
      <c r="U61" s="45"/>
      <c r="V61" s="46"/>
      <c r="W61" s="27"/>
      <c r="X61" s="47"/>
      <c r="Y61" s="48">
        <f t="shared" si="11"/>
        <v>3116.2497600000002</v>
      </c>
      <c r="Z61" s="71"/>
      <c r="AA61" s="50"/>
      <c r="AB61" s="51"/>
      <c r="AC61" s="52"/>
      <c r="AF61" s="52"/>
    </row>
    <row r="62" spans="1:32" s="57" customFormat="1" ht="25.5" customHeight="1">
      <c r="A62" s="27"/>
      <c r="B62" s="28"/>
      <c r="C62" s="29" t="s">
        <v>181</v>
      </c>
      <c r="D62" s="30">
        <v>41456</v>
      </c>
      <c r="E62" s="31" t="s">
        <v>60</v>
      </c>
      <c r="F62" s="30"/>
      <c r="G62" s="32" t="s">
        <v>103</v>
      </c>
      <c r="H62" s="96" t="s">
        <v>77</v>
      </c>
      <c r="I62" s="96" t="s">
        <v>77</v>
      </c>
      <c r="J62" s="96" t="s">
        <v>77</v>
      </c>
      <c r="K62" s="96" t="s">
        <v>77</v>
      </c>
      <c r="L62" s="37" t="s">
        <v>85</v>
      </c>
      <c r="M62" s="38" t="s">
        <v>35</v>
      </c>
      <c r="N62" s="39">
        <v>2555.56</v>
      </c>
      <c r="O62" s="89">
        <v>0.9</v>
      </c>
      <c r="P62" s="58"/>
      <c r="Q62" s="42">
        <f t="shared" si="8"/>
        <v>255.55600000000004</v>
      </c>
      <c r="R62" s="43">
        <v>0</v>
      </c>
      <c r="S62" s="44">
        <f t="shared" si="9"/>
        <v>500.88976000000002</v>
      </c>
      <c r="T62" s="44">
        <f t="shared" si="10"/>
        <v>3056.44976</v>
      </c>
      <c r="U62" s="45"/>
      <c r="V62" s="46"/>
      <c r="W62" s="27"/>
      <c r="X62" s="47"/>
      <c r="Y62" s="48">
        <f t="shared" si="11"/>
        <v>3056.44976</v>
      </c>
      <c r="Z62" s="71"/>
      <c r="AA62" s="50"/>
      <c r="AB62" s="51"/>
      <c r="AC62" s="52"/>
      <c r="AF62" s="52"/>
    </row>
    <row r="63" spans="1:32" s="57" customFormat="1" ht="25.5" customHeight="1">
      <c r="A63" s="27">
        <v>41304</v>
      </c>
      <c r="B63" s="28" t="s">
        <v>252</v>
      </c>
      <c r="C63" s="29" t="s">
        <v>182</v>
      </c>
      <c r="D63" s="30">
        <v>41275</v>
      </c>
      <c r="E63" s="31">
        <v>41075</v>
      </c>
      <c r="F63" s="30" t="s">
        <v>23</v>
      </c>
      <c r="G63" s="32" t="s">
        <v>104</v>
      </c>
      <c r="H63" s="33">
        <v>4.875</v>
      </c>
      <c r="I63" s="34">
        <v>800</v>
      </c>
      <c r="J63" s="35"/>
      <c r="K63" s="36">
        <f t="shared" ref="K63:K68" si="12">IF(J63&gt;0,H63*J63,H63*I63)</f>
        <v>3900</v>
      </c>
      <c r="L63" s="37"/>
      <c r="M63" s="38" t="str">
        <f>IF(K63=N63,"ok","Dif")</f>
        <v>ok</v>
      </c>
      <c r="N63" s="39">
        <v>3900</v>
      </c>
      <c r="O63" s="97">
        <v>0</v>
      </c>
      <c r="P63" s="41"/>
      <c r="Q63" s="42">
        <f t="shared" si="8"/>
        <v>3900</v>
      </c>
      <c r="R63" s="43">
        <v>0</v>
      </c>
      <c r="S63" s="44">
        <f t="shared" si="9"/>
        <v>764.4</v>
      </c>
      <c r="T63" s="44">
        <f t="shared" si="10"/>
        <v>4664.3999999999996</v>
      </c>
      <c r="U63" s="45"/>
      <c r="V63" s="41">
        <v>4664.3999999999996</v>
      </c>
      <c r="W63" s="27">
        <v>41400</v>
      </c>
      <c r="X63" s="47" t="s">
        <v>32</v>
      </c>
      <c r="Y63" s="48">
        <f t="shared" si="11"/>
        <v>0</v>
      </c>
      <c r="Z63" s="71"/>
      <c r="AA63" s="50"/>
      <c r="AB63" s="72"/>
      <c r="AF63" s="52"/>
    </row>
    <row r="64" spans="1:32" s="57" customFormat="1" ht="25.5" customHeight="1">
      <c r="A64" s="27"/>
      <c r="B64" s="28"/>
      <c r="C64" s="29" t="s">
        <v>182</v>
      </c>
      <c r="D64" s="30">
        <v>41579</v>
      </c>
      <c r="E64" s="31" t="s">
        <v>60</v>
      </c>
      <c r="F64" s="30"/>
      <c r="G64" s="32" t="s">
        <v>104</v>
      </c>
      <c r="H64" s="33">
        <v>4.875</v>
      </c>
      <c r="I64" s="34">
        <v>800</v>
      </c>
      <c r="J64" s="35"/>
      <c r="K64" s="36">
        <f t="shared" si="12"/>
        <v>3900</v>
      </c>
      <c r="L64" s="37" t="s">
        <v>62</v>
      </c>
      <c r="M64" s="38" t="str">
        <f>IF(K64=N64,"ok","Dif")</f>
        <v>ok</v>
      </c>
      <c r="N64" s="39">
        <v>3900</v>
      </c>
      <c r="O64" s="97">
        <v>0</v>
      </c>
      <c r="P64" s="41"/>
      <c r="Q64" s="42">
        <f t="shared" si="8"/>
        <v>3900</v>
      </c>
      <c r="R64" s="43">
        <v>1</v>
      </c>
      <c r="S64" s="44">
        <f t="shared" si="9"/>
        <v>764.596</v>
      </c>
      <c r="T64" s="44">
        <f t="shared" si="10"/>
        <v>4665.5959999999995</v>
      </c>
      <c r="U64" s="45"/>
      <c r="V64" s="41"/>
      <c r="W64" s="27"/>
      <c r="X64" s="47"/>
      <c r="Y64" s="48">
        <f t="shared" si="11"/>
        <v>4665.5959999999995</v>
      </c>
      <c r="Z64" s="71"/>
      <c r="AA64" s="50"/>
      <c r="AB64" s="72"/>
      <c r="AF64" s="54"/>
    </row>
    <row r="65" spans="1:32" s="52" customFormat="1" ht="25.5" customHeight="1">
      <c r="A65" s="27">
        <v>41387</v>
      </c>
      <c r="B65" s="28" t="s">
        <v>253</v>
      </c>
      <c r="C65" s="29" t="s">
        <v>183</v>
      </c>
      <c r="D65" s="30">
        <v>41365</v>
      </c>
      <c r="E65" s="31">
        <v>41387</v>
      </c>
      <c r="F65" s="30" t="s">
        <v>23</v>
      </c>
      <c r="G65" s="32" t="s">
        <v>105</v>
      </c>
      <c r="H65" s="33">
        <v>23.08</v>
      </c>
      <c r="I65" s="34">
        <v>1300</v>
      </c>
      <c r="J65" s="35"/>
      <c r="K65" s="36">
        <f t="shared" si="12"/>
        <v>30003.999999999996</v>
      </c>
      <c r="L65" s="37" t="s">
        <v>30</v>
      </c>
      <c r="M65" s="38" t="s">
        <v>31</v>
      </c>
      <c r="N65" s="39">
        <v>30000</v>
      </c>
      <c r="O65" s="40">
        <v>0.125</v>
      </c>
      <c r="P65" s="41"/>
      <c r="Q65" s="42">
        <f t="shared" si="8"/>
        <v>26250</v>
      </c>
      <c r="R65" s="43">
        <v>0</v>
      </c>
      <c r="S65" s="44">
        <f t="shared" si="9"/>
        <v>5880</v>
      </c>
      <c r="T65" s="44">
        <f t="shared" si="10"/>
        <v>35880</v>
      </c>
      <c r="U65" s="45">
        <v>41416</v>
      </c>
      <c r="V65" s="41"/>
      <c r="W65" s="27"/>
      <c r="X65" s="47"/>
      <c r="Y65" s="48">
        <f t="shared" si="11"/>
        <v>35880</v>
      </c>
      <c r="Z65" s="71"/>
      <c r="AA65" s="50"/>
      <c r="AB65" s="51"/>
      <c r="AF65" s="57"/>
    </row>
    <row r="66" spans="1:32" s="52" customFormat="1" ht="25.5" customHeight="1">
      <c r="A66" s="27">
        <v>41429</v>
      </c>
      <c r="B66" s="28" t="s">
        <v>254</v>
      </c>
      <c r="C66" s="29" t="s">
        <v>183</v>
      </c>
      <c r="D66" s="30">
        <v>41426</v>
      </c>
      <c r="E66" s="31">
        <v>41387</v>
      </c>
      <c r="F66" s="30" t="s">
        <v>23</v>
      </c>
      <c r="G66" s="32" t="s">
        <v>105</v>
      </c>
      <c r="H66" s="33">
        <v>21.92</v>
      </c>
      <c r="I66" s="34">
        <v>1300</v>
      </c>
      <c r="J66" s="35"/>
      <c r="K66" s="36">
        <f t="shared" si="12"/>
        <v>28496.000000000004</v>
      </c>
      <c r="L66" s="37" t="s">
        <v>25</v>
      </c>
      <c r="M66" s="38" t="s">
        <v>31</v>
      </c>
      <c r="N66" s="39">
        <v>28500</v>
      </c>
      <c r="O66" s="40">
        <v>0.125</v>
      </c>
      <c r="P66" s="41"/>
      <c r="Q66" s="42">
        <f t="shared" si="8"/>
        <v>24937.5</v>
      </c>
      <c r="R66" s="43">
        <v>1135.49</v>
      </c>
      <c r="S66" s="44">
        <f t="shared" si="9"/>
        <v>5808.5560400000004</v>
      </c>
      <c r="T66" s="44">
        <f t="shared" si="10"/>
        <v>35444.046040000001</v>
      </c>
      <c r="U66" s="45">
        <v>41459</v>
      </c>
      <c r="V66" s="41"/>
      <c r="W66" s="27"/>
      <c r="X66" s="47"/>
      <c r="Y66" s="48">
        <f t="shared" si="11"/>
        <v>35444.046040000001</v>
      </c>
      <c r="Z66" s="71"/>
      <c r="AA66" s="50"/>
      <c r="AB66" s="51"/>
      <c r="AF66" s="57"/>
    </row>
    <row r="67" spans="1:32" s="57" customFormat="1" ht="25.5" customHeight="1">
      <c r="A67" s="27">
        <v>41277</v>
      </c>
      <c r="B67" s="28" t="s">
        <v>255</v>
      </c>
      <c r="C67" s="29" t="s">
        <v>184</v>
      </c>
      <c r="D67" s="30">
        <v>41275</v>
      </c>
      <c r="E67" s="31">
        <v>41270</v>
      </c>
      <c r="F67" s="30" t="s">
        <v>23</v>
      </c>
      <c r="G67" s="32" t="s">
        <v>34</v>
      </c>
      <c r="H67" s="33">
        <v>9.5</v>
      </c>
      <c r="I67" s="34">
        <v>1375</v>
      </c>
      <c r="J67" s="35"/>
      <c r="K67" s="36">
        <f t="shared" si="12"/>
        <v>13062.5</v>
      </c>
      <c r="L67" s="37" t="s">
        <v>30</v>
      </c>
      <c r="M67" s="38" t="s">
        <v>35</v>
      </c>
      <c r="N67" s="39">
        <v>13061.5</v>
      </c>
      <c r="O67" s="40">
        <v>0.125</v>
      </c>
      <c r="P67" s="87"/>
      <c r="Q67" s="42">
        <f t="shared" ref="Q67:Q98" si="13">N67-((N67*O67)+P67)</f>
        <v>11428.8125</v>
      </c>
      <c r="R67" s="43">
        <v>1000</v>
      </c>
      <c r="S67" s="44">
        <f>(N67+R67)*8.5%</f>
        <v>1195.2275000000002</v>
      </c>
      <c r="T67" s="44">
        <f t="shared" ref="T67:T98" si="14">S67+N67+R67</f>
        <v>15256.727500000001</v>
      </c>
      <c r="U67" s="45">
        <v>41307</v>
      </c>
      <c r="V67" s="46">
        <v>15256.73</v>
      </c>
      <c r="W67" s="27">
        <v>41439</v>
      </c>
      <c r="X67" s="47" t="s">
        <v>36</v>
      </c>
      <c r="Y67" s="48">
        <f t="shared" ref="Y67:Y98" si="15">T67-V67</f>
        <v>-2.4999999986903276E-3</v>
      </c>
      <c r="Z67" s="71"/>
      <c r="AA67" s="50"/>
      <c r="AB67" s="59"/>
      <c r="AC67" s="55"/>
      <c r="AF67" s="52"/>
    </row>
    <row r="68" spans="1:32" s="55" customFormat="1" ht="25.5" customHeight="1">
      <c r="A68" s="27">
        <v>41352</v>
      </c>
      <c r="B68" s="28" t="s">
        <v>256</v>
      </c>
      <c r="C68" s="29" t="s">
        <v>184</v>
      </c>
      <c r="D68" s="30">
        <v>41334</v>
      </c>
      <c r="E68" s="31">
        <v>41270</v>
      </c>
      <c r="F68" s="30" t="s">
        <v>23</v>
      </c>
      <c r="G68" s="32" t="s">
        <v>34</v>
      </c>
      <c r="H68" s="33">
        <v>9.5</v>
      </c>
      <c r="I68" s="34">
        <v>1375</v>
      </c>
      <c r="J68" s="35"/>
      <c r="K68" s="36">
        <f t="shared" si="12"/>
        <v>13062.5</v>
      </c>
      <c r="L68" s="37" t="s">
        <v>25</v>
      </c>
      <c r="M68" s="38" t="s">
        <v>35</v>
      </c>
      <c r="N68" s="39">
        <f>13061.5</f>
        <v>13061.5</v>
      </c>
      <c r="O68" s="40">
        <v>0.125</v>
      </c>
      <c r="P68" s="41"/>
      <c r="Q68" s="42">
        <f t="shared" si="13"/>
        <v>11428.8125</v>
      </c>
      <c r="R68" s="43">
        <f>4711.18-1000</f>
        <v>3711.1800000000003</v>
      </c>
      <c r="S68" s="44">
        <f>(N68+R68)*8.5%</f>
        <v>1425.6778000000002</v>
      </c>
      <c r="T68" s="44">
        <f t="shared" si="14"/>
        <v>18198.357799999998</v>
      </c>
      <c r="U68" s="45">
        <v>41382</v>
      </c>
      <c r="V68" s="46">
        <v>18198.36</v>
      </c>
      <c r="W68" s="27">
        <v>41439</v>
      </c>
      <c r="X68" s="45" t="s">
        <v>36</v>
      </c>
      <c r="Y68" s="48">
        <f t="shared" si="15"/>
        <v>-2.2000000026309863E-3</v>
      </c>
      <c r="Z68" s="28" t="s">
        <v>37</v>
      </c>
      <c r="AA68" s="50"/>
      <c r="AB68" s="54"/>
      <c r="AC68" s="54"/>
      <c r="AF68" s="52"/>
    </row>
    <row r="69" spans="1:32" s="52" customFormat="1" ht="25.5" customHeight="1">
      <c r="A69" s="27">
        <v>41269</v>
      </c>
      <c r="B69" s="28" t="s">
        <v>257</v>
      </c>
      <c r="C69" s="29" t="s">
        <v>185</v>
      </c>
      <c r="D69" s="30">
        <v>41244</v>
      </c>
      <c r="E69" s="31" t="s">
        <v>60</v>
      </c>
      <c r="F69" s="30"/>
      <c r="G69" s="32" t="s">
        <v>106</v>
      </c>
      <c r="H69" s="96" t="s">
        <v>77</v>
      </c>
      <c r="I69" s="96" t="s">
        <v>77</v>
      </c>
      <c r="J69" s="96" t="s">
        <v>77</v>
      </c>
      <c r="K69" s="96" t="s">
        <v>77</v>
      </c>
      <c r="L69" s="37" t="s">
        <v>81</v>
      </c>
      <c r="M69" s="38" t="s">
        <v>35</v>
      </c>
      <c r="N69" s="39">
        <v>1600</v>
      </c>
      <c r="O69" s="89">
        <v>0.9</v>
      </c>
      <c r="P69" s="58"/>
      <c r="Q69" s="42">
        <f t="shared" si="13"/>
        <v>160</v>
      </c>
      <c r="R69" s="43">
        <v>0</v>
      </c>
      <c r="S69" s="44">
        <f t="shared" ref="S69:S100" si="16">(N69+R69)*19.6%</f>
        <v>313.60000000000002</v>
      </c>
      <c r="T69" s="44">
        <f t="shared" si="14"/>
        <v>1913.6</v>
      </c>
      <c r="U69" s="45"/>
      <c r="V69" s="46">
        <v>1913.6</v>
      </c>
      <c r="W69" s="27">
        <v>41283</v>
      </c>
      <c r="X69" s="47" t="s">
        <v>32</v>
      </c>
      <c r="Y69" s="48">
        <f t="shared" si="15"/>
        <v>0</v>
      </c>
      <c r="Z69" s="71"/>
      <c r="AA69" s="50"/>
      <c r="AB69" s="51"/>
      <c r="AC69" s="55"/>
    </row>
    <row r="70" spans="1:32" s="52" customFormat="1" ht="25.5" customHeight="1">
      <c r="A70" s="27">
        <v>41338</v>
      </c>
      <c r="B70" s="28" t="s">
        <v>258</v>
      </c>
      <c r="C70" s="29" t="s">
        <v>186</v>
      </c>
      <c r="D70" s="30">
        <v>41334</v>
      </c>
      <c r="E70" s="31" t="s">
        <v>60</v>
      </c>
      <c r="F70" s="30"/>
      <c r="G70" s="32" t="s">
        <v>106</v>
      </c>
      <c r="H70" s="96" t="s">
        <v>77</v>
      </c>
      <c r="I70" s="96" t="s">
        <v>77</v>
      </c>
      <c r="J70" s="96" t="s">
        <v>77</v>
      </c>
      <c r="K70" s="96" t="s">
        <v>77</v>
      </c>
      <c r="L70" s="37" t="s">
        <v>83</v>
      </c>
      <c r="M70" s="38" t="s">
        <v>35</v>
      </c>
      <c r="N70" s="39">
        <v>3390</v>
      </c>
      <c r="O70" s="89">
        <v>0.9</v>
      </c>
      <c r="P70" s="41"/>
      <c r="Q70" s="42">
        <f t="shared" si="13"/>
        <v>339</v>
      </c>
      <c r="R70" s="43">
        <v>0</v>
      </c>
      <c r="S70" s="44">
        <f t="shared" si="16"/>
        <v>664.44</v>
      </c>
      <c r="T70" s="44">
        <f t="shared" si="14"/>
        <v>4054.44</v>
      </c>
      <c r="U70" s="45"/>
      <c r="V70" s="46">
        <v>4054.44</v>
      </c>
      <c r="W70" s="27">
        <v>41351</v>
      </c>
      <c r="X70" s="47" t="s">
        <v>32</v>
      </c>
      <c r="Y70" s="48">
        <f t="shared" si="15"/>
        <v>0</v>
      </c>
      <c r="Z70" s="28"/>
      <c r="AA70" s="50"/>
      <c r="AB70" s="54"/>
      <c r="AC70" s="54"/>
    </row>
    <row r="71" spans="1:32" s="52" customFormat="1" ht="25.5" customHeight="1">
      <c r="A71" s="27">
        <v>41387</v>
      </c>
      <c r="B71" s="28" t="s">
        <v>259</v>
      </c>
      <c r="C71" s="29" t="s">
        <v>187</v>
      </c>
      <c r="D71" s="30">
        <v>41365</v>
      </c>
      <c r="E71" s="37" t="s">
        <v>107</v>
      </c>
      <c r="F71" s="30"/>
      <c r="G71" s="32" t="s">
        <v>108</v>
      </c>
      <c r="H71" s="33">
        <v>4.9000000000000004</v>
      </c>
      <c r="I71" s="34">
        <v>1000</v>
      </c>
      <c r="J71" s="35"/>
      <c r="K71" s="36">
        <f>IF(J71&gt;0,H71*J71,H71*I71)</f>
        <v>4900</v>
      </c>
      <c r="L71" s="50" t="s">
        <v>109</v>
      </c>
      <c r="M71" s="38" t="str">
        <f>IF(K71=N71,"ok","Dif")</f>
        <v>ok</v>
      </c>
      <c r="N71" s="39">
        <v>4900</v>
      </c>
      <c r="O71" s="40">
        <v>0.125</v>
      </c>
      <c r="P71" s="41"/>
      <c r="Q71" s="42">
        <f t="shared" si="13"/>
        <v>4287.5</v>
      </c>
      <c r="R71" s="43">
        <v>0</v>
      </c>
      <c r="S71" s="44">
        <f t="shared" si="16"/>
        <v>960.40000000000009</v>
      </c>
      <c r="T71" s="44">
        <f t="shared" si="14"/>
        <v>5860.4</v>
      </c>
      <c r="U71" s="45"/>
      <c r="V71" s="46">
        <v>5860.4</v>
      </c>
      <c r="W71" s="27">
        <v>41397</v>
      </c>
      <c r="X71" s="47" t="s">
        <v>32</v>
      </c>
      <c r="Y71" s="48">
        <f t="shared" si="15"/>
        <v>0</v>
      </c>
      <c r="Z71" s="82"/>
      <c r="AA71" s="50"/>
      <c r="AB71" s="51"/>
    </row>
    <row r="72" spans="1:32" s="52" customFormat="1" ht="25.5" customHeight="1">
      <c r="A72" s="27">
        <v>41225</v>
      </c>
      <c r="B72" s="28" t="s">
        <v>260</v>
      </c>
      <c r="C72" s="29" t="s">
        <v>188</v>
      </c>
      <c r="D72" s="30">
        <v>41214</v>
      </c>
      <c r="E72" s="37" t="s">
        <v>107</v>
      </c>
      <c r="F72" s="30"/>
      <c r="G72" s="32" t="s">
        <v>110</v>
      </c>
      <c r="H72" s="96" t="s">
        <v>77</v>
      </c>
      <c r="I72" s="96" t="s">
        <v>77</v>
      </c>
      <c r="J72" s="96" t="s">
        <v>77</v>
      </c>
      <c r="K72" s="96" t="s">
        <v>77</v>
      </c>
      <c r="L72" s="37" t="s">
        <v>88</v>
      </c>
      <c r="M72" s="38" t="s">
        <v>35</v>
      </c>
      <c r="N72" s="39">
        <v>644.44000000000005</v>
      </c>
      <c r="O72" s="89">
        <v>0.9</v>
      </c>
      <c r="P72" s="58"/>
      <c r="Q72" s="42">
        <f t="shared" si="13"/>
        <v>64.44399999999996</v>
      </c>
      <c r="R72" s="43">
        <v>0</v>
      </c>
      <c r="S72" s="44">
        <f t="shared" si="16"/>
        <v>126.31024000000002</v>
      </c>
      <c r="T72" s="44">
        <f t="shared" si="14"/>
        <v>770.75024000000008</v>
      </c>
      <c r="U72" s="45"/>
      <c r="V72" s="41">
        <v>770.75</v>
      </c>
      <c r="W72" s="27">
        <v>41270</v>
      </c>
      <c r="X72" s="47" t="s">
        <v>32</v>
      </c>
      <c r="Y72" s="48">
        <f t="shared" si="15"/>
        <v>2.4000000007617928E-4</v>
      </c>
      <c r="Z72" s="71"/>
      <c r="AA72" s="50"/>
      <c r="AB72" s="51"/>
      <c r="AF72" s="57"/>
    </row>
    <row r="73" spans="1:32" s="52" customFormat="1" ht="25.5" customHeight="1">
      <c r="A73" s="27">
        <v>41269</v>
      </c>
      <c r="B73" s="28" t="s">
        <v>261</v>
      </c>
      <c r="C73" s="29" t="s">
        <v>188</v>
      </c>
      <c r="D73" s="30">
        <v>41244</v>
      </c>
      <c r="E73" s="37" t="s">
        <v>107</v>
      </c>
      <c r="F73" s="30"/>
      <c r="G73" s="32" t="s">
        <v>110</v>
      </c>
      <c r="H73" s="96" t="s">
        <v>77</v>
      </c>
      <c r="I73" s="96" t="s">
        <v>77</v>
      </c>
      <c r="J73" s="96" t="s">
        <v>77</v>
      </c>
      <c r="K73" s="96" t="s">
        <v>77</v>
      </c>
      <c r="L73" s="37" t="s">
        <v>89</v>
      </c>
      <c r="M73" s="38" t="s">
        <v>35</v>
      </c>
      <c r="N73" s="39">
        <v>644.44000000000005</v>
      </c>
      <c r="O73" s="89">
        <v>0.9</v>
      </c>
      <c r="P73" s="58"/>
      <c r="Q73" s="42">
        <f t="shared" si="13"/>
        <v>64.44399999999996</v>
      </c>
      <c r="R73" s="43">
        <v>0</v>
      </c>
      <c r="S73" s="44">
        <f t="shared" si="16"/>
        <v>126.31024000000002</v>
      </c>
      <c r="T73" s="44">
        <f t="shared" si="14"/>
        <v>770.75024000000008</v>
      </c>
      <c r="U73" s="45"/>
      <c r="V73" s="46">
        <v>770.75</v>
      </c>
      <c r="W73" s="27">
        <v>41304</v>
      </c>
      <c r="X73" s="47" t="s">
        <v>32</v>
      </c>
      <c r="Y73" s="48">
        <f t="shared" si="15"/>
        <v>2.4000000007617928E-4</v>
      </c>
      <c r="Z73" s="71"/>
      <c r="AA73" s="50"/>
      <c r="AB73" s="72"/>
      <c r="AC73" s="57"/>
    </row>
    <row r="74" spans="1:32" s="52" customFormat="1" ht="25.5" customHeight="1">
      <c r="A74" s="27">
        <v>41277</v>
      </c>
      <c r="B74" s="28" t="s">
        <v>262</v>
      </c>
      <c r="C74" s="29" t="s">
        <v>188</v>
      </c>
      <c r="D74" s="30">
        <v>41275</v>
      </c>
      <c r="E74" s="37" t="s">
        <v>107</v>
      </c>
      <c r="F74" s="30"/>
      <c r="G74" s="32" t="s">
        <v>110</v>
      </c>
      <c r="H74" s="96" t="s">
        <v>77</v>
      </c>
      <c r="I74" s="96" t="s">
        <v>77</v>
      </c>
      <c r="J74" s="96" t="s">
        <v>77</v>
      </c>
      <c r="K74" s="96" t="s">
        <v>77</v>
      </c>
      <c r="L74" s="37" t="s">
        <v>90</v>
      </c>
      <c r="M74" s="38" t="s">
        <v>35</v>
      </c>
      <c r="N74" s="39">
        <v>644.44000000000005</v>
      </c>
      <c r="O74" s="89">
        <v>0.9</v>
      </c>
      <c r="P74" s="58"/>
      <c r="Q74" s="42">
        <f t="shared" si="13"/>
        <v>64.44399999999996</v>
      </c>
      <c r="R74" s="43">
        <v>0</v>
      </c>
      <c r="S74" s="44">
        <f t="shared" si="16"/>
        <v>126.31024000000002</v>
      </c>
      <c r="T74" s="44">
        <f t="shared" si="14"/>
        <v>770.75024000000008</v>
      </c>
      <c r="U74" s="45">
        <v>41307</v>
      </c>
      <c r="V74" s="46"/>
      <c r="W74" s="27"/>
      <c r="X74" s="47"/>
      <c r="Y74" s="48">
        <f t="shared" si="15"/>
        <v>770.75024000000008</v>
      </c>
      <c r="Z74" s="71"/>
      <c r="AA74" s="50"/>
      <c r="AB74" s="59"/>
      <c r="AC74" s="55"/>
      <c r="AF74" s="54"/>
    </row>
    <row r="75" spans="1:32" s="52" customFormat="1" ht="25.5" customHeight="1">
      <c r="A75" s="27">
        <v>41303</v>
      </c>
      <c r="B75" s="28" t="s">
        <v>263</v>
      </c>
      <c r="C75" s="29" t="s">
        <v>188</v>
      </c>
      <c r="D75" s="30">
        <v>41275</v>
      </c>
      <c r="E75" s="37" t="s">
        <v>107</v>
      </c>
      <c r="F75" s="30"/>
      <c r="G75" s="32" t="s">
        <v>110</v>
      </c>
      <c r="H75" s="96" t="s">
        <v>77</v>
      </c>
      <c r="I75" s="96" t="s">
        <v>77</v>
      </c>
      <c r="J75" s="96" t="s">
        <v>77</v>
      </c>
      <c r="K75" s="96" t="s">
        <v>77</v>
      </c>
      <c r="L75" s="37" t="s">
        <v>91</v>
      </c>
      <c r="M75" s="38" t="s">
        <v>35</v>
      </c>
      <c r="N75" s="39">
        <v>644.44000000000005</v>
      </c>
      <c r="O75" s="89">
        <v>0.9</v>
      </c>
      <c r="P75" s="41"/>
      <c r="Q75" s="42">
        <f t="shared" si="13"/>
        <v>64.44399999999996</v>
      </c>
      <c r="R75" s="43">
        <v>0</v>
      </c>
      <c r="S75" s="44">
        <f t="shared" si="16"/>
        <v>126.31024000000002</v>
      </c>
      <c r="T75" s="44">
        <f t="shared" si="14"/>
        <v>770.75024000000008</v>
      </c>
      <c r="U75" s="45">
        <v>41333</v>
      </c>
      <c r="V75" s="41"/>
      <c r="W75" s="27"/>
      <c r="X75" s="47"/>
      <c r="Y75" s="48">
        <f t="shared" si="15"/>
        <v>770.75024000000008</v>
      </c>
      <c r="Z75" s="49"/>
      <c r="AA75" s="50"/>
      <c r="AB75" s="59"/>
      <c r="AC75" s="55"/>
      <c r="AF75" s="54"/>
    </row>
    <row r="76" spans="1:32" s="52" customFormat="1" ht="25.5" customHeight="1">
      <c r="A76" s="27">
        <v>41317</v>
      </c>
      <c r="B76" s="28" t="s">
        <v>264</v>
      </c>
      <c r="C76" s="29" t="s">
        <v>188</v>
      </c>
      <c r="D76" s="30">
        <v>41306</v>
      </c>
      <c r="E76" s="37" t="s">
        <v>107</v>
      </c>
      <c r="F76" s="30"/>
      <c r="G76" s="32" t="s">
        <v>110</v>
      </c>
      <c r="H76" s="96" t="s">
        <v>77</v>
      </c>
      <c r="I76" s="96" t="s">
        <v>77</v>
      </c>
      <c r="J76" s="96" t="s">
        <v>77</v>
      </c>
      <c r="K76" s="96" t="s">
        <v>77</v>
      </c>
      <c r="L76" s="50" t="s">
        <v>90</v>
      </c>
      <c r="M76" s="38" t="s">
        <v>35</v>
      </c>
      <c r="N76" s="39">
        <v>644.44000000000005</v>
      </c>
      <c r="O76" s="89">
        <v>0.9</v>
      </c>
      <c r="P76" s="41"/>
      <c r="Q76" s="42">
        <f t="shared" si="13"/>
        <v>64.44399999999996</v>
      </c>
      <c r="R76" s="43">
        <v>0</v>
      </c>
      <c r="S76" s="44">
        <f t="shared" si="16"/>
        <v>126.31024000000002</v>
      </c>
      <c r="T76" s="44">
        <f t="shared" si="14"/>
        <v>770.75024000000008</v>
      </c>
      <c r="U76" s="45"/>
      <c r="V76" s="46">
        <v>770.75</v>
      </c>
      <c r="W76" s="27">
        <v>41417</v>
      </c>
      <c r="X76" s="47" t="s">
        <v>32</v>
      </c>
      <c r="Y76" s="48">
        <f t="shared" si="15"/>
        <v>2.4000000007617928E-4</v>
      </c>
      <c r="Z76" s="49"/>
      <c r="AA76" s="50"/>
      <c r="AB76" s="51"/>
    </row>
    <row r="77" spans="1:32" s="52" customFormat="1" ht="25.5" customHeight="1">
      <c r="A77" s="27">
        <v>41355</v>
      </c>
      <c r="B77" s="28" t="s">
        <v>265</v>
      </c>
      <c r="C77" s="29" t="s">
        <v>188</v>
      </c>
      <c r="D77" s="30">
        <v>41334</v>
      </c>
      <c r="E77" s="37" t="s">
        <v>107</v>
      </c>
      <c r="F77" s="30"/>
      <c r="G77" s="32" t="s">
        <v>110</v>
      </c>
      <c r="H77" s="96" t="s">
        <v>77</v>
      </c>
      <c r="I77" s="96" t="s">
        <v>77</v>
      </c>
      <c r="J77" s="96" t="s">
        <v>77</v>
      </c>
      <c r="K77" s="96" t="s">
        <v>77</v>
      </c>
      <c r="L77" s="50" t="s">
        <v>93</v>
      </c>
      <c r="M77" s="38" t="s">
        <v>35</v>
      </c>
      <c r="N77" s="39">
        <v>644.44000000000005</v>
      </c>
      <c r="O77" s="89">
        <v>0.9</v>
      </c>
      <c r="P77" s="41"/>
      <c r="Q77" s="42">
        <f t="shared" si="13"/>
        <v>64.44399999999996</v>
      </c>
      <c r="R77" s="43">
        <v>0</v>
      </c>
      <c r="S77" s="44">
        <f t="shared" si="16"/>
        <v>126.31024000000002</v>
      </c>
      <c r="T77" s="44">
        <f t="shared" si="14"/>
        <v>770.75024000000008</v>
      </c>
      <c r="U77" s="45"/>
      <c r="V77" s="41">
        <v>770.75</v>
      </c>
      <c r="W77" s="27">
        <v>41368</v>
      </c>
      <c r="X77" s="47" t="s">
        <v>32</v>
      </c>
      <c r="Y77" s="48">
        <f t="shared" si="15"/>
        <v>2.4000000007617928E-4</v>
      </c>
      <c r="Z77" s="71"/>
      <c r="AA77" s="50"/>
      <c r="AB77" s="51"/>
      <c r="AF77" s="57"/>
    </row>
    <row r="78" spans="1:32" s="52" customFormat="1" ht="25.5" customHeight="1">
      <c r="A78" s="27">
        <v>41389</v>
      </c>
      <c r="B78" s="28" t="s">
        <v>266</v>
      </c>
      <c r="C78" s="29" t="s">
        <v>188</v>
      </c>
      <c r="D78" s="30">
        <v>41365</v>
      </c>
      <c r="E78" s="37" t="s">
        <v>107</v>
      </c>
      <c r="F78" s="30"/>
      <c r="G78" s="32" t="s">
        <v>110</v>
      </c>
      <c r="H78" s="96" t="s">
        <v>77</v>
      </c>
      <c r="I78" s="96" t="s">
        <v>77</v>
      </c>
      <c r="J78" s="96" t="s">
        <v>77</v>
      </c>
      <c r="K78" s="96" t="s">
        <v>77</v>
      </c>
      <c r="L78" s="37" t="s">
        <v>81</v>
      </c>
      <c r="M78" s="38" t="s">
        <v>35</v>
      </c>
      <c r="N78" s="39">
        <v>644.44000000000005</v>
      </c>
      <c r="O78" s="89">
        <v>0.9</v>
      </c>
      <c r="P78" s="41"/>
      <c r="Q78" s="42">
        <f t="shared" si="13"/>
        <v>64.44399999999996</v>
      </c>
      <c r="R78" s="43">
        <v>0</v>
      </c>
      <c r="S78" s="44">
        <f t="shared" si="16"/>
        <v>126.31024000000002</v>
      </c>
      <c r="T78" s="44">
        <f t="shared" si="14"/>
        <v>770.75024000000008</v>
      </c>
      <c r="U78" s="45"/>
      <c r="V78" s="41">
        <v>770.75</v>
      </c>
      <c r="W78" s="27">
        <v>41339</v>
      </c>
      <c r="X78" s="47" t="s">
        <v>32</v>
      </c>
      <c r="Y78" s="48">
        <f t="shared" si="15"/>
        <v>2.4000000007617928E-4</v>
      </c>
      <c r="Z78" s="82"/>
      <c r="AA78" s="50"/>
      <c r="AB78" s="51"/>
      <c r="AF78" s="55"/>
    </row>
    <row r="79" spans="1:32" s="54" customFormat="1" ht="25.5" customHeight="1">
      <c r="A79" s="27">
        <v>41411</v>
      </c>
      <c r="B79" s="28" t="s">
        <v>267</v>
      </c>
      <c r="C79" s="29" t="s">
        <v>188</v>
      </c>
      <c r="D79" s="30">
        <v>41395</v>
      </c>
      <c r="E79" s="37" t="s">
        <v>107</v>
      </c>
      <c r="F79" s="30"/>
      <c r="G79" s="32" t="s">
        <v>110</v>
      </c>
      <c r="H79" s="96" t="s">
        <v>77</v>
      </c>
      <c r="I79" s="96" t="s">
        <v>77</v>
      </c>
      <c r="J79" s="96" t="s">
        <v>77</v>
      </c>
      <c r="K79" s="96" t="s">
        <v>77</v>
      </c>
      <c r="L79" s="37" t="s">
        <v>83</v>
      </c>
      <c r="M79" s="38" t="s">
        <v>35</v>
      </c>
      <c r="N79" s="39">
        <v>644.4</v>
      </c>
      <c r="O79" s="89">
        <v>0.9</v>
      </c>
      <c r="P79" s="41"/>
      <c r="Q79" s="42">
        <f t="shared" si="13"/>
        <v>64.439999999999941</v>
      </c>
      <c r="R79" s="43">
        <v>0</v>
      </c>
      <c r="S79" s="44">
        <f t="shared" si="16"/>
        <v>126.30240000000001</v>
      </c>
      <c r="T79" s="44">
        <f t="shared" si="14"/>
        <v>770.70240000000001</v>
      </c>
      <c r="U79" s="45">
        <v>41411</v>
      </c>
      <c r="V79" s="41"/>
      <c r="W79" s="27"/>
      <c r="X79" s="47"/>
      <c r="Y79" s="48">
        <f t="shared" si="15"/>
        <v>770.70240000000001</v>
      </c>
      <c r="Z79" s="53"/>
      <c r="AA79" s="50"/>
      <c r="AB79" s="56"/>
      <c r="AC79" s="56"/>
    </row>
    <row r="80" spans="1:32" s="54" customFormat="1" ht="25.5" customHeight="1">
      <c r="A80" s="27">
        <v>41439</v>
      </c>
      <c r="B80" s="28" t="s">
        <v>268</v>
      </c>
      <c r="C80" s="29" t="s">
        <v>188</v>
      </c>
      <c r="D80" s="30">
        <v>41426</v>
      </c>
      <c r="E80" s="37" t="s">
        <v>107</v>
      </c>
      <c r="F80" s="30"/>
      <c r="G80" s="32" t="s">
        <v>110</v>
      </c>
      <c r="H80" s="96" t="s">
        <v>77</v>
      </c>
      <c r="I80" s="96" t="s">
        <v>77</v>
      </c>
      <c r="J80" s="96" t="s">
        <v>77</v>
      </c>
      <c r="K80" s="96" t="s">
        <v>77</v>
      </c>
      <c r="L80" s="37" t="s">
        <v>84</v>
      </c>
      <c r="M80" s="38" t="s">
        <v>35</v>
      </c>
      <c r="N80" s="39">
        <v>644.44000000000005</v>
      </c>
      <c r="O80" s="89">
        <v>0.9</v>
      </c>
      <c r="P80" s="41"/>
      <c r="Q80" s="42">
        <f t="shared" si="13"/>
        <v>64.44399999999996</v>
      </c>
      <c r="R80" s="43">
        <v>0</v>
      </c>
      <c r="S80" s="44">
        <f t="shared" si="16"/>
        <v>126.31024000000002</v>
      </c>
      <c r="T80" s="44">
        <f t="shared" si="14"/>
        <v>770.75024000000008</v>
      </c>
      <c r="U80" s="45">
        <v>41469</v>
      </c>
      <c r="V80" s="41"/>
      <c r="W80" s="27"/>
      <c r="X80" s="47"/>
      <c r="Y80" s="48">
        <f t="shared" si="15"/>
        <v>770.75024000000008</v>
      </c>
      <c r="Z80" s="53"/>
      <c r="AA80" s="50"/>
      <c r="AB80" s="56"/>
      <c r="AC80" s="56"/>
    </row>
    <row r="81" spans="1:32" s="54" customFormat="1" ht="25.5" customHeight="1">
      <c r="A81" s="27"/>
      <c r="B81" s="28"/>
      <c r="C81" s="29" t="s">
        <v>188</v>
      </c>
      <c r="D81" s="30">
        <v>41456</v>
      </c>
      <c r="E81" s="37" t="s">
        <v>107</v>
      </c>
      <c r="F81" s="30"/>
      <c r="G81" s="32" t="s">
        <v>110</v>
      </c>
      <c r="H81" s="96" t="s">
        <v>77</v>
      </c>
      <c r="I81" s="96" t="s">
        <v>77</v>
      </c>
      <c r="J81" s="96" t="s">
        <v>77</v>
      </c>
      <c r="K81" s="96" t="s">
        <v>77</v>
      </c>
      <c r="L81" s="37" t="s">
        <v>85</v>
      </c>
      <c r="M81" s="38" t="s">
        <v>35</v>
      </c>
      <c r="N81" s="39">
        <v>644.4</v>
      </c>
      <c r="O81" s="89">
        <v>0.9</v>
      </c>
      <c r="P81" s="41"/>
      <c r="Q81" s="42">
        <f t="shared" si="13"/>
        <v>64.439999999999941</v>
      </c>
      <c r="R81" s="43">
        <v>0</v>
      </c>
      <c r="S81" s="44">
        <f t="shared" si="16"/>
        <v>126.30240000000001</v>
      </c>
      <c r="T81" s="44">
        <f t="shared" si="14"/>
        <v>770.70240000000001</v>
      </c>
      <c r="U81" s="45"/>
      <c r="V81" s="41"/>
      <c r="W81" s="27"/>
      <c r="X81" s="47"/>
      <c r="Y81" s="48">
        <f t="shared" si="15"/>
        <v>770.70240000000001</v>
      </c>
      <c r="Z81" s="53"/>
      <c r="AA81" s="50"/>
      <c r="AB81" s="56"/>
      <c r="AC81" s="56"/>
    </row>
    <row r="82" spans="1:32" s="54" customFormat="1" ht="25.5" customHeight="1">
      <c r="A82" s="27"/>
      <c r="B82" s="28"/>
      <c r="C82" s="29" t="s">
        <v>188</v>
      </c>
      <c r="D82" s="30">
        <v>41487</v>
      </c>
      <c r="E82" s="37" t="s">
        <v>107</v>
      </c>
      <c r="F82" s="30"/>
      <c r="G82" s="32" t="s">
        <v>110</v>
      </c>
      <c r="H82" s="96" t="s">
        <v>77</v>
      </c>
      <c r="I82" s="96" t="s">
        <v>77</v>
      </c>
      <c r="J82" s="96" t="s">
        <v>77</v>
      </c>
      <c r="K82" s="96" t="s">
        <v>77</v>
      </c>
      <c r="L82" s="37" t="s">
        <v>86</v>
      </c>
      <c r="M82" s="38" t="s">
        <v>35</v>
      </c>
      <c r="N82" s="39">
        <v>644.4</v>
      </c>
      <c r="O82" s="89">
        <v>0.9</v>
      </c>
      <c r="P82" s="41"/>
      <c r="Q82" s="42">
        <f t="shared" si="13"/>
        <v>64.439999999999941</v>
      </c>
      <c r="R82" s="43">
        <v>0</v>
      </c>
      <c r="S82" s="44">
        <f t="shared" si="16"/>
        <v>126.30240000000001</v>
      </c>
      <c r="T82" s="44">
        <f t="shared" si="14"/>
        <v>770.70240000000001</v>
      </c>
      <c r="U82" s="45"/>
      <c r="V82" s="41"/>
      <c r="W82" s="27"/>
      <c r="X82" s="47"/>
      <c r="Y82" s="48">
        <f t="shared" si="15"/>
        <v>770.70240000000001</v>
      </c>
      <c r="Z82" s="53"/>
      <c r="AA82" s="50"/>
      <c r="AB82" s="56"/>
      <c r="AC82" s="56"/>
    </row>
    <row r="83" spans="1:32" s="54" customFormat="1" ht="25.5" customHeight="1">
      <c r="A83" s="27"/>
      <c r="B83" s="28"/>
      <c r="C83" s="29" t="s">
        <v>188</v>
      </c>
      <c r="D83" s="30">
        <v>41518</v>
      </c>
      <c r="E83" s="37" t="s">
        <v>107</v>
      </c>
      <c r="F83" s="30"/>
      <c r="G83" s="32" t="s">
        <v>110</v>
      </c>
      <c r="H83" s="96" t="s">
        <v>77</v>
      </c>
      <c r="I83" s="96" t="s">
        <v>77</v>
      </c>
      <c r="J83" s="96" t="s">
        <v>77</v>
      </c>
      <c r="K83" s="96" t="s">
        <v>77</v>
      </c>
      <c r="L83" s="37" t="s">
        <v>87</v>
      </c>
      <c r="M83" s="38" t="s">
        <v>35</v>
      </c>
      <c r="N83" s="39">
        <v>644.4</v>
      </c>
      <c r="O83" s="89">
        <v>0.9</v>
      </c>
      <c r="P83" s="41"/>
      <c r="Q83" s="42">
        <f t="shared" si="13"/>
        <v>64.439999999999941</v>
      </c>
      <c r="R83" s="43">
        <v>0</v>
      </c>
      <c r="S83" s="44">
        <f t="shared" si="16"/>
        <v>126.30240000000001</v>
      </c>
      <c r="T83" s="44">
        <f t="shared" si="14"/>
        <v>770.70240000000001</v>
      </c>
      <c r="U83" s="45"/>
      <c r="V83" s="41"/>
      <c r="W83" s="27"/>
      <c r="X83" s="47"/>
      <c r="Y83" s="48">
        <f t="shared" si="15"/>
        <v>770.70240000000001</v>
      </c>
      <c r="Z83" s="53"/>
      <c r="AA83" s="50"/>
      <c r="AB83" s="56"/>
      <c r="AC83" s="56"/>
    </row>
    <row r="84" spans="1:32" s="54" customFormat="1" ht="25.5" customHeight="1">
      <c r="A84" s="27"/>
      <c r="B84" s="28"/>
      <c r="C84" s="29" t="s">
        <v>188</v>
      </c>
      <c r="D84" s="30">
        <v>41548</v>
      </c>
      <c r="E84" s="37" t="s">
        <v>107</v>
      </c>
      <c r="F84" s="30"/>
      <c r="G84" s="32" t="s">
        <v>110</v>
      </c>
      <c r="H84" s="96" t="s">
        <v>77</v>
      </c>
      <c r="I84" s="96" t="s">
        <v>77</v>
      </c>
      <c r="J84" s="96" t="s">
        <v>77</v>
      </c>
      <c r="K84" s="96" t="s">
        <v>77</v>
      </c>
      <c r="L84" s="37" t="s">
        <v>88</v>
      </c>
      <c r="M84" s="38" t="s">
        <v>35</v>
      </c>
      <c r="N84" s="39">
        <v>644.4</v>
      </c>
      <c r="O84" s="89">
        <v>0.9</v>
      </c>
      <c r="P84" s="41"/>
      <c r="Q84" s="42">
        <f t="shared" si="13"/>
        <v>64.439999999999941</v>
      </c>
      <c r="R84" s="43">
        <v>0</v>
      </c>
      <c r="S84" s="44">
        <f t="shared" si="16"/>
        <v>126.30240000000001</v>
      </c>
      <c r="T84" s="44">
        <f t="shared" si="14"/>
        <v>770.70240000000001</v>
      </c>
      <c r="U84" s="45"/>
      <c r="V84" s="41"/>
      <c r="W84" s="27"/>
      <c r="X84" s="47"/>
      <c r="Y84" s="48">
        <f t="shared" si="15"/>
        <v>770.70240000000001</v>
      </c>
      <c r="Z84" s="53"/>
      <c r="AA84" s="50"/>
      <c r="AB84" s="56"/>
      <c r="AC84" s="56"/>
    </row>
    <row r="85" spans="1:32" s="54" customFormat="1" ht="25.5" customHeight="1">
      <c r="A85" s="27"/>
      <c r="B85" s="28"/>
      <c r="C85" s="29" t="s">
        <v>188</v>
      </c>
      <c r="D85" s="30">
        <v>41579</v>
      </c>
      <c r="E85" s="37" t="s">
        <v>107</v>
      </c>
      <c r="F85" s="30"/>
      <c r="G85" s="32" t="s">
        <v>110</v>
      </c>
      <c r="H85" s="96" t="s">
        <v>77</v>
      </c>
      <c r="I85" s="96" t="s">
        <v>77</v>
      </c>
      <c r="J85" s="96" t="s">
        <v>77</v>
      </c>
      <c r="K85" s="96" t="s">
        <v>77</v>
      </c>
      <c r="L85" s="37" t="s">
        <v>89</v>
      </c>
      <c r="M85" s="38" t="s">
        <v>35</v>
      </c>
      <c r="N85" s="39">
        <v>644.4</v>
      </c>
      <c r="O85" s="89">
        <v>0.9</v>
      </c>
      <c r="P85" s="41"/>
      <c r="Q85" s="42">
        <f t="shared" si="13"/>
        <v>64.439999999999941</v>
      </c>
      <c r="R85" s="43">
        <v>0</v>
      </c>
      <c r="S85" s="44">
        <f t="shared" si="16"/>
        <v>126.30240000000001</v>
      </c>
      <c r="T85" s="44">
        <f t="shared" si="14"/>
        <v>770.70240000000001</v>
      </c>
      <c r="U85" s="45"/>
      <c r="V85" s="41"/>
      <c r="W85" s="27"/>
      <c r="X85" s="47"/>
      <c r="Y85" s="48">
        <f t="shared" si="15"/>
        <v>770.70240000000001</v>
      </c>
      <c r="Z85" s="53"/>
      <c r="AA85" s="50"/>
      <c r="AB85" s="56"/>
      <c r="AC85" s="56"/>
    </row>
    <row r="86" spans="1:32" s="54" customFormat="1" ht="25.5" customHeight="1">
      <c r="A86" s="27"/>
      <c r="B86" s="28"/>
      <c r="C86" s="29" t="s">
        <v>188</v>
      </c>
      <c r="D86" s="30">
        <v>41609</v>
      </c>
      <c r="E86" s="37" t="s">
        <v>107</v>
      </c>
      <c r="F86" s="30"/>
      <c r="G86" s="32" t="s">
        <v>110</v>
      </c>
      <c r="H86" s="96" t="s">
        <v>77</v>
      </c>
      <c r="I86" s="96" t="s">
        <v>77</v>
      </c>
      <c r="J86" s="96" t="s">
        <v>77</v>
      </c>
      <c r="K86" s="96" t="s">
        <v>77</v>
      </c>
      <c r="L86" s="37" t="s">
        <v>90</v>
      </c>
      <c r="M86" s="38" t="s">
        <v>35</v>
      </c>
      <c r="N86" s="39">
        <v>644.4</v>
      </c>
      <c r="O86" s="89">
        <v>0.9</v>
      </c>
      <c r="P86" s="41"/>
      <c r="Q86" s="42">
        <f t="shared" si="13"/>
        <v>64.439999999999941</v>
      </c>
      <c r="R86" s="43">
        <v>0</v>
      </c>
      <c r="S86" s="44">
        <f t="shared" si="16"/>
        <v>126.30240000000001</v>
      </c>
      <c r="T86" s="44">
        <f t="shared" si="14"/>
        <v>770.70240000000001</v>
      </c>
      <c r="U86" s="45"/>
      <c r="V86" s="41"/>
      <c r="W86" s="27"/>
      <c r="X86" s="47"/>
      <c r="Y86" s="48">
        <f t="shared" si="15"/>
        <v>770.70240000000001</v>
      </c>
      <c r="Z86" s="53"/>
      <c r="AA86" s="50"/>
      <c r="AB86" s="56"/>
      <c r="AC86" s="56"/>
    </row>
    <row r="87" spans="1:32" s="54" customFormat="1" ht="25.5" customHeight="1">
      <c r="A87" s="27">
        <v>41235</v>
      </c>
      <c r="B87" s="28" t="s">
        <v>269</v>
      </c>
      <c r="C87" s="29" t="s">
        <v>189</v>
      </c>
      <c r="D87" s="30">
        <v>41214</v>
      </c>
      <c r="E87" s="31">
        <v>41029</v>
      </c>
      <c r="F87" s="30" t="s">
        <v>23</v>
      </c>
      <c r="G87" s="32" t="s">
        <v>111</v>
      </c>
      <c r="H87" s="33">
        <v>5.4242850000000002</v>
      </c>
      <c r="I87" s="34">
        <v>1400</v>
      </c>
      <c r="J87" s="35"/>
      <c r="K87" s="36">
        <f t="shared" ref="K87:K96" si="17">IF(J87&gt;0,H87*J87,H87*I87)</f>
        <v>7593.9990000000007</v>
      </c>
      <c r="L87" s="37" t="s">
        <v>25</v>
      </c>
      <c r="M87" s="38" t="s">
        <v>31</v>
      </c>
      <c r="N87" s="39">
        <v>7594</v>
      </c>
      <c r="O87" s="40">
        <v>0.125</v>
      </c>
      <c r="P87" s="41"/>
      <c r="Q87" s="42">
        <f t="shared" si="13"/>
        <v>6644.75</v>
      </c>
      <c r="R87" s="43">
        <v>25</v>
      </c>
      <c r="S87" s="44">
        <f t="shared" si="16"/>
        <v>1493.3240000000001</v>
      </c>
      <c r="T87" s="44">
        <f t="shared" si="14"/>
        <v>9112.3240000000005</v>
      </c>
      <c r="U87" s="45"/>
      <c r="V87" s="46">
        <v>9112.32</v>
      </c>
      <c r="W87" s="27">
        <v>41317</v>
      </c>
      <c r="X87" s="47" t="s">
        <v>32</v>
      </c>
      <c r="Y87" s="48">
        <f t="shared" si="15"/>
        <v>4.0000000008149073E-3</v>
      </c>
      <c r="Z87" s="71"/>
      <c r="AA87" s="50"/>
      <c r="AB87" s="51"/>
      <c r="AC87" s="52"/>
      <c r="AF87" s="52"/>
    </row>
    <row r="88" spans="1:32" s="54" customFormat="1" ht="25.5" customHeight="1">
      <c r="A88" s="27">
        <v>41438</v>
      </c>
      <c r="B88" s="28" t="s">
        <v>270</v>
      </c>
      <c r="C88" s="29" t="s">
        <v>190</v>
      </c>
      <c r="D88" s="30">
        <v>41426</v>
      </c>
      <c r="E88" s="31">
        <v>41438</v>
      </c>
      <c r="F88" s="30" t="s">
        <v>23</v>
      </c>
      <c r="G88" s="32" t="s">
        <v>112</v>
      </c>
      <c r="H88" s="33">
        <f>3.5/2</f>
        <v>1.75</v>
      </c>
      <c r="I88" s="35">
        <v>800</v>
      </c>
      <c r="J88" s="35"/>
      <c r="K88" s="36">
        <f t="shared" si="17"/>
        <v>1400</v>
      </c>
      <c r="L88" s="50"/>
      <c r="M88" s="38" t="s">
        <v>31</v>
      </c>
      <c r="N88" s="39">
        <v>1400</v>
      </c>
      <c r="O88" s="40">
        <v>0.125</v>
      </c>
      <c r="P88" s="41"/>
      <c r="Q88" s="42">
        <f t="shared" si="13"/>
        <v>1225</v>
      </c>
      <c r="R88" s="43">
        <v>0</v>
      </c>
      <c r="S88" s="44">
        <f t="shared" si="16"/>
        <v>274.40000000000003</v>
      </c>
      <c r="T88" s="44">
        <f t="shared" si="14"/>
        <v>1674.4</v>
      </c>
      <c r="U88" s="45">
        <v>41438</v>
      </c>
      <c r="V88" s="41"/>
      <c r="W88" s="27"/>
      <c r="X88" s="47"/>
      <c r="Y88" s="48">
        <f t="shared" si="15"/>
        <v>1674.4</v>
      </c>
      <c r="Z88" s="82"/>
      <c r="AA88" s="50"/>
      <c r="AB88" s="51"/>
      <c r="AC88" s="52"/>
    </row>
    <row r="89" spans="1:32" s="54" customFormat="1" ht="25.5" customHeight="1">
      <c r="A89" s="27"/>
      <c r="B89" s="28"/>
      <c r="C89" s="29" t="s">
        <v>190</v>
      </c>
      <c r="D89" s="30">
        <v>41456</v>
      </c>
      <c r="E89" s="31">
        <v>41438</v>
      </c>
      <c r="F89" s="30" t="s">
        <v>23</v>
      </c>
      <c r="G89" s="32" t="s">
        <v>112</v>
      </c>
      <c r="H89" s="33">
        <f>3.5/2</f>
        <v>1.75</v>
      </c>
      <c r="I89" s="35">
        <v>800</v>
      </c>
      <c r="J89" s="35"/>
      <c r="K89" s="36">
        <f t="shared" si="17"/>
        <v>1400</v>
      </c>
      <c r="L89" s="50"/>
      <c r="M89" s="38" t="s">
        <v>31</v>
      </c>
      <c r="N89" s="39">
        <v>1400</v>
      </c>
      <c r="O89" s="40">
        <v>0.125</v>
      </c>
      <c r="P89" s="41"/>
      <c r="Q89" s="42">
        <f t="shared" si="13"/>
        <v>1225</v>
      </c>
      <c r="R89" s="43">
        <v>0</v>
      </c>
      <c r="S89" s="44">
        <f t="shared" si="16"/>
        <v>274.40000000000003</v>
      </c>
      <c r="T89" s="44">
        <f t="shared" si="14"/>
        <v>1674.4</v>
      </c>
      <c r="U89" s="45"/>
      <c r="V89" s="41"/>
      <c r="W89" s="27"/>
      <c r="X89" s="47"/>
      <c r="Y89" s="48">
        <f t="shared" si="15"/>
        <v>1674.4</v>
      </c>
      <c r="Z89" s="82"/>
      <c r="AA89" s="50"/>
      <c r="AB89" s="51"/>
      <c r="AC89" s="52"/>
    </row>
    <row r="90" spans="1:32" s="54" customFormat="1" ht="25.5" customHeight="1">
      <c r="A90" s="27">
        <v>41410</v>
      </c>
      <c r="B90" s="28" t="s">
        <v>271</v>
      </c>
      <c r="C90" s="29" t="s">
        <v>191</v>
      </c>
      <c r="D90" s="30">
        <v>41395</v>
      </c>
      <c r="E90" s="31">
        <v>41438</v>
      </c>
      <c r="F90" s="30" t="s">
        <v>23</v>
      </c>
      <c r="G90" s="32" t="s">
        <v>29</v>
      </c>
      <c r="H90" s="33">
        <f>17/2</f>
        <v>8.5</v>
      </c>
      <c r="I90" s="35">
        <v>1355.29412</v>
      </c>
      <c r="J90" s="35"/>
      <c r="K90" s="36">
        <f t="shared" si="17"/>
        <v>11520.000019999999</v>
      </c>
      <c r="L90" s="50" t="s">
        <v>30</v>
      </c>
      <c r="M90" s="38" t="s">
        <v>31</v>
      </c>
      <c r="N90" s="39">
        <v>11520</v>
      </c>
      <c r="O90" s="40">
        <v>0.125</v>
      </c>
      <c r="P90" s="41"/>
      <c r="Q90" s="42">
        <f t="shared" si="13"/>
        <v>10080</v>
      </c>
      <c r="R90" s="43">
        <v>0</v>
      </c>
      <c r="S90" s="44">
        <f t="shared" si="16"/>
        <v>2257.92</v>
      </c>
      <c r="T90" s="44">
        <f t="shared" si="14"/>
        <v>13777.92</v>
      </c>
      <c r="U90" s="45">
        <v>41410</v>
      </c>
      <c r="V90" s="41">
        <v>5000</v>
      </c>
      <c r="W90" s="27">
        <v>41437</v>
      </c>
      <c r="X90" s="47" t="s">
        <v>32</v>
      </c>
      <c r="Y90" s="48">
        <f t="shared" si="15"/>
        <v>8777.92</v>
      </c>
      <c r="Z90" s="53" t="s">
        <v>33</v>
      </c>
      <c r="AA90" s="50"/>
      <c r="AB90" s="51"/>
      <c r="AC90" s="52"/>
      <c r="AF90" s="52"/>
    </row>
    <row r="91" spans="1:32" s="54" customFormat="1" ht="25.5" customHeight="1">
      <c r="A91" s="27"/>
      <c r="B91" s="28"/>
      <c r="C91" s="29" t="s">
        <v>191</v>
      </c>
      <c r="D91" s="30">
        <v>41456</v>
      </c>
      <c r="E91" s="31">
        <v>41438</v>
      </c>
      <c r="F91" s="30" t="s">
        <v>23</v>
      </c>
      <c r="G91" s="32" t="s">
        <v>113</v>
      </c>
      <c r="H91" s="33">
        <v>8.5</v>
      </c>
      <c r="I91" s="35">
        <v>1355.29412</v>
      </c>
      <c r="J91" s="35"/>
      <c r="K91" s="36">
        <f t="shared" si="17"/>
        <v>11520.000019999999</v>
      </c>
      <c r="L91" s="50" t="s">
        <v>25</v>
      </c>
      <c r="M91" s="38" t="s">
        <v>31</v>
      </c>
      <c r="N91" s="39">
        <v>11520</v>
      </c>
      <c r="O91" s="40">
        <v>0.125</v>
      </c>
      <c r="P91" s="41"/>
      <c r="Q91" s="42">
        <f t="shared" si="13"/>
        <v>10080</v>
      </c>
      <c r="R91" s="43">
        <v>0</v>
      </c>
      <c r="S91" s="44">
        <f t="shared" si="16"/>
        <v>2257.92</v>
      </c>
      <c r="T91" s="44">
        <f t="shared" si="14"/>
        <v>13777.92</v>
      </c>
      <c r="U91" s="45"/>
      <c r="V91" s="41"/>
      <c r="W91" s="27"/>
      <c r="X91" s="47"/>
      <c r="Y91" s="48">
        <f t="shared" si="15"/>
        <v>13777.92</v>
      </c>
      <c r="Z91" s="82"/>
      <c r="AA91" s="50"/>
      <c r="AB91" s="51"/>
      <c r="AC91" s="52"/>
      <c r="AF91" s="52"/>
    </row>
    <row r="92" spans="1:32" s="54" customFormat="1" ht="25.5" customHeight="1">
      <c r="A92" s="27">
        <v>41311</v>
      </c>
      <c r="B92" s="28" t="s">
        <v>272</v>
      </c>
      <c r="C92" s="29" t="s">
        <v>193</v>
      </c>
      <c r="D92" s="30">
        <v>41306</v>
      </c>
      <c r="E92" s="31">
        <v>41297</v>
      </c>
      <c r="F92" s="30" t="s">
        <v>39</v>
      </c>
      <c r="G92" s="32" t="s">
        <v>114</v>
      </c>
      <c r="H92" s="33">
        <v>7</v>
      </c>
      <c r="I92" s="34">
        <v>900</v>
      </c>
      <c r="J92" s="35"/>
      <c r="K92" s="36">
        <f t="shared" si="17"/>
        <v>6300</v>
      </c>
      <c r="L92" s="37" t="s">
        <v>62</v>
      </c>
      <c r="M92" s="38" t="str">
        <f>IF(K92=N92,"ok","Dif")</f>
        <v>ok</v>
      </c>
      <c r="N92" s="39">
        <v>6300</v>
      </c>
      <c r="O92" s="40">
        <v>0.125</v>
      </c>
      <c r="P92" s="41"/>
      <c r="Q92" s="42">
        <f t="shared" si="13"/>
        <v>5512.5</v>
      </c>
      <c r="R92" s="43">
        <v>0</v>
      </c>
      <c r="S92" s="44">
        <f t="shared" si="16"/>
        <v>1234.8</v>
      </c>
      <c r="T92" s="44">
        <f t="shared" si="14"/>
        <v>7534.8</v>
      </c>
      <c r="U92" s="45"/>
      <c r="V92" s="41">
        <v>7534.8</v>
      </c>
      <c r="W92" s="27">
        <v>40951</v>
      </c>
      <c r="X92" s="47" t="s">
        <v>32</v>
      </c>
      <c r="Y92" s="48">
        <f t="shared" si="15"/>
        <v>0</v>
      </c>
      <c r="Z92" s="71"/>
      <c r="AA92" s="50"/>
      <c r="AB92" s="51"/>
      <c r="AC92" s="52"/>
      <c r="AD92" s="92"/>
      <c r="AE92" s="92"/>
      <c r="AF92" s="52"/>
    </row>
    <row r="93" spans="1:32" s="92" customFormat="1" ht="25.5" customHeight="1">
      <c r="A93" s="27">
        <v>41352</v>
      </c>
      <c r="B93" s="28" t="s">
        <v>273</v>
      </c>
      <c r="C93" s="29" t="s">
        <v>192</v>
      </c>
      <c r="D93" s="30">
        <v>41334</v>
      </c>
      <c r="E93" s="31">
        <v>41352</v>
      </c>
      <c r="F93" s="30" t="s">
        <v>23</v>
      </c>
      <c r="G93" s="32" t="s">
        <v>116</v>
      </c>
      <c r="H93" s="33">
        <f>35/2</f>
        <v>17.5</v>
      </c>
      <c r="I93" s="34">
        <v>1300</v>
      </c>
      <c r="J93" s="35"/>
      <c r="K93" s="36">
        <f t="shared" si="17"/>
        <v>22750</v>
      </c>
      <c r="L93" s="37" t="s">
        <v>30</v>
      </c>
      <c r="M93" s="38" t="str">
        <f>IF(K93=N93,"ok","Dif")</f>
        <v>ok</v>
      </c>
      <c r="N93" s="39">
        <v>22750</v>
      </c>
      <c r="O93" s="40">
        <v>0.125</v>
      </c>
      <c r="P93" s="41"/>
      <c r="Q93" s="42">
        <f t="shared" si="13"/>
        <v>19906.25</v>
      </c>
      <c r="R93" s="43">
        <v>0</v>
      </c>
      <c r="S93" s="44">
        <f t="shared" si="16"/>
        <v>4459</v>
      </c>
      <c r="T93" s="44">
        <f t="shared" si="14"/>
        <v>27209</v>
      </c>
      <c r="U93" s="45">
        <v>41382</v>
      </c>
      <c r="V93" s="46"/>
      <c r="W93" s="27"/>
      <c r="X93" s="45"/>
      <c r="Y93" s="48">
        <f t="shared" si="15"/>
        <v>27209</v>
      </c>
      <c r="Z93" s="28"/>
      <c r="AA93" s="50"/>
      <c r="AB93" s="54"/>
      <c r="AC93" s="54"/>
      <c r="AD93" s="54"/>
      <c r="AE93" s="54"/>
      <c r="AF93" s="52"/>
    </row>
    <row r="94" spans="1:32" s="54" customFormat="1" ht="25.5" customHeight="1">
      <c r="A94" s="27">
        <v>41373</v>
      </c>
      <c r="B94" s="28" t="s">
        <v>274</v>
      </c>
      <c r="C94" s="29" t="s">
        <v>192</v>
      </c>
      <c r="D94" s="30">
        <v>41365</v>
      </c>
      <c r="E94" s="31">
        <v>41373</v>
      </c>
      <c r="F94" s="30" t="s">
        <v>23</v>
      </c>
      <c r="G94" s="32" t="s">
        <v>115</v>
      </c>
      <c r="H94" s="33">
        <f>8/2</f>
        <v>4</v>
      </c>
      <c r="I94" s="34">
        <v>1300</v>
      </c>
      <c r="J94" s="35"/>
      <c r="K94" s="36">
        <f t="shared" si="17"/>
        <v>5200</v>
      </c>
      <c r="L94" s="37" t="s">
        <v>30</v>
      </c>
      <c r="M94" s="38" t="str">
        <f>IF(K94=N94,"ok","Dif")</f>
        <v>ok</v>
      </c>
      <c r="N94" s="39">
        <v>5200</v>
      </c>
      <c r="O94" s="40">
        <v>0.125</v>
      </c>
      <c r="P94" s="41"/>
      <c r="Q94" s="42">
        <f t="shared" si="13"/>
        <v>4550</v>
      </c>
      <c r="R94" s="43">
        <v>0</v>
      </c>
      <c r="S94" s="44">
        <f t="shared" si="16"/>
        <v>1019.2</v>
      </c>
      <c r="T94" s="44">
        <f t="shared" si="14"/>
        <v>6219.2</v>
      </c>
      <c r="U94" s="45">
        <v>41402</v>
      </c>
      <c r="V94" s="41"/>
      <c r="W94" s="27"/>
      <c r="X94" s="47"/>
      <c r="Y94" s="48">
        <f t="shared" si="15"/>
        <v>6219.2</v>
      </c>
      <c r="Z94" s="83"/>
      <c r="AA94" s="50"/>
      <c r="AB94" s="98"/>
      <c r="AC94" s="93"/>
    </row>
    <row r="95" spans="1:32" s="54" customFormat="1" ht="25.5" customHeight="1">
      <c r="A95" s="27"/>
      <c r="B95" s="28"/>
      <c r="C95" s="29" t="s">
        <v>192</v>
      </c>
      <c r="D95" s="30">
        <v>41456</v>
      </c>
      <c r="E95" s="31">
        <v>41373</v>
      </c>
      <c r="F95" s="30" t="s">
        <v>23</v>
      </c>
      <c r="G95" s="32" t="s">
        <v>115</v>
      </c>
      <c r="H95" s="33">
        <f>8/2</f>
        <v>4</v>
      </c>
      <c r="I95" s="34">
        <v>1300</v>
      </c>
      <c r="J95" s="35"/>
      <c r="K95" s="36">
        <f t="shared" si="17"/>
        <v>5200</v>
      </c>
      <c r="L95" s="37" t="s">
        <v>25</v>
      </c>
      <c r="M95" s="38" t="str">
        <f>IF(K95=N95,"ok","Dif")</f>
        <v>ok</v>
      </c>
      <c r="N95" s="39">
        <v>5200</v>
      </c>
      <c r="O95" s="40">
        <v>0.125</v>
      </c>
      <c r="P95" s="41"/>
      <c r="Q95" s="42">
        <f t="shared" si="13"/>
        <v>4550</v>
      </c>
      <c r="R95" s="43">
        <v>0</v>
      </c>
      <c r="S95" s="44">
        <f t="shared" si="16"/>
        <v>1019.2</v>
      </c>
      <c r="T95" s="44">
        <f t="shared" si="14"/>
        <v>6219.2</v>
      </c>
      <c r="U95" s="45"/>
      <c r="V95" s="41"/>
      <c r="W95" s="27"/>
      <c r="X95" s="47"/>
      <c r="Y95" s="48">
        <f t="shared" si="15"/>
        <v>6219.2</v>
      </c>
      <c r="Z95" s="83"/>
      <c r="AA95" s="50"/>
      <c r="AB95" s="98"/>
      <c r="AC95" s="93"/>
    </row>
    <row r="96" spans="1:32" s="54" customFormat="1" ht="25.5" customHeight="1">
      <c r="A96" s="27"/>
      <c r="B96" s="28"/>
      <c r="C96" s="29" t="s">
        <v>192</v>
      </c>
      <c r="D96" s="30">
        <v>41456</v>
      </c>
      <c r="E96" s="31">
        <v>41352</v>
      </c>
      <c r="F96" s="30" t="s">
        <v>23</v>
      </c>
      <c r="G96" s="32" t="s">
        <v>116</v>
      </c>
      <c r="H96" s="33">
        <f>35/2</f>
        <v>17.5</v>
      </c>
      <c r="I96" s="34">
        <v>1300</v>
      </c>
      <c r="J96" s="35"/>
      <c r="K96" s="36">
        <f t="shared" si="17"/>
        <v>22750</v>
      </c>
      <c r="L96" s="37" t="s">
        <v>25</v>
      </c>
      <c r="M96" s="38" t="str">
        <f>IF(K96=N96,"ok","Dif")</f>
        <v>ok</v>
      </c>
      <c r="N96" s="39">
        <v>22750</v>
      </c>
      <c r="O96" s="40">
        <v>0.125</v>
      </c>
      <c r="P96" s="41"/>
      <c r="Q96" s="42">
        <f t="shared" si="13"/>
        <v>19906.25</v>
      </c>
      <c r="R96" s="43">
        <v>0</v>
      </c>
      <c r="S96" s="44">
        <f t="shared" si="16"/>
        <v>4459</v>
      </c>
      <c r="T96" s="44">
        <f t="shared" si="14"/>
        <v>27209</v>
      </c>
      <c r="U96" s="45"/>
      <c r="V96" s="41"/>
      <c r="W96" s="27"/>
      <c r="X96" s="47"/>
      <c r="Y96" s="48">
        <f t="shared" si="15"/>
        <v>27209</v>
      </c>
      <c r="Z96" s="83"/>
      <c r="AA96" s="50"/>
      <c r="AB96" s="98"/>
      <c r="AC96" s="93"/>
      <c r="AF96" s="56"/>
    </row>
    <row r="97" spans="1:32" s="54" customFormat="1" ht="25.5" customHeight="1">
      <c r="A97" s="27">
        <v>41234</v>
      </c>
      <c r="B97" s="28" t="s">
        <v>275</v>
      </c>
      <c r="C97" s="29" t="s">
        <v>117</v>
      </c>
      <c r="D97" s="30">
        <v>41214</v>
      </c>
      <c r="E97" s="31" t="s">
        <v>52</v>
      </c>
      <c r="F97" s="30" t="s">
        <v>23</v>
      </c>
      <c r="G97" s="32" t="s">
        <v>119</v>
      </c>
      <c r="H97" s="31" t="s">
        <v>52</v>
      </c>
      <c r="I97" s="31" t="s">
        <v>52</v>
      </c>
      <c r="J97" s="31" t="s">
        <v>52</v>
      </c>
      <c r="K97" s="31" t="s">
        <v>52</v>
      </c>
      <c r="L97" s="37" t="s">
        <v>30</v>
      </c>
      <c r="M97" s="38" t="s">
        <v>35</v>
      </c>
      <c r="N97" s="39">
        <v>16587.5</v>
      </c>
      <c r="O97" s="40">
        <v>0.125</v>
      </c>
      <c r="P97" s="41"/>
      <c r="Q97" s="42">
        <f t="shared" si="13"/>
        <v>14514.0625</v>
      </c>
      <c r="R97" s="43">
        <v>0</v>
      </c>
      <c r="S97" s="44">
        <f t="shared" si="16"/>
        <v>3251.15</v>
      </c>
      <c r="T97" s="44">
        <f t="shared" si="14"/>
        <v>19838.650000000001</v>
      </c>
      <c r="U97" s="45"/>
      <c r="V97" s="46">
        <v>19838.650000000001</v>
      </c>
      <c r="W97" s="27">
        <v>41234</v>
      </c>
      <c r="X97" s="94" t="s">
        <v>55</v>
      </c>
      <c r="Y97" s="48">
        <f t="shared" si="15"/>
        <v>0</v>
      </c>
      <c r="Z97" s="71"/>
      <c r="AA97" s="50"/>
      <c r="AB97" s="51"/>
      <c r="AC97" s="52"/>
    </row>
    <row r="98" spans="1:32" s="54" customFormat="1" ht="25.5" customHeight="1">
      <c r="A98" s="27">
        <v>41334</v>
      </c>
      <c r="B98" s="28" t="s">
        <v>276</v>
      </c>
      <c r="C98" s="29" t="s">
        <v>117</v>
      </c>
      <c r="D98" s="30">
        <v>41334</v>
      </c>
      <c r="E98" s="31" t="s">
        <v>52</v>
      </c>
      <c r="F98" s="30"/>
      <c r="G98" s="32" t="s">
        <v>119</v>
      </c>
      <c r="H98" s="31" t="s">
        <v>52</v>
      </c>
      <c r="I98" s="31" t="s">
        <v>52</v>
      </c>
      <c r="J98" s="31" t="s">
        <v>52</v>
      </c>
      <c r="K98" s="31" t="s">
        <v>52</v>
      </c>
      <c r="L98" s="37" t="s">
        <v>44</v>
      </c>
      <c r="M98" s="38" t="s">
        <v>35</v>
      </c>
      <c r="N98" s="39">
        <v>-16587.5</v>
      </c>
      <c r="O98" s="40">
        <v>0.125</v>
      </c>
      <c r="P98" s="41"/>
      <c r="Q98" s="42">
        <f t="shared" si="13"/>
        <v>-14514.0625</v>
      </c>
      <c r="R98" s="43">
        <v>0</v>
      </c>
      <c r="S98" s="44">
        <f t="shared" si="16"/>
        <v>-3251.15</v>
      </c>
      <c r="T98" s="44">
        <f t="shared" si="14"/>
        <v>-19838.650000000001</v>
      </c>
      <c r="U98" s="45"/>
      <c r="V98" s="46">
        <v>-19838.650000000001</v>
      </c>
      <c r="W98" s="27">
        <v>41334</v>
      </c>
      <c r="X98" s="45" t="s">
        <v>56</v>
      </c>
      <c r="Y98" s="48">
        <f t="shared" si="15"/>
        <v>0</v>
      </c>
      <c r="Z98" s="71"/>
      <c r="AA98" s="50"/>
      <c r="AB98" s="51"/>
      <c r="AC98" s="52"/>
    </row>
    <row r="99" spans="1:32" s="54" customFormat="1" ht="25.5" customHeight="1">
      <c r="A99" s="27">
        <v>41422</v>
      </c>
      <c r="B99" s="28" t="s">
        <v>277</v>
      </c>
      <c r="C99" s="29" t="s">
        <v>117</v>
      </c>
      <c r="D99" s="30">
        <v>41395</v>
      </c>
      <c r="E99" s="99" t="s">
        <v>120</v>
      </c>
      <c r="F99" s="61" t="s">
        <v>23</v>
      </c>
      <c r="G99" s="32" t="s">
        <v>121</v>
      </c>
      <c r="H99" s="33">
        <f>19000/1400</f>
        <v>13.571428571428571</v>
      </c>
      <c r="I99" s="34">
        <v>1400</v>
      </c>
      <c r="J99" s="35"/>
      <c r="K99" s="36">
        <f t="shared" ref="K99:K105" si="18">IF(J99&gt;0,H99*J99,H99*I99)</f>
        <v>19000</v>
      </c>
      <c r="L99" s="37" t="s">
        <v>30</v>
      </c>
      <c r="M99" s="38" t="str">
        <f t="shared" ref="M99:M105" si="19">IF(K99=N99,"ok","Dif")</f>
        <v>ok</v>
      </c>
      <c r="N99" s="63">
        <v>19000</v>
      </c>
      <c r="O99" s="40">
        <v>0.125</v>
      </c>
      <c r="P99" s="64"/>
      <c r="Q99" s="42">
        <f t="shared" ref="Q99:Q130" si="20">N99-((N99*O99)+P99)</f>
        <v>16625</v>
      </c>
      <c r="R99" s="65"/>
      <c r="S99" s="44">
        <f t="shared" si="16"/>
        <v>3724</v>
      </c>
      <c r="T99" s="44">
        <f t="shared" ref="T99:T130" si="21">S99+N99+R99</f>
        <v>22724</v>
      </c>
      <c r="U99" s="45">
        <v>41422</v>
      </c>
      <c r="V99" s="46">
        <v>22724</v>
      </c>
      <c r="W99" s="27">
        <v>41422</v>
      </c>
      <c r="X99" s="47" t="s">
        <v>122</v>
      </c>
      <c r="Y99" s="48">
        <f t="shared" ref="Y99:Y130" si="22">T99-V99</f>
        <v>0</v>
      </c>
      <c r="Z99" s="66"/>
      <c r="AA99" s="67"/>
      <c r="AB99" s="72"/>
      <c r="AC99" s="57"/>
      <c r="AD99" s="52"/>
      <c r="AE99" s="52"/>
    </row>
    <row r="100" spans="1:32" s="52" customFormat="1" ht="40.5" customHeight="1">
      <c r="A100" s="27">
        <v>41439</v>
      </c>
      <c r="B100" s="28" t="s">
        <v>278</v>
      </c>
      <c r="C100" s="29" t="s">
        <v>117</v>
      </c>
      <c r="D100" s="30" t="s">
        <v>123</v>
      </c>
      <c r="E100" s="99" t="s">
        <v>120</v>
      </c>
      <c r="F100" s="61" t="s">
        <v>23</v>
      </c>
      <c r="G100" s="32" t="s">
        <v>121</v>
      </c>
      <c r="H100" s="100">
        <f>-19000/1400</f>
        <v>-13.571428571428571</v>
      </c>
      <c r="I100" s="34">
        <v>1400</v>
      </c>
      <c r="J100" s="35"/>
      <c r="K100" s="46">
        <f t="shared" si="18"/>
        <v>-19000</v>
      </c>
      <c r="L100" s="37" t="s">
        <v>30</v>
      </c>
      <c r="M100" s="38" t="str">
        <f t="shared" si="19"/>
        <v>ok</v>
      </c>
      <c r="N100" s="63">
        <v>-19000</v>
      </c>
      <c r="O100" s="40">
        <v>0.125</v>
      </c>
      <c r="P100" s="64"/>
      <c r="Q100" s="42">
        <f t="shared" si="20"/>
        <v>-16625</v>
      </c>
      <c r="R100" s="65"/>
      <c r="S100" s="44">
        <f t="shared" si="16"/>
        <v>-3724</v>
      </c>
      <c r="T100" s="44">
        <f t="shared" si="21"/>
        <v>-22724</v>
      </c>
      <c r="U100" s="45" t="s">
        <v>124</v>
      </c>
      <c r="V100" s="46">
        <v>-22724</v>
      </c>
      <c r="W100" s="27">
        <v>41439</v>
      </c>
      <c r="X100" s="47" t="s">
        <v>124</v>
      </c>
      <c r="Y100" s="48">
        <f t="shared" si="22"/>
        <v>0</v>
      </c>
      <c r="Z100" s="66"/>
      <c r="AA100" s="67"/>
      <c r="AB100" s="72"/>
      <c r="AC100" s="57"/>
      <c r="AF100" s="54"/>
    </row>
    <row r="101" spans="1:32" s="52" customFormat="1" ht="20.399999999999999">
      <c r="A101" s="27">
        <v>41439</v>
      </c>
      <c r="B101" s="28" t="s">
        <v>279</v>
      </c>
      <c r="C101" s="29" t="s">
        <v>117</v>
      </c>
      <c r="D101" s="30">
        <v>41456</v>
      </c>
      <c r="E101" s="31">
        <v>41439</v>
      </c>
      <c r="F101" s="61" t="s">
        <v>23</v>
      </c>
      <c r="G101" s="32" t="s">
        <v>118</v>
      </c>
      <c r="H101" s="33">
        <v>12.5</v>
      </c>
      <c r="I101" s="34">
        <v>1400</v>
      </c>
      <c r="J101" s="35"/>
      <c r="K101" s="36">
        <f t="shared" si="18"/>
        <v>17500</v>
      </c>
      <c r="L101" s="37" t="s">
        <v>30</v>
      </c>
      <c r="M101" s="38" t="str">
        <f t="shared" si="19"/>
        <v>ok</v>
      </c>
      <c r="N101" s="63">
        <v>17500</v>
      </c>
      <c r="O101" s="40">
        <v>0.125</v>
      </c>
      <c r="P101" s="64"/>
      <c r="Q101" s="42">
        <f t="shared" si="20"/>
        <v>15312.5</v>
      </c>
      <c r="R101" s="65"/>
      <c r="S101" s="44">
        <f t="shared" ref="S101:S129" si="23">(N101+R101)*19.6%</f>
        <v>3430</v>
      </c>
      <c r="T101" s="44">
        <f t="shared" si="21"/>
        <v>20930</v>
      </c>
      <c r="U101" s="45">
        <v>41439</v>
      </c>
      <c r="V101" s="46"/>
      <c r="W101" s="27"/>
      <c r="X101" s="47"/>
      <c r="Y101" s="48">
        <f t="shared" si="22"/>
        <v>20930</v>
      </c>
      <c r="Z101" s="66"/>
      <c r="AA101" s="67"/>
      <c r="AB101" s="72"/>
      <c r="AC101" s="57"/>
      <c r="AF101" s="54"/>
    </row>
    <row r="102" spans="1:32" s="52" customFormat="1" ht="20.399999999999999">
      <c r="A102" s="68"/>
      <c r="B102" s="28"/>
      <c r="C102" s="29" t="s">
        <v>117</v>
      </c>
      <c r="D102" s="30">
        <v>41518</v>
      </c>
      <c r="E102" s="31">
        <v>41422</v>
      </c>
      <c r="F102" s="61" t="s">
        <v>23</v>
      </c>
      <c r="G102" s="32" t="s">
        <v>118</v>
      </c>
      <c r="H102" s="33">
        <v>12.5</v>
      </c>
      <c r="I102" s="34">
        <v>1400</v>
      </c>
      <c r="J102" s="35"/>
      <c r="K102" s="36">
        <f t="shared" si="18"/>
        <v>17500</v>
      </c>
      <c r="L102" s="37" t="s">
        <v>25</v>
      </c>
      <c r="M102" s="38" t="str">
        <f t="shared" si="19"/>
        <v>ok</v>
      </c>
      <c r="N102" s="63">
        <v>17500</v>
      </c>
      <c r="O102" s="40">
        <v>0.125</v>
      </c>
      <c r="P102" s="64"/>
      <c r="Q102" s="42">
        <f t="shared" si="20"/>
        <v>15312.5</v>
      </c>
      <c r="R102" s="65"/>
      <c r="S102" s="44">
        <f t="shared" si="23"/>
        <v>3430</v>
      </c>
      <c r="T102" s="44">
        <f t="shared" si="21"/>
        <v>20930</v>
      </c>
      <c r="U102" s="45"/>
      <c r="V102" s="46"/>
      <c r="W102" s="27"/>
      <c r="X102" s="47"/>
      <c r="Y102" s="48">
        <f t="shared" si="22"/>
        <v>20930</v>
      </c>
      <c r="Z102" s="66"/>
      <c r="AA102" s="67"/>
      <c r="AB102" s="72"/>
      <c r="AC102" s="57"/>
      <c r="AF102" s="56"/>
    </row>
    <row r="103" spans="1:32" s="52" customFormat="1" ht="20.399999999999999">
      <c r="A103" s="27">
        <v>41208</v>
      </c>
      <c r="B103" s="28" t="s">
        <v>280</v>
      </c>
      <c r="C103" s="29" t="s">
        <v>194</v>
      </c>
      <c r="D103" s="30">
        <v>41183</v>
      </c>
      <c r="E103" s="31">
        <v>41040</v>
      </c>
      <c r="F103" s="30" t="s">
        <v>23</v>
      </c>
      <c r="G103" s="32" t="s">
        <v>125</v>
      </c>
      <c r="H103" s="33">
        <f>16000/1400</f>
        <v>11.428571428571429</v>
      </c>
      <c r="I103" s="34">
        <v>1400</v>
      </c>
      <c r="J103" s="35"/>
      <c r="K103" s="36">
        <f t="shared" si="18"/>
        <v>16000</v>
      </c>
      <c r="L103" s="37" t="s">
        <v>25</v>
      </c>
      <c r="M103" s="38" t="str">
        <f t="shared" si="19"/>
        <v>ok</v>
      </c>
      <c r="N103" s="39">
        <v>16000</v>
      </c>
      <c r="O103" s="40">
        <v>0.125</v>
      </c>
      <c r="P103" s="41"/>
      <c r="Q103" s="42">
        <f t="shared" si="20"/>
        <v>14000</v>
      </c>
      <c r="R103" s="43">
        <v>0</v>
      </c>
      <c r="S103" s="44">
        <f t="shared" si="23"/>
        <v>3136</v>
      </c>
      <c r="T103" s="44">
        <f t="shared" si="21"/>
        <v>19136</v>
      </c>
      <c r="U103" s="45"/>
      <c r="V103" s="41">
        <v>19136</v>
      </c>
      <c r="W103" s="27">
        <v>41243</v>
      </c>
      <c r="X103" s="47" t="s">
        <v>36</v>
      </c>
      <c r="Y103" s="48">
        <f t="shared" si="22"/>
        <v>0</v>
      </c>
      <c r="Z103" s="71"/>
      <c r="AA103" s="50"/>
      <c r="AB103" s="51"/>
      <c r="AF103" s="54"/>
    </row>
    <row r="104" spans="1:32" s="52" customFormat="1" ht="25.5" customHeight="1">
      <c r="A104" s="27">
        <v>41312</v>
      </c>
      <c r="B104" s="28" t="s">
        <v>281</v>
      </c>
      <c r="C104" s="29" t="s">
        <v>195</v>
      </c>
      <c r="D104" s="30">
        <v>41306</v>
      </c>
      <c r="E104" s="31">
        <v>41321</v>
      </c>
      <c r="F104" s="30" t="s">
        <v>23</v>
      </c>
      <c r="G104" s="32" t="s">
        <v>126</v>
      </c>
      <c r="H104" s="33">
        <f>16/2</f>
        <v>8</v>
      </c>
      <c r="I104" s="34">
        <v>1400</v>
      </c>
      <c r="J104" s="35"/>
      <c r="K104" s="36">
        <f t="shared" si="18"/>
        <v>11200</v>
      </c>
      <c r="L104" s="50" t="s">
        <v>30</v>
      </c>
      <c r="M104" s="38" t="str">
        <f t="shared" si="19"/>
        <v>ok</v>
      </c>
      <c r="N104" s="39">
        <v>11200</v>
      </c>
      <c r="O104" s="40">
        <v>0.125</v>
      </c>
      <c r="P104" s="41"/>
      <c r="Q104" s="42">
        <f t="shared" si="20"/>
        <v>9800</v>
      </c>
      <c r="R104" s="43">
        <v>0</v>
      </c>
      <c r="S104" s="44">
        <f t="shared" si="23"/>
        <v>2195.2000000000003</v>
      </c>
      <c r="T104" s="44">
        <f t="shared" si="21"/>
        <v>13395.2</v>
      </c>
      <c r="U104" s="45"/>
      <c r="V104" s="46">
        <v>13395.2</v>
      </c>
      <c r="W104" s="27">
        <v>41401</v>
      </c>
      <c r="X104" s="47" t="s">
        <v>36</v>
      </c>
      <c r="Y104" s="48">
        <f t="shared" si="22"/>
        <v>0</v>
      </c>
      <c r="Z104" s="71"/>
      <c r="AA104" s="50"/>
      <c r="AB104" s="51"/>
      <c r="AF104" s="54"/>
    </row>
    <row r="105" spans="1:32" s="52" customFormat="1" ht="25.5" customHeight="1">
      <c r="A105" s="27"/>
      <c r="B105" s="28"/>
      <c r="C105" s="29" t="s">
        <v>195</v>
      </c>
      <c r="D105" s="30">
        <v>41426</v>
      </c>
      <c r="E105" s="31">
        <v>41321</v>
      </c>
      <c r="F105" s="30" t="s">
        <v>23</v>
      </c>
      <c r="G105" s="32" t="s">
        <v>127</v>
      </c>
      <c r="H105" s="33">
        <v>8</v>
      </c>
      <c r="I105" s="34">
        <v>1400</v>
      </c>
      <c r="J105" s="35"/>
      <c r="K105" s="36">
        <f t="shared" si="18"/>
        <v>11200</v>
      </c>
      <c r="L105" s="50" t="s">
        <v>25</v>
      </c>
      <c r="M105" s="38" t="str">
        <f t="shared" si="19"/>
        <v>ok</v>
      </c>
      <c r="N105" s="39">
        <v>11200</v>
      </c>
      <c r="O105" s="40">
        <v>0.125</v>
      </c>
      <c r="P105" s="41"/>
      <c r="Q105" s="42">
        <f t="shared" si="20"/>
        <v>9800</v>
      </c>
      <c r="R105" s="43">
        <v>0</v>
      </c>
      <c r="S105" s="44">
        <f t="shared" si="23"/>
        <v>2195.2000000000003</v>
      </c>
      <c r="T105" s="44">
        <f t="shared" si="21"/>
        <v>13395.2</v>
      </c>
      <c r="U105" s="45"/>
      <c r="V105" s="46"/>
      <c r="W105" s="27"/>
      <c r="X105" s="47"/>
      <c r="Y105" s="48">
        <f t="shared" si="22"/>
        <v>13395.2</v>
      </c>
      <c r="Z105" s="71"/>
      <c r="AA105" s="50"/>
      <c r="AB105" s="51"/>
    </row>
    <row r="106" spans="1:32" s="52" customFormat="1" ht="25.5" customHeight="1">
      <c r="A106" s="27">
        <v>41243</v>
      </c>
      <c r="B106" s="28" t="s">
        <v>282</v>
      </c>
      <c r="C106" s="29" t="s">
        <v>196</v>
      </c>
      <c r="D106" s="30">
        <v>41214</v>
      </c>
      <c r="E106" s="31" t="s">
        <v>74</v>
      </c>
      <c r="F106" s="30"/>
      <c r="G106" s="32" t="s">
        <v>129</v>
      </c>
      <c r="H106" s="33" t="s">
        <v>74</v>
      </c>
      <c r="I106" s="34" t="s">
        <v>74</v>
      </c>
      <c r="J106" s="35" t="s">
        <v>74</v>
      </c>
      <c r="K106" s="36" t="s">
        <v>74</v>
      </c>
      <c r="L106" s="94" t="s">
        <v>44</v>
      </c>
      <c r="M106" s="38" t="s">
        <v>35</v>
      </c>
      <c r="N106" s="39">
        <v>0</v>
      </c>
      <c r="O106" s="40">
        <v>0.125</v>
      </c>
      <c r="P106" s="41"/>
      <c r="Q106" s="42">
        <f t="shared" si="20"/>
        <v>0</v>
      </c>
      <c r="R106" s="43">
        <f>405.9-485.46</f>
        <v>-79.56</v>
      </c>
      <c r="S106" s="44">
        <f t="shared" si="23"/>
        <v>-15.593760000000001</v>
      </c>
      <c r="T106" s="44">
        <f t="shared" si="21"/>
        <v>-95.153760000000005</v>
      </c>
      <c r="U106" s="45"/>
      <c r="V106" s="46">
        <v>-95.15</v>
      </c>
      <c r="W106" s="27">
        <v>41298</v>
      </c>
      <c r="X106" s="101" t="s">
        <v>44</v>
      </c>
      <c r="Y106" s="48">
        <f t="shared" si="22"/>
        <v>-3.7599999999997635E-3</v>
      </c>
      <c r="Z106" s="71"/>
      <c r="AA106" s="50"/>
      <c r="AB106" s="51"/>
    </row>
    <row r="107" spans="1:32" s="52" customFormat="1" ht="25.5" customHeight="1">
      <c r="A107" s="27">
        <v>41358</v>
      </c>
      <c r="B107" s="28" t="s">
        <v>283</v>
      </c>
      <c r="C107" s="29" t="s">
        <v>196</v>
      </c>
      <c r="D107" s="30">
        <v>41334</v>
      </c>
      <c r="E107" s="31">
        <v>40993</v>
      </c>
      <c r="F107" s="30" t="s">
        <v>23</v>
      </c>
      <c r="G107" s="32" t="s">
        <v>128</v>
      </c>
      <c r="H107" s="33">
        <f>18.5/2</f>
        <v>9.25</v>
      </c>
      <c r="I107" s="34">
        <v>1400</v>
      </c>
      <c r="J107" s="35"/>
      <c r="K107" s="36">
        <f>IF(J107&gt;0,H107*J107,H107*I107)</f>
        <v>12950</v>
      </c>
      <c r="L107" s="37" t="s">
        <v>30</v>
      </c>
      <c r="M107" s="38" t="str">
        <f>IF(K107=N107,"ok","Dif")</f>
        <v>ok</v>
      </c>
      <c r="N107" s="39">
        <v>12950</v>
      </c>
      <c r="O107" s="40">
        <v>0.125</v>
      </c>
      <c r="P107" s="41"/>
      <c r="Q107" s="42">
        <f t="shared" si="20"/>
        <v>11331.25</v>
      </c>
      <c r="R107" s="43">
        <v>0</v>
      </c>
      <c r="S107" s="44">
        <f t="shared" si="23"/>
        <v>2538.2000000000003</v>
      </c>
      <c r="T107" s="44">
        <f t="shared" si="21"/>
        <v>15488.2</v>
      </c>
      <c r="U107" s="45">
        <v>41388</v>
      </c>
      <c r="V107" s="41"/>
      <c r="W107" s="27"/>
      <c r="X107" s="47"/>
      <c r="Y107" s="48">
        <f t="shared" si="22"/>
        <v>15488.2</v>
      </c>
      <c r="Z107" s="71"/>
      <c r="AA107" s="50"/>
      <c r="AB107" s="51"/>
    </row>
    <row r="108" spans="1:32" s="52" customFormat="1" ht="25.5" customHeight="1">
      <c r="A108" s="27"/>
      <c r="B108" s="28"/>
      <c r="C108" s="29" t="s">
        <v>196</v>
      </c>
      <c r="D108" s="30">
        <v>41426</v>
      </c>
      <c r="E108" s="31">
        <v>41358</v>
      </c>
      <c r="F108" s="30" t="s">
        <v>23</v>
      </c>
      <c r="G108" s="32" t="s">
        <v>128</v>
      </c>
      <c r="H108" s="33">
        <f>18.5/2</f>
        <v>9.25</v>
      </c>
      <c r="I108" s="34">
        <v>1400</v>
      </c>
      <c r="J108" s="35"/>
      <c r="K108" s="36">
        <f>IF(J108&gt;0,H108*J108,H108*I108)</f>
        <v>12950</v>
      </c>
      <c r="L108" s="37" t="s">
        <v>25</v>
      </c>
      <c r="M108" s="38" t="str">
        <f>IF(K108=N108,"ok","Dif")</f>
        <v>ok</v>
      </c>
      <c r="N108" s="39">
        <v>12950</v>
      </c>
      <c r="O108" s="40">
        <v>0.125</v>
      </c>
      <c r="P108" s="41"/>
      <c r="Q108" s="42">
        <f t="shared" si="20"/>
        <v>11331.25</v>
      </c>
      <c r="R108" s="43">
        <v>0</v>
      </c>
      <c r="S108" s="44">
        <f t="shared" si="23"/>
        <v>2538.2000000000003</v>
      </c>
      <c r="T108" s="44">
        <f t="shared" si="21"/>
        <v>15488.2</v>
      </c>
      <c r="U108" s="45"/>
      <c r="V108" s="41"/>
      <c r="W108" s="27"/>
      <c r="X108" s="47"/>
      <c r="Y108" s="48">
        <f t="shared" si="22"/>
        <v>15488.2</v>
      </c>
      <c r="Z108" s="71"/>
      <c r="AA108" s="50"/>
      <c r="AB108" s="51"/>
      <c r="AF108" s="56"/>
    </row>
    <row r="109" spans="1:32" s="52" customFormat="1" ht="25.5" customHeight="1">
      <c r="A109" s="27">
        <v>41269</v>
      </c>
      <c r="B109" s="28" t="s">
        <v>284</v>
      </c>
      <c r="C109" s="29" t="s">
        <v>197</v>
      </c>
      <c r="D109" s="30">
        <v>41244</v>
      </c>
      <c r="E109" s="37" t="s">
        <v>107</v>
      </c>
      <c r="F109" s="30"/>
      <c r="G109" s="32" t="s">
        <v>130</v>
      </c>
      <c r="H109" s="33" t="s">
        <v>131</v>
      </c>
      <c r="I109" s="33" t="s">
        <v>131</v>
      </c>
      <c r="J109" s="33" t="s">
        <v>131</v>
      </c>
      <c r="K109" s="33" t="s">
        <v>131</v>
      </c>
      <c r="L109" s="37" t="s">
        <v>81</v>
      </c>
      <c r="M109" s="38" t="s">
        <v>35</v>
      </c>
      <c r="N109" s="39">
        <v>1777.78</v>
      </c>
      <c r="O109" s="89">
        <v>0.9</v>
      </c>
      <c r="P109" s="58"/>
      <c r="Q109" s="42">
        <f t="shared" si="20"/>
        <v>177.77800000000002</v>
      </c>
      <c r="R109" s="43">
        <v>0</v>
      </c>
      <c r="S109" s="44">
        <f t="shared" si="23"/>
        <v>348.44488000000001</v>
      </c>
      <c r="T109" s="44">
        <f t="shared" si="21"/>
        <v>2126.2248799999998</v>
      </c>
      <c r="U109" s="45"/>
      <c r="V109" s="46">
        <v>2126.2199999999998</v>
      </c>
      <c r="W109" s="27">
        <v>41318</v>
      </c>
      <c r="X109" s="47" t="s">
        <v>32</v>
      </c>
      <c r="Y109" s="48">
        <f t="shared" si="22"/>
        <v>4.8799999999573629E-3</v>
      </c>
      <c r="Z109" s="71"/>
      <c r="AA109" s="50"/>
      <c r="AB109" s="72"/>
      <c r="AC109" s="57"/>
      <c r="AD109" s="93"/>
      <c r="AE109" s="93"/>
      <c r="AF109" s="54"/>
    </row>
    <row r="110" spans="1:32" s="93" customFormat="1" ht="25.5" customHeight="1">
      <c r="A110" s="27">
        <v>41338</v>
      </c>
      <c r="B110" s="28" t="s">
        <v>285</v>
      </c>
      <c r="C110" s="29" t="s">
        <v>197</v>
      </c>
      <c r="D110" s="30">
        <v>41334</v>
      </c>
      <c r="E110" s="37" t="s">
        <v>107</v>
      </c>
      <c r="F110" s="30"/>
      <c r="G110" s="32" t="s">
        <v>130</v>
      </c>
      <c r="H110" s="33" t="s">
        <v>131</v>
      </c>
      <c r="I110" s="33" t="s">
        <v>131</v>
      </c>
      <c r="J110" s="33" t="s">
        <v>131</v>
      </c>
      <c r="K110" s="33" t="s">
        <v>131</v>
      </c>
      <c r="L110" s="37" t="s">
        <v>83</v>
      </c>
      <c r="M110" s="38" t="s">
        <v>35</v>
      </c>
      <c r="N110" s="39">
        <v>1777.78</v>
      </c>
      <c r="O110" s="89">
        <v>0.9</v>
      </c>
      <c r="P110" s="41"/>
      <c r="Q110" s="42">
        <f t="shared" si="20"/>
        <v>177.77800000000002</v>
      </c>
      <c r="R110" s="43">
        <v>0</v>
      </c>
      <c r="S110" s="44">
        <f t="shared" si="23"/>
        <v>348.44488000000001</v>
      </c>
      <c r="T110" s="44">
        <f t="shared" si="21"/>
        <v>2126.2248799999998</v>
      </c>
      <c r="U110" s="45">
        <v>41368</v>
      </c>
      <c r="V110" s="46"/>
      <c r="W110" s="27"/>
      <c r="X110" s="47"/>
      <c r="Y110" s="48">
        <f t="shared" si="22"/>
        <v>2126.2248799999998</v>
      </c>
      <c r="Z110" s="28"/>
      <c r="AA110" s="50"/>
      <c r="AB110" s="54"/>
      <c r="AC110" s="54"/>
      <c r="AF110" s="52"/>
    </row>
    <row r="111" spans="1:32" s="93" customFormat="1" ht="25.5" customHeight="1">
      <c r="A111" s="27">
        <v>41415</v>
      </c>
      <c r="B111" s="28" t="s">
        <v>286</v>
      </c>
      <c r="C111" s="29" t="s">
        <v>197</v>
      </c>
      <c r="D111" s="30">
        <v>41395</v>
      </c>
      <c r="E111" s="37" t="s">
        <v>107</v>
      </c>
      <c r="F111" s="30"/>
      <c r="G111" s="32" t="s">
        <v>130</v>
      </c>
      <c r="H111" s="33" t="s">
        <v>131</v>
      </c>
      <c r="I111" s="33" t="s">
        <v>131</v>
      </c>
      <c r="J111" s="33" t="s">
        <v>131</v>
      </c>
      <c r="K111" s="33" t="s">
        <v>131</v>
      </c>
      <c r="L111" s="50" t="s">
        <v>84</v>
      </c>
      <c r="M111" s="38" t="s">
        <v>35</v>
      </c>
      <c r="N111" s="39">
        <v>1440</v>
      </c>
      <c r="O111" s="89">
        <v>0.9</v>
      </c>
      <c r="P111" s="41"/>
      <c r="Q111" s="42">
        <f t="shared" si="20"/>
        <v>144</v>
      </c>
      <c r="R111" s="43">
        <v>0</v>
      </c>
      <c r="S111" s="44">
        <f t="shared" si="23"/>
        <v>282.24</v>
      </c>
      <c r="T111" s="44">
        <f t="shared" si="21"/>
        <v>1722.24</v>
      </c>
      <c r="U111" s="45">
        <v>41446</v>
      </c>
      <c r="V111" s="41"/>
      <c r="W111" s="27"/>
      <c r="X111" s="47"/>
      <c r="Y111" s="48">
        <f t="shared" si="22"/>
        <v>1722.24</v>
      </c>
      <c r="Z111" s="53"/>
      <c r="AA111" s="50"/>
      <c r="AB111" s="56"/>
      <c r="AC111" s="56"/>
      <c r="AF111" s="54"/>
    </row>
    <row r="112" spans="1:32" s="93" customFormat="1" ht="25.5" customHeight="1">
      <c r="A112" s="27"/>
      <c r="B112" s="28"/>
      <c r="C112" s="29" t="s">
        <v>197</v>
      </c>
      <c r="D112" s="30">
        <v>41426</v>
      </c>
      <c r="E112" s="37" t="s">
        <v>107</v>
      </c>
      <c r="F112" s="30"/>
      <c r="G112" s="32" t="s">
        <v>130</v>
      </c>
      <c r="H112" s="33" t="s">
        <v>131</v>
      </c>
      <c r="I112" s="33" t="s">
        <v>131</v>
      </c>
      <c r="J112" s="33" t="s">
        <v>131</v>
      </c>
      <c r="K112" s="33" t="s">
        <v>131</v>
      </c>
      <c r="L112" s="37" t="s">
        <v>85</v>
      </c>
      <c r="M112" s="38" t="s">
        <v>35</v>
      </c>
      <c r="N112" s="39">
        <v>644.4</v>
      </c>
      <c r="O112" s="89">
        <v>0.9</v>
      </c>
      <c r="P112" s="41"/>
      <c r="Q112" s="42">
        <f t="shared" si="20"/>
        <v>64.439999999999941</v>
      </c>
      <c r="R112" s="43">
        <v>0</v>
      </c>
      <c r="S112" s="44">
        <f t="shared" si="23"/>
        <v>126.30240000000001</v>
      </c>
      <c r="T112" s="44">
        <f t="shared" si="21"/>
        <v>770.70240000000001</v>
      </c>
      <c r="U112" s="45"/>
      <c r="V112" s="41"/>
      <c r="W112" s="27"/>
      <c r="X112" s="47"/>
      <c r="Y112" s="48">
        <f t="shared" si="22"/>
        <v>770.70240000000001</v>
      </c>
      <c r="Z112" s="53"/>
      <c r="AA112" s="50"/>
      <c r="AB112" s="56"/>
      <c r="AC112" s="56"/>
      <c r="AD112" s="54"/>
      <c r="AE112" s="54"/>
      <c r="AF112" s="54"/>
    </row>
    <row r="113" spans="1:32" s="54" customFormat="1" ht="25.5" customHeight="1">
      <c r="A113" s="27"/>
      <c r="B113" s="28"/>
      <c r="C113" s="29" t="s">
        <v>197</v>
      </c>
      <c r="D113" s="30">
        <v>41456</v>
      </c>
      <c r="E113" s="37" t="s">
        <v>107</v>
      </c>
      <c r="F113" s="30"/>
      <c r="G113" s="32" t="s">
        <v>130</v>
      </c>
      <c r="H113" s="33" t="s">
        <v>131</v>
      </c>
      <c r="I113" s="33" t="s">
        <v>131</v>
      </c>
      <c r="J113" s="33" t="s">
        <v>131</v>
      </c>
      <c r="K113" s="33" t="s">
        <v>131</v>
      </c>
      <c r="L113" s="37" t="s">
        <v>86</v>
      </c>
      <c r="M113" s="38" t="s">
        <v>35</v>
      </c>
      <c r="N113" s="39">
        <v>644.4</v>
      </c>
      <c r="O113" s="89">
        <v>0.9</v>
      </c>
      <c r="P113" s="41"/>
      <c r="Q113" s="42">
        <f t="shared" si="20"/>
        <v>64.439999999999941</v>
      </c>
      <c r="R113" s="43">
        <v>0</v>
      </c>
      <c r="S113" s="44">
        <f t="shared" si="23"/>
        <v>126.30240000000001</v>
      </c>
      <c r="T113" s="44">
        <f t="shared" si="21"/>
        <v>770.70240000000001</v>
      </c>
      <c r="U113" s="45"/>
      <c r="V113" s="41"/>
      <c r="W113" s="27"/>
      <c r="X113" s="47"/>
      <c r="Y113" s="48">
        <f t="shared" si="22"/>
        <v>770.70240000000001</v>
      </c>
      <c r="Z113" s="53"/>
      <c r="AA113" s="50"/>
      <c r="AB113" s="56"/>
      <c r="AC113" s="56"/>
    </row>
    <row r="114" spans="1:32" s="54" customFormat="1" ht="25.5" customHeight="1">
      <c r="A114" s="27"/>
      <c r="B114" s="28"/>
      <c r="C114" s="29" t="s">
        <v>197</v>
      </c>
      <c r="D114" s="30">
        <v>41487</v>
      </c>
      <c r="E114" s="37" t="s">
        <v>107</v>
      </c>
      <c r="F114" s="30"/>
      <c r="G114" s="32" t="s">
        <v>130</v>
      </c>
      <c r="H114" s="33" t="s">
        <v>131</v>
      </c>
      <c r="I114" s="33" t="s">
        <v>131</v>
      </c>
      <c r="J114" s="33" t="s">
        <v>131</v>
      </c>
      <c r="K114" s="33" t="s">
        <v>131</v>
      </c>
      <c r="L114" s="37" t="s">
        <v>87</v>
      </c>
      <c r="M114" s="38" t="s">
        <v>35</v>
      </c>
      <c r="N114" s="39">
        <v>644.4</v>
      </c>
      <c r="O114" s="89">
        <v>0.9</v>
      </c>
      <c r="P114" s="41"/>
      <c r="Q114" s="42">
        <f t="shared" si="20"/>
        <v>64.439999999999941</v>
      </c>
      <c r="R114" s="43">
        <v>0</v>
      </c>
      <c r="S114" s="44">
        <f t="shared" si="23"/>
        <v>126.30240000000001</v>
      </c>
      <c r="T114" s="44">
        <f t="shared" si="21"/>
        <v>770.70240000000001</v>
      </c>
      <c r="U114" s="45"/>
      <c r="V114" s="41"/>
      <c r="W114" s="27"/>
      <c r="X114" s="47"/>
      <c r="Y114" s="48">
        <f t="shared" si="22"/>
        <v>770.70240000000001</v>
      </c>
      <c r="Z114" s="53"/>
      <c r="AA114" s="50"/>
      <c r="AB114" s="56"/>
      <c r="AC114" s="56"/>
    </row>
    <row r="115" spans="1:32" s="54" customFormat="1" ht="25.5" customHeight="1">
      <c r="A115" s="27"/>
      <c r="B115" s="28"/>
      <c r="C115" s="29" t="s">
        <v>197</v>
      </c>
      <c r="D115" s="30">
        <v>41518</v>
      </c>
      <c r="E115" s="37" t="s">
        <v>107</v>
      </c>
      <c r="F115" s="30"/>
      <c r="G115" s="32" t="s">
        <v>130</v>
      </c>
      <c r="H115" s="33" t="s">
        <v>131</v>
      </c>
      <c r="I115" s="33" t="s">
        <v>131</v>
      </c>
      <c r="J115" s="33" t="s">
        <v>131</v>
      </c>
      <c r="K115" s="33" t="s">
        <v>131</v>
      </c>
      <c r="L115" s="37" t="s">
        <v>88</v>
      </c>
      <c r="M115" s="38" t="s">
        <v>35</v>
      </c>
      <c r="N115" s="39">
        <v>644.4</v>
      </c>
      <c r="O115" s="89">
        <v>0.9</v>
      </c>
      <c r="P115" s="41"/>
      <c r="Q115" s="42">
        <f t="shared" si="20"/>
        <v>64.439999999999941</v>
      </c>
      <c r="R115" s="43">
        <v>0</v>
      </c>
      <c r="S115" s="44">
        <f t="shared" si="23"/>
        <v>126.30240000000001</v>
      </c>
      <c r="T115" s="44">
        <f t="shared" si="21"/>
        <v>770.70240000000001</v>
      </c>
      <c r="U115" s="45"/>
      <c r="V115" s="41"/>
      <c r="W115" s="27"/>
      <c r="X115" s="47"/>
      <c r="Y115" s="48">
        <f t="shared" si="22"/>
        <v>770.70240000000001</v>
      </c>
      <c r="Z115" s="53"/>
      <c r="AA115" s="50"/>
      <c r="AB115" s="56"/>
      <c r="AC115" s="56"/>
    </row>
    <row r="116" spans="1:32" s="54" customFormat="1" ht="25.5" customHeight="1">
      <c r="A116" s="27"/>
      <c r="B116" s="28"/>
      <c r="C116" s="29" t="s">
        <v>197</v>
      </c>
      <c r="D116" s="30">
        <v>41548</v>
      </c>
      <c r="E116" s="37" t="s">
        <v>107</v>
      </c>
      <c r="F116" s="30"/>
      <c r="G116" s="32" t="s">
        <v>130</v>
      </c>
      <c r="H116" s="33" t="s">
        <v>131</v>
      </c>
      <c r="I116" s="33" t="s">
        <v>131</v>
      </c>
      <c r="J116" s="33" t="s">
        <v>131</v>
      </c>
      <c r="K116" s="33" t="s">
        <v>131</v>
      </c>
      <c r="L116" s="37" t="s">
        <v>89</v>
      </c>
      <c r="M116" s="38" t="s">
        <v>35</v>
      </c>
      <c r="N116" s="39">
        <v>644.4</v>
      </c>
      <c r="O116" s="89">
        <v>0.9</v>
      </c>
      <c r="P116" s="41"/>
      <c r="Q116" s="42">
        <f t="shared" si="20"/>
        <v>64.439999999999941</v>
      </c>
      <c r="R116" s="43">
        <v>0</v>
      </c>
      <c r="S116" s="44">
        <f t="shared" si="23"/>
        <v>126.30240000000001</v>
      </c>
      <c r="T116" s="44">
        <f t="shared" si="21"/>
        <v>770.70240000000001</v>
      </c>
      <c r="U116" s="45"/>
      <c r="V116" s="41"/>
      <c r="W116" s="27"/>
      <c r="X116" s="47"/>
      <c r="Y116" s="48">
        <f t="shared" si="22"/>
        <v>770.70240000000001</v>
      </c>
      <c r="Z116" s="53"/>
      <c r="AA116" s="50"/>
      <c r="AB116" s="56"/>
      <c r="AC116" s="56"/>
    </row>
    <row r="117" spans="1:32" s="54" customFormat="1" ht="25.5" customHeight="1">
      <c r="A117" s="27"/>
      <c r="B117" s="28"/>
      <c r="C117" s="29" t="s">
        <v>197</v>
      </c>
      <c r="D117" s="30">
        <v>41579</v>
      </c>
      <c r="E117" s="37" t="s">
        <v>107</v>
      </c>
      <c r="F117" s="30"/>
      <c r="G117" s="32" t="s">
        <v>130</v>
      </c>
      <c r="H117" s="33" t="s">
        <v>131</v>
      </c>
      <c r="I117" s="33" t="s">
        <v>131</v>
      </c>
      <c r="J117" s="33" t="s">
        <v>131</v>
      </c>
      <c r="K117" s="33" t="s">
        <v>131</v>
      </c>
      <c r="L117" s="37" t="s">
        <v>90</v>
      </c>
      <c r="M117" s="38" t="s">
        <v>35</v>
      </c>
      <c r="N117" s="39">
        <v>644.4</v>
      </c>
      <c r="O117" s="89">
        <v>0.9</v>
      </c>
      <c r="P117" s="41"/>
      <c r="Q117" s="42">
        <f t="shared" si="20"/>
        <v>64.439999999999941</v>
      </c>
      <c r="R117" s="43">
        <v>0</v>
      </c>
      <c r="S117" s="44">
        <f t="shared" si="23"/>
        <v>126.30240000000001</v>
      </c>
      <c r="T117" s="44">
        <f t="shared" si="21"/>
        <v>770.70240000000001</v>
      </c>
      <c r="U117" s="45"/>
      <c r="V117" s="41"/>
      <c r="W117" s="27"/>
      <c r="X117" s="47"/>
      <c r="Y117" s="48">
        <f t="shared" si="22"/>
        <v>770.70240000000001</v>
      </c>
      <c r="Z117" s="53"/>
      <c r="AA117" s="50"/>
      <c r="AB117" s="56"/>
      <c r="AC117" s="56"/>
    </row>
    <row r="118" spans="1:32" s="54" customFormat="1" ht="25.5" customHeight="1">
      <c r="A118" s="27"/>
      <c r="B118" s="28"/>
      <c r="C118" s="29" t="s">
        <v>197</v>
      </c>
      <c r="D118" s="30">
        <v>41609</v>
      </c>
      <c r="E118" s="37" t="s">
        <v>107</v>
      </c>
      <c r="F118" s="30"/>
      <c r="G118" s="32" t="s">
        <v>130</v>
      </c>
      <c r="H118" s="33" t="s">
        <v>131</v>
      </c>
      <c r="I118" s="33" t="s">
        <v>131</v>
      </c>
      <c r="J118" s="33" t="s">
        <v>131</v>
      </c>
      <c r="K118" s="33" t="s">
        <v>131</v>
      </c>
      <c r="L118" s="37" t="s">
        <v>91</v>
      </c>
      <c r="M118" s="38" t="s">
        <v>35</v>
      </c>
      <c r="N118" s="39">
        <v>644.4</v>
      </c>
      <c r="O118" s="89">
        <v>0.9</v>
      </c>
      <c r="P118" s="41"/>
      <c r="Q118" s="42">
        <f t="shared" si="20"/>
        <v>64.439999999999941</v>
      </c>
      <c r="R118" s="43">
        <v>0</v>
      </c>
      <c r="S118" s="44">
        <f t="shared" si="23"/>
        <v>126.30240000000001</v>
      </c>
      <c r="T118" s="44">
        <f t="shared" si="21"/>
        <v>770.70240000000001</v>
      </c>
      <c r="U118" s="45"/>
      <c r="V118" s="41"/>
      <c r="W118" s="27"/>
      <c r="X118" s="47"/>
      <c r="Y118" s="48">
        <f t="shared" si="22"/>
        <v>770.70240000000001</v>
      </c>
      <c r="Z118" s="53"/>
      <c r="AA118" s="50"/>
      <c r="AB118" s="56"/>
      <c r="AC118" s="56"/>
      <c r="AF118" s="92"/>
    </row>
    <row r="119" spans="1:32" s="54" customFormat="1" ht="25.5" customHeight="1">
      <c r="A119" s="27">
        <v>41389</v>
      </c>
      <c r="B119" s="28" t="s">
        <v>287</v>
      </c>
      <c r="C119" s="29" t="s">
        <v>198</v>
      </c>
      <c r="D119" s="30">
        <v>41365</v>
      </c>
      <c r="E119" s="31">
        <v>41101</v>
      </c>
      <c r="F119" s="30" t="s">
        <v>23</v>
      </c>
      <c r="G119" s="32" t="s">
        <v>133</v>
      </c>
      <c r="H119" s="33">
        <v>25</v>
      </c>
      <c r="I119" s="34">
        <v>1400</v>
      </c>
      <c r="J119" s="35">
        <v>1210</v>
      </c>
      <c r="K119" s="36">
        <f>IF(J119&gt;0,H119*J119,H119*I119)</f>
        <v>30250</v>
      </c>
      <c r="L119" s="37" t="s">
        <v>25</v>
      </c>
      <c r="M119" s="38" t="s">
        <v>35</v>
      </c>
      <c r="N119" s="39">
        <v>30240</v>
      </c>
      <c r="O119" s="40">
        <v>0.125</v>
      </c>
      <c r="P119" s="41"/>
      <c r="Q119" s="42">
        <f t="shared" si="20"/>
        <v>26460</v>
      </c>
      <c r="R119" s="43">
        <v>1116.5</v>
      </c>
      <c r="S119" s="44">
        <f t="shared" si="23"/>
        <v>6145.8739999999998</v>
      </c>
      <c r="T119" s="44">
        <f t="shared" si="21"/>
        <v>37502.373999999996</v>
      </c>
      <c r="U119" s="45"/>
      <c r="V119" s="41">
        <v>37502.370000000003</v>
      </c>
      <c r="W119" s="27">
        <v>41429</v>
      </c>
      <c r="X119" s="47" t="s">
        <v>36</v>
      </c>
      <c r="Y119" s="48">
        <f t="shared" si="22"/>
        <v>3.9999999935389496E-3</v>
      </c>
      <c r="Z119" s="82"/>
      <c r="AA119" s="50"/>
      <c r="AB119" s="51"/>
      <c r="AC119" s="52"/>
      <c r="AD119" s="52"/>
      <c r="AE119" s="52"/>
      <c r="AF119" s="52"/>
    </row>
    <row r="120" spans="1:32" s="52" customFormat="1" ht="25.5" customHeight="1">
      <c r="A120" s="27">
        <v>41415</v>
      </c>
      <c r="B120" s="28" t="s">
        <v>288</v>
      </c>
      <c r="C120" s="29" t="s">
        <v>198</v>
      </c>
      <c r="D120" s="30">
        <v>41395</v>
      </c>
      <c r="E120" s="31">
        <v>41415</v>
      </c>
      <c r="F120" s="30" t="s">
        <v>23</v>
      </c>
      <c r="G120" s="32" t="s">
        <v>132</v>
      </c>
      <c r="H120" s="33">
        <f>24/2</f>
        <v>12</v>
      </c>
      <c r="I120" s="34">
        <v>1400</v>
      </c>
      <c r="J120" s="35"/>
      <c r="K120" s="36">
        <f>IF(J120&gt;0,H120*J120,H120*I120)</f>
        <v>16800</v>
      </c>
      <c r="L120" s="50" t="s">
        <v>30</v>
      </c>
      <c r="M120" s="38" t="str">
        <f>IF(K120=N120,"ok","Dif")</f>
        <v>ok</v>
      </c>
      <c r="N120" s="39">
        <v>16800</v>
      </c>
      <c r="O120" s="40">
        <v>0.125</v>
      </c>
      <c r="P120" s="41"/>
      <c r="Q120" s="42">
        <f t="shared" si="20"/>
        <v>14700</v>
      </c>
      <c r="R120" s="43">
        <v>0</v>
      </c>
      <c r="S120" s="44">
        <f t="shared" si="23"/>
        <v>3292.8</v>
      </c>
      <c r="T120" s="44">
        <f t="shared" si="21"/>
        <v>20092.8</v>
      </c>
      <c r="U120" s="45"/>
      <c r="V120" s="41">
        <v>20092.8</v>
      </c>
      <c r="W120" s="27">
        <v>41428</v>
      </c>
      <c r="X120" s="47" t="s">
        <v>32</v>
      </c>
      <c r="Y120" s="48">
        <f t="shared" si="22"/>
        <v>0</v>
      </c>
      <c r="Z120" s="102"/>
      <c r="AA120" s="50"/>
      <c r="AB120" s="54"/>
      <c r="AC120" s="54"/>
      <c r="AF120" s="55"/>
    </row>
    <row r="121" spans="1:32" s="52" customFormat="1" ht="25.5" customHeight="1">
      <c r="A121" s="27"/>
      <c r="B121" s="28"/>
      <c r="C121" s="29" t="s">
        <v>198</v>
      </c>
      <c r="D121" s="30">
        <v>41548</v>
      </c>
      <c r="E121" s="31">
        <v>41415</v>
      </c>
      <c r="F121" s="30" t="s">
        <v>23</v>
      </c>
      <c r="G121" s="32" t="s">
        <v>132</v>
      </c>
      <c r="H121" s="33">
        <f>24/2</f>
        <v>12</v>
      </c>
      <c r="I121" s="34">
        <v>1400</v>
      </c>
      <c r="J121" s="35"/>
      <c r="K121" s="36">
        <f>IF(J121&gt;0,H121*J121,H121*I121)</f>
        <v>16800</v>
      </c>
      <c r="L121" s="50" t="s">
        <v>25</v>
      </c>
      <c r="M121" s="38" t="str">
        <f>IF(K121=N121,"ok","Dif")</f>
        <v>ok</v>
      </c>
      <c r="N121" s="39">
        <v>16800</v>
      </c>
      <c r="O121" s="40">
        <v>0.125</v>
      </c>
      <c r="P121" s="41"/>
      <c r="Q121" s="42">
        <f t="shared" si="20"/>
        <v>14700</v>
      </c>
      <c r="R121" s="43">
        <v>0</v>
      </c>
      <c r="S121" s="44">
        <f t="shared" si="23"/>
        <v>3292.8</v>
      </c>
      <c r="T121" s="44">
        <f t="shared" si="21"/>
        <v>20092.8</v>
      </c>
      <c r="U121" s="45"/>
      <c r="V121" s="41"/>
      <c r="W121" s="27"/>
      <c r="X121" s="47"/>
      <c r="Y121" s="48">
        <f t="shared" si="22"/>
        <v>20092.8</v>
      </c>
      <c r="Z121" s="102"/>
      <c r="AA121" s="50"/>
      <c r="AB121" s="54"/>
      <c r="AC121" s="54"/>
    </row>
    <row r="122" spans="1:32" s="52" customFormat="1" ht="25.5" customHeight="1">
      <c r="A122" s="27">
        <v>41213</v>
      </c>
      <c r="B122" s="28" t="s">
        <v>289</v>
      </c>
      <c r="C122" s="29" t="s">
        <v>199</v>
      </c>
      <c r="D122" s="30">
        <v>41183</v>
      </c>
      <c r="E122" s="31">
        <v>41085</v>
      </c>
      <c r="F122" s="30" t="s">
        <v>39</v>
      </c>
      <c r="G122" s="32" t="s">
        <v>137</v>
      </c>
      <c r="H122" s="33">
        <v>15.6</v>
      </c>
      <c r="I122" s="34">
        <v>800</v>
      </c>
      <c r="J122" s="35"/>
      <c r="K122" s="36">
        <f>IF(J122&gt;0,H122*J122,H122*I122)</f>
        <v>12480</v>
      </c>
      <c r="L122" s="37" t="s">
        <v>30</v>
      </c>
      <c r="M122" s="38" t="s">
        <v>35</v>
      </c>
      <c r="N122" s="39">
        <f>2500+2500+7500</f>
        <v>12500</v>
      </c>
      <c r="O122" s="40">
        <v>0.125</v>
      </c>
      <c r="P122" s="41"/>
      <c r="Q122" s="42">
        <f t="shared" si="20"/>
        <v>10937.5</v>
      </c>
      <c r="R122" s="43">
        <v>0</v>
      </c>
      <c r="S122" s="44">
        <f t="shared" si="23"/>
        <v>2450</v>
      </c>
      <c r="T122" s="44">
        <f t="shared" si="21"/>
        <v>14950</v>
      </c>
      <c r="U122" s="45"/>
      <c r="V122" s="41">
        <v>14950</v>
      </c>
      <c r="W122" s="27">
        <v>41243</v>
      </c>
      <c r="X122" s="47" t="s">
        <v>36</v>
      </c>
      <c r="Y122" s="48">
        <f t="shared" si="22"/>
        <v>0</v>
      </c>
      <c r="Z122" s="71"/>
      <c r="AA122" s="50"/>
      <c r="AB122" s="51"/>
      <c r="AF122" s="55"/>
    </row>
    <row r="123" spans="1:32" s="52" customFormat="1" ht="25.5" customHeight="1">
      <c r="A123" s="27">
        <v>41213</v>
      </c>
      <c r="B123" s="28" t="s">
        <v>290</v>
      </c>
      <c r="C123" s="29" t="s">
        <v>199</v>
      </c>
      <c r="D123" s="30">
        <v>41183</v>
      </c>
      <c r="E123" s="31">
        <v>41085</v>
      </c>
      <c r="F123" s="30" t="s">
        <v>39</v>
      </c>
      <c r="G123" s="32" t="s">
        <v>134</v>
      </c>
      <c r="H123" s="33">
        <v>6.25</v>
      </c>
      <c r="I123" s="34">
        <v>800</v>
      </c>
      <c r="J123" s="35"/>
      <c r="K123" s="36">
        <f>IF(J123&gt;0,H123*J123,H123*I123)</f>
        <v>5000</v>
      </c>
      <c r="L123" s="37" t="s">
        <v>30</v>
      </c>
      <c r="M123" s="38" t="str">
        <f>IF(K123=N123,"ok","Dif")</f>
        <v>ok</v>
      </c>
      <c r="N123" s="39">
        <v>5000</v>
      </c>
      <c r="O123" s="40">
        <v>0.125</v>
      </c>
      <c r="P123" s="41"/>
      <c r="Q123" s="42">
        <f t="shared" si="20"/>
        <v>4375</v>
      </c>
      <c r="R123" s="43">
        <v>0</v>
      </c>
      <c r="S123" s="44">
        <f t="shared" si="23"/>
        <v>980</v>
      </c>
      <c r="T123" s="44">
        <f t="shared" si="21"/>
        <v>5980</v>
      </c>
      <c r="U123" s="45"/>
      <c r="V123" s="46">
        <v>5980</v>
      </c>
      <c r="W123" s="27">
        <v>41243</v>
      </c>
      <c r="X123" s="47" t="s">
        <v>36</v>
      </c>
      <c r="Y123" s="48">
        <f t="shared" si="22"/>
        <v>0</v>
      </c>
      <c r="Z123" s="71"/>
      <c r="AA123" s="50"/>
      <c r="AB123" s="51"/>
      <c r="AF123" s="55"/>
    </row>
    <row r="124" spans="1:32" s="52" customFormat="1" ht="25.5" customHeight="1">
      <c r="A124" s="27"/>
      <c r="B124" s="50"/>
      <c r="C124" s="29" t="s">
        <v>199</v>
      </c>
      <c r="D124" s="30" t="s">
        <v>135</v>
      </c>
      <c r="E124" s="99" t="s">
        <v>136</v>
      </c>
      <c r="F124" s="30"/>
      <c r="G124" s="32" t="s">
        <v>134</v>
      </c>
      <c r="H124" s="99" t="s">
        <v>136</v>
      </c>
      <c r="I124" s="99" t="s">
        <v>136</v>
      </c>
      <c r="J124" s="99" t="s">
        <v>136</v>
      </c>
      <c r="K124" s="99" t="s">
        <v>136</v>
      </c>
      <c r="L124" s="37" t="s">
        <v>25</v>
      </c>
      <c r="M124" s="38" t="s">
        <v>35</v>
      </c>
      <c r="N124" s="39">
        <v>0</v>
      </c>
      <c r="O124" s="40">
        <v>0.125</v>
      </c>
      <c r="P124" s="41"/>
      <c r="Q124" s="42">
        <f t="shared" si="20"/>
        <v>0</v>
      </c>
      <c r="R124" s="43"/>
      <c r="S124" s="44">
        <f t="shared" si="23"/>
        <v>0</v>
      </c>
      <c r="T124" s="44">
        <f t="shared" si="21"/>
        <v>0</v>
      </c>
      <c r="U124" s="45"/>
      <c r="V124" s="46"/>
      <c r="W124" s="27"/>
      <c r="X124" s="47"/>
      <c r="Y124" s="48">
        <f t="shared" si="22"/>
        <v>0</v>
      </c>
      <c r="Z124" s="71"/>
      <c r="AA124" s="50"/>
      <c r="AB124" s="51"/>
      <c r="AF124" s="57"/>
    </row>
    <row r="125" spans="1:32" s="52" customFormat="1" ht="25.5" customHeight="1">
      <c r="A125" s="27"/>
      <c r="B125" s="50"/>
      <c r="C125" s="29" t="s">
        <v>199</v>
      </c>
      <c r="D125" s="103">
        <v>41518</v>
      </c>
      <c r="E125" s="99"/>
      <c r="F125" s="30" t="s">
        <v>39</v>
      </c>
      <c r="G125" s="32" t="s">
        <v>134</v>
      </c>
      <c r="H125" s="33">
        <v>6.25</v>
      </c>
      <c r="I125" s="34">
        <v>800</v>
      </c>
      <c r="J125" s="35"/>
      <c r="K125" s="36">
        <f t="shared" ref="K125:K149" si="24">IF(J125&gt;0,H125*J125,H125*I125)</f>
        <v>5000</v>
      </c>
      <c r="L125" s="37" t="s">
        <v>25</v>
      </c>
      <c r="M125" s="38" t="str">
        <f>IF(K125=N125,"ok","Dif")</f>
        <v>ok</v>
      </c>
      <c r="N125" s="39">
        <v>5000</v>
      </c>
      <c r="O125" s="40">
        <v>0.125</v>
      </c>
      <c r="P125" s="41"/>
      <c r="Q125" s="42">
        <f t="shared" si="20"/>
        <v>4375</v>
      </c>
      <c r="R125" s="43">
        <v>0</v>
      </c>
      <c r="S125" s="44">
        <f t="shared" si="23"/>
        <v>980</v>
      </c>
      <c r="T125" s="44">
        <f t="shared" si="21"/>
        <v>5980</v>
      </c>
      <c r="U125" s="45"/>
      <c r="V125" s="46"/>
      <c r="W125" s="27"/>
      <c r="X125" s="47"/>
      <c r="Y125" s="48">
        <f t="shared" si="22"/>
        <v>5980</v>
      </c>
      <c r="Z125" s="71"/>
      <c r="AA125" s="50"/>
      <c r="AB125" s="51"/>
      <c r="AF125" s="54"/>
    </row>
    <row r="126" spans="1:32" s="52" customFormat="1" ht="25.5" customHeight="1">
      <c r="A126" s="27"/>
      <c r="B126" s="50"/>
      <c r="C126" s="29" t="s">
        <v>199</v>
      </c>
      <c r="D126" s="30">
        <v>41548</v>
      </c>
      <c r="E126" s="31"/>
      <c r="F126" s="30"/>
      <c r="G126" s="32" t="s">
        <v>134</v>
      </c>
      <c r="H126" s="33">
        <v>6.25</v>
      </c>
      <c r="I126" s="34">
        <v>800</v>
      </c>
      <c r="J126" s="35"/>
      <c r="K126" s="36">
        <f t="shared" si="24"/>
        <v>5000</v>
      </c>
      <c r="L126" s="37" t="s">
        <v>30</v>
      </c>
      <c r="M126" s="38" t="str">
        <f>IF(K126=N126,"ok","Dif")</f>
        <v>ok</v>
      </c>
      <c r="N126" s="39">
        <v>5000</v>
      </c>
      <c r="O126" s="40">
        <v>0.125</v>
      </c>
      <c r="P126" s="41"/>
      <c r="Q126" s="42">
        <f t="shared" si="20"/>
        <v>4375</v>
      </c>
      <c r="R126" s="43"/>
      <c r="S126" s="44">
        <f t="shared" si="23"/>
        <v>980</v>
      </c>
      <c r="T126" s="44">
        <f t="shared" si="21"/>
        <v>5980</v>
      </c>
      <c r="U126" s="45"/>
      <c r="V126" s="46"/>
      <c r="W126" s="27"/>
      <c r="X126" s="47"/>
      <c r="Y126" s="48">
        <f t="shared" si="22"/>
        <v>5980</v>
      </c>
      <c r="Z126" s="71"/>
      <c r="AA126" s="50"/>
      <c r="AB126" s="51"/>
      <c r="AF126" s="54"/>
    </row>
    <row r="127" spans="1:32" s="52" customFormat="1" ht="25.5" customHeight="1">
      <c r="A127" s="27"/>
      <c r="B127" s="50"/>
      <c r="C127" s="29" t="s">
        <v>199</v>
      </c>
      <c r="D127" s="30">
        <v>41518</v>
      </c>
      <c r="E127" s="31"/>
      <c r="F127" s="30" t="s">
        <v>39</v>
      </c>
      <c r="G127" s="32" t="s">
        <v>137</v>
      </c>
      <c r="H127" s="33">
        <v>15.6</v>
      </c>
      <c r="I127" s="34">
        <v>800</v>
      </c>
      <c r="J127" s="35"/>
      <c r="K127" s="36">
        <f t="shared" si="24"/>
        <v>12480</v>
      </c>
      <c r="L127" s="37" t="s">
        <v>25</v>
      </c>
      <c r="M127" s="38" t="s">
        <v>35</v>
      </c>
      <c r="N127" s="39">
        <v>12500</v>
      </c>
      <c r="O127" s="40">
        <v>0.125</v>
      </c>
      <c r="P127" s="41"/>
      <c r="Q127" s="42">
        <f t="shared" si="20"/>
        <v>10937.5</v>
      </c>
      <c r="R127" s="43">
        <v>0</v>
      </c>
      <c r="S127" s="44">
        <f t="shared" si="23"/>
        <v>2450</v>
      </c>
      <c r="T127" s="44">
        <f t="shared" si="21"/>
        <v>14950</v>
      </c>
      <c r="U127" s="45"/>
      <c r="V127" s="41"/>
      <c r="W127" s="27"/>
      <c r="X127" s="47"/>
      <c r="Y127" s="48">
        <f t="shared" si="22"/>
        <v>14950</v>
      </c>
      <c r="Z127" s="71"/>
      <c r="AA127" s="50"/>
      <c r="AB127" s="51"/>
      <c r="AF127" s="56"/>
    </row>
    <row r="128" spans="1:32" s="52" customFormat="1" ht="25.5" customHeight="1">
      <c r="A128" s="27">
        <v>41239</v>
      </c>
      <c r="B128" s="28" t="s">
        <v>291</v>
      </c>
      <c r="C128" s="29" t="s">
        <v>200</v>
      </c>
      <c r="D128" s="30">
        <v>41214</v>
      </c>
      <c r="E128" s="31" t="s">
        <v>52</v>
      </c>
      <c r="F128" s="30" t="s">
        <v>23</v>
      </c>
      <c r="G128" s="32" t="s">
        <v>138</v>
      </c>
      <c r="H128" s="33">
        <f>19/2</f>
        <v>9.5</v>
      </c>
      <c r="I128" s="34">
        <v>1400</v>
      </c>
      <c r="J128" s="35"/>
      <c r="K128" s="36">
        <f t="shared" si="24"/>
        <v>13300</v>
      </c>
      <c r="L128" s="94" t="s">
        <v>139</v>
      </c>
      <c r="M128" s="38" t="str">
        <f t="shared" ref="M128:M149" si="25">IF(K128=N128,"ok","Dif")</f>
        <v>ok</v>
      </c>
      <c r="N128" s="39">
        <v>13300</v>
      </c>
      <c r="O128" s="40">
        <v>0.125</v>
      </c>
      <c r="P128" s="41"/>
      <c r="Q128" s="42">
        <f t="shared" si="20"/>
        <v>11637.5</v>
      </c>
      <c r="R128" s="43">
        <v>0</v>
      </c>
      <c r="S128" s="44">
        <f t="shared" si="23"/>
        <v>2606.8000000000002</v>
      </c>
      <c r="T128" s="44">
        <f t="shared" si="21"/>
        <v>15906.8</v>
      </c>
      <c r="U128" s="45"/>
      <c r="V128" s="46">
        <v>15906.8</v>
      </c>
      <c r="W128" s="27">
        <v>41297</v>
      </c>
      <c r="X128" s="94" t="s">
        <v>55</v>
      </c>
      <c r="Y128" s="48">
        <f t="shared" si="22"/>
        <v>0</v>
      </c>
      <c r="Z128" s="71"/>
      <c r="AA128" s="50"/>
      <c r="AB128" s="51"/>
      <c r="AF128" s="55"/>
    </row>
    <row r="129" spans="1:32" s="52" customFormat="1" ht="25.5" customHeight="1">
      <c r="A129" s="27">
        <v>41334</v>
      </c>
      <c r="B129" s="28" t="s">
        <v>292</v>
      </c>
      <c r="C129" s="29" t="s">
        <v>200</v>
      </c>
      <c r="D129" s="30">
        <v>41334</v>
      </c>
      <c r="E129" s="31" t="s">
        <v>52</v>
      </c>
      <c r="F129" s="30" t="s">
        <v>23</v>
      </c>
      <c r="G129" s="32" t="s">
        <v>138</v>
      </c>
      <c r="H129" s="69">
        <f>-19/2</f>
        <v>-9.5</v>
      </c>
      <c r="I129" s="34">
        <v>1400</v>
      </c>
      <c r="J129" s="35"/>
      <c r="K129" s="46">
        <f t="shared" si="24"/>
        <v>-13300</v>
      </c>
      <c r="L129" s="37" t="s">
        <v>44</v>
      </c>
      <c r="M129" s="38" t="str">
        <f t="shared" si="25"/>
        <v>ok</v>
      </c>
      <c r="N129" s="39">
        <f>-9800-3500</f>
        <v>-13300</v>
      </c>
      <c r="O129" s="40">
        <v>0.125</v>
      </c>
      <c r="P129" s="41"/>
      <c r="Q129" s="42">
        <f t="shared" si="20"/>
        <v>-11637.5</v>
      </c>
      <c r="R129" s="43">
        <v>0</v>
      </c>
      <c r="S129" s="44">
        <f t="shared" si="23"/>
        <v>-2606.8000000000002</v>
      </c>
      <c r="T129" s="44">
        <f t="shared" si="21"/>
        <v>-15906.8</v>
      </c>
      <c r="U129" s="45"/>
      <c r="V129" s="46">
        <v>-15906.8</v>
      </c>
      <c r="W129" s="27">
        <v>41334</v>
      </c>
      <c r="X129" s="70" t="s">
        <v>56</v>
      </c>
      <c r="Y129" s="48">
        <f t="shared" si="22"/>
        <v>0</v>
      </c>
      <c r="Z129" s="71"/>
      <c r="AA129" s="50"/>
      <c r="AB129" s="51"/>
    </row>
    <row r="130" spans="1:32" s="52" customFormat="1" ht="25.5" customHeight="1">
      <c r="A130" s="27">
        <v>41226</v>
      </c>
      <c r="B130" s="28" t="s">
        <v>232</v>
      </c>
      <c r="C130" s="29" t="s">
        <v>201</v>
      </c>
      <c r="D130" s="30">
        <v>41214</v>
      </c>
      <c r="E130" s="31">
        <v>41226</v>
      </c>
      <c r="F130" s="30" t="s">
        <v>23</v>
      </c>
      <c r="G130" s="32" t="s">
        <v>38</v>
      </c>
      <c r="H130" s="33">
        <f>10/2</f>
        <v>5</v>
      </c>
      <c r="I130" s="34">
        <v>1300</v>
      </c>
      <c r="J130" s="35"/>
      <c r="K130" s="36">
        <f t="shared" si="24"/>
        <v>6500</v>
      </c>
      <c r="L130" s="37" t="s">
        <v>30</v>
      </c>
      <c r="M130" s="38" t="str">
        <f t="shared" si="25"/>
        <v>ok</v>
      </c>
      <c r="N130" s="39">
        <v>6500</v>
      </c>
      <c r="O130" s="40">
        <v>0.125</v>
      </c>
      <c r="P130" s="41"/>
      <c r="Q130" s="42">
        <f t="shared" si="20"/>
        <v>5687.5</v>
      </c>
      <c r="R130" s="43">
        <v>1000</v>
      </c>
      <c r="S130" s="44">
        <f>(N130+R130)*8.5%</f>
        <v>637.5</v>
      </c>
      <c r="T130" s="44">
        <f t="shared" si="21"/>
        <v>8137.5</v>
      </c>
      <c r="U130" s="45"/>
      <c r="V130" s="41">
        <v>8137.5</v>
      </c>
      <c r="W130" s="27">
        <v>41352</v>
      </c>
      <c r="X130" s="47" t="s">
        <v>36</v>
      </c>
      <c r="Y130" s="48">
        <f t="shared" si="22"/>
        <v>0</v>
      </c>
      <c r="Z130" s="49" t="s">
        <v>37</v>
      </c>
      <c r="AA130" s="50"/>
      <c r="AB130" s="51"/>
      <c r="AD130" s="56"/>
      <c r="AE130" s="56"/>
      <c r="AF130" s="57"/>
    </row>
    <row r="131" spans="1:32" s="56" customFormat="1" ht="25.5" customHeight="1">
      <c r="A131" s="27"/>
      <c r="B131" s="28"/>
      <c r="C131" s="29" t="s">
        <v>201</v>
      </c>
      <c r="D131" s="30">
        <v>41426</v>
      </c>
      <c r="E131" s="31">
        <v>41226</v>
      </c>
      <c r="F131" s="30" t="s">
        <v>23</v>
      </c>
      <c r="G131" s="32" t="s">
        <v>38</v>
      </c>
      <c r="H131" s="33">
        <f>10/2</f>
        <v>5</v>
      </c>
      <c r="I131" s="34">
        <v>1300</v>
      </c>
      <c r="J131" s="35"/>
      <c r="K131" s="36">
        <f t="shared" si="24"/>
        <v>6500</v>
      </c>
      <c r="L131" s="37" t="s">
        <v>25</v>
      </c>
      <c r="M131" s="38" t="str">
        <f t="shared" si="25"/>
        <v>ok</v>
      </c>
      <c r="N131" s="39">
        <v>6500</v>
      </c>
      <c r="O131" s="40">
        <v>0.125</v>
      </c>
      <c r="P131" s="41"/>
      <c r="Q131" s="42">
        <f t="shared" ref="Q131:Q150" si="26">N131-((N131*O131)+P131)</f>
        <v>5687.5</v>
      </c>
      <c r="R131" s="43">
        <v>1000</v>
      </c>
      <c r="S131" s="44">
        <f>(N131+R131)*8.5%</f>
        <v>637.5</v>
      </c>
      <c r="T131" s="44">
        <f t="shared" ref="T131:T150" si="27">S131+N131+R131</f>
        <v>8137.5</v>
      </c>
      <c r="U131" s="45"/>
      <c r="V131" s="41"/>
      <c r="W131" s="27"/>
      <c r="X131" s="47"/>
      <c r="Y131" s="48">
        <f t="shared" ref="Y131:Y150" si="28">T131-V131</f>
        <v>8137.5</v>
      </c>
      <c r="Z131" s="49" t="s">
        <v>37</v>
      </c>
      <c r="AA131" s="50"/>
      <c r="AB131" s="51"/>
      <c r="AC131" s="52"/>
      <c r="AF131" s="52"/>
    </row>
    <row r="132" spans="1:32" s="56" customFormat="1" ht="25.5" customHeight="1">
      <c r="A132" s="27">
        <v>41311</v>
      </c>
      <c r="B132" s="28" t="s">
        <v>293</v>
      </c>
      <c r="C132" s="29" t="s">
        <v>202</v>
      </c>
      <c r="D132" s="30">
        <v>41306</v>
      </c>
      <c r="E132" s="31">
        <v>41311</v>
      </c>
      <c r="F132" s="30" t="s">
        <v>23</v>
      </c>
      <c r="G132" s="32" t="s">
        <v>126</v>
      </c>
      <c r="H132" s="33">
        <f>16/2</f>
        <v>8</v>
      </c>
      <c r="I132" s="34">
        <v>1400</v>
      </c>
      <c r="J132" s="35"/>
      <c r="K132" s="36">
        <f t="shared" si="24"/>
        <v>11200</v>
      </c>
      <c r="L132" s="37" t="s">
        <v>30</v>
      </c>
      <c r="M132" s="38" t="str">
        <f t="shared" si="25"/>
        <v>ok</v>
      </c>
      <c r="N132" s="39">
        <v>11200</v>
      </c>
      <c r="O132" s="40">
        <v>0.125</v>
      </c>
      <c r="P132" s="87"/>
      <c r="Q132" s="42">
        <f t="shared" si="26"/>
        <v>9800</v>
      </c>
      <c r="R132" s="43">
        <v>0</v>
      </c>
      <c r="S132" s="44">
        <f t="shared" ref="S132:S150" si="29">(N132+R132)*19.6%</f>
        <v>2195.2000000000003</v>
      </c>
      <c r="T132" s="44">
        <f t="shared" si="27"/>
        <v>13395.2</v>
      </c>
      <c r="U132" s="45"/>
      <c r="V132" s="46">
        <v>13395.2</v>
      </c>
      <c r="W132" s="27">
        <v>41417</v>
      </c>
      <c r="X132" s="47" t="s">
        <v>36</v>
      </c>
      <c r="Y132" s="48">
        <f t="shared" si="28"/>
        <v>0</v>
      </c>
      <c r="Z132" s="49"/>
      <c r="AA132" s="50"/>
      <c r="AB132" s="59"/>
      <c r="AC132" s="55"/>
      <c r="AF132" s="57"/>
    </row>
    <row r="133" spans="1:32" s="56" customFormat="1" ht="25.5" customHeight="1">
      <c r="A133" s="27">
        <v>41319</v>
      </c>
      <c r="B133" s="28" t="s">
        <v>294</v>
      </c>
      <c r="C133" s="29" t="s">
        <v>202</v>
      </c>
      <c r="D133" s="30">
        <v>41306</v>
      </c>
      <c r="E133" s="31">
        <v>40955</v>
      </c>
      <c r="F133" s="30" t="s">
        <v>23</v>
      </c>
      <c r="G133" s="32" t="s">
        <v>98</v>
      </c>
      <c r="H133" s="33">
        <v>5</v>
      </c>
      <c r="I133" s="34">
        <v>1300</v>
      </c>
      <c r="J133" s="35"/>
      <c r="K133" s="36">
        <f t="shared" si="24"/>
        <v>6500</v>
      </c>
      <c r="L133" s="37" t="s">
        <v>25</v>
      </c>
      <c r="M133" s="38" t="str">
        <f t="shared" si="25"/>
        <v>ok</v>
      </c>
      <c r="N133" s="39">
        <v>6500</v>
      </c>
      <c r="O133" s="40">
        <v>0.125</v>
      </c>
      <c r="P133" s="41"/>
      <c r="Q133" s="42">
        <f t="shared" si="26"/>
        <v>5687.5</v>
      </c>
      <c r="R133" s="43">
        <v>325</v>
      </c>
      <c r="S133" s="44">
        <f t="shared" si="29"/>
        <v>1337.7</v>
      </c>
      <c r="T133" s="44">
        <f t="shared" si="27"/>
        <v>8162.7</v>
      </c>
      <c r="U133" s="45"/>
      <c r="V133" s="46">
        <v>8162.7</v>
      </c>
      <c r="W133" s="27">
        <v>41346</v>
      </c>
      <c r="X133" s="47" t="s">
        <v>36</v>
      </c>
      <c r="Y133" s="48">
        <f t="shared" si="28"/>
        <v>0</v>
      </c>
      <c r="Z133" s="71"/>
      <c r="AA133" s="50"/>
      <c r="AB133" s="51"/>
      <c r="AC133" s="52"/>
      <c r="AD133" s="52"/>
      <c r="AE133" s="52"/>
      <c r="AF133" s="57"/>
    </row>
    <row r="134" spans="1:32" s="56" customFormat="1" ht="25.5" customHeight="1">
      <c r="A134" s="27"/>
      <c r="B134" s="28"/>
      <c r="C134" s="29" t="s">
        <v>202</v>
      </c>
      <c r="D134" s="30">
        <v>41518</v>
      </c>
      <c r="E134" s="31">
        <v>41311</v>
      </c>
      <c r="F134" s="30" t="s">
        <v>23</v>
      </c>
      <c r="G134" s="32" t="s">
        <v>126</v>
      </c>
      <c r="H134" s="33">
        <v>8</v>
      </c>
      <c r="I134" s="34">
        <v>1400</v>
      </c>
      <c r="J134" s="35"/>
      <c r="K134" s="36">
        <f t="shared" si="24"/>
        <v>11200</v>
      </c>
      <c r="L134" s="37" t="s">
        <v>25</v>
      </c>
      <c r="M134" s="38" t="str">
        <f t="shared" si="25"/>
        <v>ok</v>
      </c>
      <c r="N134" s="39">
        <v>11200</v>
      </c>
      <c r="O134" s="40">
        <v>0.125</v>
      </c>
      <c r="P134" s="87"/>
      <c r="Q134" s="42">
        <f t="shared" si="26"/>
        <v>9800</v>
      </c>
      <c r="R134" s="43">
        <v>0</v>
      </c>
      <c r="S134" s="44">
        <f t="shared" si="29"/>
        <v>2195.2000000000003</v>
      </c>
      <c r="T134" s="44">
        <f t="shared" si="27"/>
        <v>13395.2</v>
      </c>
      <c r="U134" s="45"/>
      <c r="V134" s="46"/>
      <c r="W134" s="27"/>
      <c r="X134" s="47"/>
      <c r="Y134" s="48">
        <f t="shared" si="28"/>
        <v>13395.2</v>
      </c>
      <c r="Z134" s="49"/>
      <c r="AA134" s="50"/>
      <c r="AB134" s="59"/>
      <c r="AC134" s="55"/>
      <c r="AF134" s="52"/>
    </row>
    <row r="135" spans="1:32" s="52" customFormat="1" ht="25.5" customHeight="1">
      <c r="A135" s="27">
        <v>41208</v>
      </c>
      <c r="B135" s="28" t="s">
        <v>295</v>
      </c>
      <c r="C135" s="29" t="s">
        <v>203</v>
      </c>
      <c r="D135" s="30">
        <v>41183</v>
      </c>
      <c r="E135" s="31"/>
      <c r="F135" s="30"/>
      <c r="G135" s="32" t="s">
        <v>140</v>
      </c>
      <c r="H135" s="33">
        <v>5</v>
      </c>
      <c r="I135" s="34">
        <v>1340</v>
      </c>
      <c r="J135" s="35"/>
      <c r="K135" s="36">
        <f t="shared" si="24"/>
        <v>6700</v>
      </c>
      <c r="L135" s="37" t="s">
        <v>141</v>
      </c>
      <c r="M135" s="38" t="str">
        <f t="shared" si="25"/>
        <v>ok</v>
      </c>
      <c r="N135" s="39">
        <v>6700</v>
      </c>
      <c r="O135" s="89">
        <v>0.64</v>
      </c>
      <c r="P135" s="41"/>
      <c r="Q135" s="42">
        <f t="shared" si="26"/>
        <v>2412</v>
      </c>
      <c r="R135" s="43">
        <v>0</v>
      </c>
      <c r="S135" s="44">
        <f t="shared" si="29"/>
        <v>1313.2</v>
      </c>
      <c r="T135" s="44">
        <f t="shared" si="27"/>
        <v>8013.2</v>
      </c>
      <c r="U135" s="45"/>
      <c r="V135" s="46">
        <v>8013.2</v>
      </c>
      <c r="W135" s="27">
        <v>41236</v>
      </c>
      <c r="X135" s="47" t="s">
        <v>36</v>
      </c>
      <c r="Y135" s="48">
        <f t="shared" si="28"/>
        <v>0</v>
      </c>
      <c r="Z135" s="73"/>
      <c r="AA135" s="50"/>
      <c r="AB135" s="51"/>
      <c r="AF135" s="57"/>
    </row>
    <row r="136" spans="1:32" s="52" customFormat="1" ht="25.5" customHeight="1">
      <c r="A136" s="27">
        <v>41311</v>
      </c>
      <c r="B136" s="28" t="s">
        <v>296</v>
      </c>
      <c r="C136" s="29" t="s">
        <v>203</v>
      </c>
      <c r="D136" s="30">
        <v>41306</v>
      </c>
      <c r="E136" s="31">
        <v>41311</v>
      </c>
      <c r="F136" s="30" t="s">
        <v>39</v>
      </c>
      <c r="G136" s="32" t="s">
        <v>144</v>
      </c>
      <c r="H136" s="33">
        <f>21.5/2</f>
        <v>10.75</v>
      </c>
      <c r="I136" s="34">
        <v>1360</v>
      </c>
      <c r="J136" s="35"/>
      <c r="K136" s="36">
        <f t="shared" si="24"/>
        <v>14620</v>
      </c>
      <c r="L136" s="50" t="s">
        <v>30</v>
      </c>
      <c r="M136" s="38" t="str">
        <f t="shared" si="25"/>
        <v>ok</v>
      </c>
      <c r="N136" s="39">
        <v>14620</v>
      </c>
      <c r="O136" s="89">
        <v>0.64</v>
      </c>
      <c r="P136" s="41"/>
      <c r="Q136" s="42">
        <f t="shared" si="26"/>
        <v>5263.1999999999989</v>
      </c>
      <c r="R136" s="43">
        <v>0</v>
      </c>
      <c r="S136" s="44">
        <f t="shared" si="29"/>
        <v>2865.52</v>
      </c>
      <c r="T136" s="44">
        <f t="shared" si="27"/>
        <v>17485.52</v>
      </c>
      <c r="U136" s="45"/>
      <c r="V136" s="41">
        <v>17485.52</v>
      </c>
      <c r="W136" s="27">
        <v>41361</v>
      </c>
      <c r="X136" s="47" t="s">
        <v>36</v>
      </c>
      <c r="Y136" s="48">
        <f t="shared" si="28"/>
        <v>0</v>
      </c>
      <c r="Z136" s="71"/>
      <c r="AA136" s="50"/>
      <c r="AB136" s="72"/>
      <c r="AC136" s="57"/>
      <c r="AF136" s="57"/>
    </row>
    <row r="137" spans="1:32" s="52" customFormat="1" ht="25.5" customHeight="1">
      <c r="A137" s="27">
        <v>41318</v>
      </c>
      <c r="B137" s="28" t="s">
        <v>297</v>
      </c>
      <c r="C137" s="29" t="s">
        <v>203</v>
      </c>
      <c r="D137" s="30">
        <v>41306</v>
      </c>
      <c r="E137" s="31"/>
      <c r="F137" s="30"/>
      <c r="G137" s="32" t="s">
        <v>140</v>
      </c>
      <c r="H137" s="33">
        <v>5</v>
      </c>
      <c r="I137" s="34">
        <v>1340</v>
      </c>
      <c r="J137" s="35"/>
      <c r="K137" s="36">
        <f t="shared" si="24"/>
        <v>6700</v>
      </c>
      <c r="L137" s="50" t="s">
        <v>142</v>
      </c>
      <c r="M137" s="38" t="str">
        <f t="shared" si="25"/>
        <v>ok</v>
      </c>
      <c r="N137" s="39">
        <v>6700</v>
      </c>
      <c r="O137" s="89">
        <v>0.64</v>
      </c>
      <c r="P137" s="41"/>
      <c r="Q137" s="42">
        <f t="shared" si="26"/>
        <v>2412</v>
      </c>
      <c r="R137" s="43">
        <v>1390.84</v>
      </c>
      <c r="S137" s="44">
        <f t="shared" si="29"/>
        <v>1585.8046400000001</v>
      </c>
      <c r="T137" s="44">
        <f t="shared" si="27"/>
        <v>9676.6446400000004</v>
      </c>
      <c r="U137" s="45"/>
      <c r="V137" s="46">
        <v>9676.64</v>
      </c>
      <c r="W137" s="27">
        <v>41361</v>
      </c>
      <c r="X137" s="47" t="s">
        <v>36</v>
      </c>
      <c r="Y137" s="48">
        <f t="shared" si="28"/>
        <v>4.640000001018052E-3</v>
      </c>
      <c r="Z137" s="49"/>
      <c r="AA137" s="50"/>
      <c r="AB137" s="51"/>
      <c r="AD137" s="56"/>
      <c r="AE137" s="56"/>
    </row>
    <row r="138" spans="1:32" s="56" customFormat="1" ht="25.5" customHeight="1">
      <c r="A138" s="27">
        <v>41351</v>
      </c>
      <c r="B138" s="28" t="s">
        <v>298</v>
      </c>
      <c r="C138" s="29" t="s">
        <v>203</v>
      </c>
      <c r="D138" s="30">
        <v>41334</v>
      </c>
      <c r="E138" s="31">
        <v>41311</v>
      </c>
      <c r="F138" s="30" t="s">
        <v>39</v>
      </c>
      <c r="G138" s="32" t="s">
        <v>143</v>
      </c>
      <c r="H138" s="33">
        <f>21.5/2</f>
        <v>10.75</v>
      </c>
      <c r="I138" s="34">
        <v>1360</v>
      </c>
      <c r="J138" s="35"/>
      <c r="K138" s="36">
        <f t="shared" si="24"/>
        <v>14620</v>
      </c>
      <c r="L138" s="37" t="s">
        <v>25</v>
      </c>
      <c r="M138" s="38" t="str">
        <f t="shared" si="25"/>
        <v>ok</v>
      </c>
      <c r="N138" s="39">
        <v>14620</v>
      </c>
      <c r="O138" s="89">
        <v>0.64</v>
      </c>
      <c r="P138" s="41"/>
      <c r="Q138" s="42">
        <f t="shared" si="26"/>
        <v>5263.1999999999989</v>
      </c>
      <c r="R138" s="43">
        <v>1266.58</v>
      </c>
      <c r="S138" s="44">
        <f t="shared" si="29"/>
        <v>3113.7696799999999</v>
      </c>
      <c r="T138" s="44">
        <f t="shared" si="27"/>
        <v>19000.349679999999</v>
      </c>
      <c r="U138" s="45"/>
      <c r="V138" s="46">
        <v>19000.349999999999</v>
      </c>
      <c r="W138" s="27">
        <v>41393</v>
      </c>
      <c r="X138" s="47" t="s">
        <v>36</v>
      </c>
      <c r="Y138" s="48">
        <f t="shared" si="28"/>
        <v>-3.1999999919207767E-4</v>
      </c>
      <c r="Z138" s="28"/>
      <c r="AA138" s="50"/>
      <c r="AB138" s="54"/>
      <c r="AC138" s="54"/>
      <c r="AD138" s="54"/>
      <c r="AE138" s="54"/>
      <c r="AF138" s="52"/>
    </row>
    <row r="139" spans="1:32" s="54" customFormat="1" ht="25.5" customHeight="1">
      <c r="A139" s="27"/>
      <c r="B139" s="28"/>
      <c r="C139" s="29" t="s">
        <v>203</v>
      </c>
      <c r="D139" s="30">
        <v>41548</v>
      </c>
      <c r="E139" s="31" t="s">
        <v>145</v>
      </c>
      <c r="F139" s="30"/>
      <c r="G139" s="32" t="s">
        <v>146</v>
      </c>
      <c r="H139" s="33">
        <f>7/2</f>
        <v>3.5</v>
      </c>
      <c r="I139" s="34">
        <v>1400</v>
      </c>
      <c r="J139" s="35"/>
      <c r="K139" s="36">
        <f t="shared" si="24"/>
        <v>4900</v>
      </c>
      <c r="L139" s="37" t="s">
        <v>30</v>
      </c>
      <c r="M139" s="38" t="str">
        <f t="shared" si="25"/>
        <v>ok</v>
      </c>
      <c r="N139" s="39">
        <f>9800/2</f>
        <v>4900</v>
      </c>
      <c r="O139" s="89">
        <v>0.64</v>
      </c>
      <c r="P139" s="41"/>
      <c r="Q139" s="42">
        <f t="shared" si="26"/>
        <v>1764</v>
      </c>
      <c r="R139" s="43">
        <v>1267.58</v>
      </c>
      <c r="S139" s="44">
        <f t="shared" si="29"/>
        <v>1208.8456800000001</v>
      </c>
      <c r="T139" s="44">
        <f t="shared" si="27"/>
        <v>7376.4256800000003</v>
      </c>
      <c r="U139" s="45"/>
      <c r="V139" s="46"/>
      <c r="W139" s="27"/>
      <c r="X139" s="47"/>
      <c r="Y139" s="48">
        <f t="shared" si="28"/>
        <v>7376.4256800000003</v>
      </c>
      <c r="Z139" s="28"/>
      <c r="AA139" s="50"/>
      <c r="AF139" s="52"/>
    </row>
    <row r="140" spans="1:32" s="54" customFormat="1" ht="25.5" customHeight="1">
      <c r="A140" s="27"/>
      <c r="B140" s="28"/>
      <c r="C140" s="29" t="s">
        <v>203</v>
      </c>
      <c r="D140" s="30">
        <v>41609</v>
      </c>
      <c r="E140" s="31" t="s">
        <v>145</v>
      </c>
      <c r="F140" s="30"/>
      <c r="G140" s="32" t="s">
        <v>146</v>
      </c>
      <c r="H140" s="33">
        <f>7/2</f>
        <v>3.5</v>
      </c>
      <c r="I140" s="34">
        <v>1400</v>
      </c>
      <c r="J140" s="35"/>
      <c r="K140" s="36">
        <f t="shared" si="24"/>
        <v>4900</v>
      </c>
      <c r="L140" s="37" t="s">
        <v>25</v>
      </c>
      <c r="M140" s="38" t="str">
        <f t="shared" si="25"/>
        <v>ok</v>
      </c>
      <c r="N140" s="39">
        <v>4900</v>
      </c>
      <c r="O140" s="89">
        <v>0.64</v>
      </c>
      <c r="P140" s="41"/>
      <c r="Q140" s="42">
        <f t="shared" si="26"/>
        <v>1764</v>
      </c>
      <c r="R140" s="43">
        <v>1268.58</v>
      </c>
      <c r="S140" s="44">
        <f t="shared" si="29"/>
        <v>1209.04168</v>
      </c>
      <c r="T140" s="44">
        <f t="shared" si="27"/>
        <v>7377.6216800000002</v>
      </c>
      <c r="U140" s="45"/>
      <c r="V140" s="46"/>
      <c r="W140" s="27"/>
      <c r="X140" s="47"/>
      <c r="Y140" s="48">
        <f t="shared" si="28"/>
        <v>7377.6216800000002</v>
      </c>
      <c r="Z140" s="28"/>
      <c r="AA140" s="50"/>
      <c r="AF140" s="52"/>
    </row>
    <row r="141" spans="1:32" s="54" customFormat="1" ht="25.5" customHeight="1">
      <c r="A141" s="27">
        <v>41213</v>
      </c>
      <c r="B141" s="28" t="s">
        <v>299</v>
      </c>
      <c r="C141" s="29" t="s">
        <v>204</v>
      </c>
      <c r="D141" s="30">
        <v>41183</v>
      </c>
      <c r="E141" s="31">
        <v>41069</v>
      </c>
      <c r="F141" s="30" t="s">
        <v>23</v>
      </c>
      <c r="G141" s="32" t="s">
        <v>118</v>
      </c>
      <c r="H141" s="33">
        <v>12.5</v>
      </c>
      <c r="I141" s="34">
        <v>1400</v>
      </c>
      <c r="J141" s="35"/>
      <c r="K141" s="36">
        <f t="shared" si="24"/>
        <v>17500</v>
      </c>
      <c r="L141" s="37" t="s">
        <v>25</v>
      </c>
      <c r="M141" s="38" t="str">
        <f t="shared" si="25"/>
        <v>ok</v>
      </c>
      <c r="N141" s="39">
        <v>17500</v>
      </c>
      <c r="O141" s="40">
        <v>0.125</v>
      </c>
      <c r="P141" s="41"/>
      <c r="Q141" s="42">
        <f t="shared" si="26"/>
        <v>15312.5</v>
      </c>
      <c r="R141" s="43">
        <v>742.94</v>
      </c>
      <c r="S141" s="44">
        <f t="shared" si="29"/>
        <v>3575.6162399999998</v>
      </c>
      <c r="T141" s="44">
        <f t="shared" si="27"/>
        <v>21818.556239999998</v>
      </c>
      <c r="U141" s="45"/>
      <c r="V141" s="41">
        <v>21818.560000000001</v>
      </c>
      <c r="W141" s="27">
        <v>41247</v>
      </c>
      <c r="X141" s="47" t="s">
        <v>36</v>
      </c>
      <c r="Y141" s="48">
        <f t="shared" si="28"/>
        <v>-3.7600000032398384E-3</v>
      </c>
      <c r="Z141" s="71"/>
      <c r="AA141" s="50"/>
      <c r="AB141" s="51"/>
      <c r="AC141" s="52"/>
      <c r="AD141" s="56"/>
      <c r="AE141" s="56"/>
      <c r="AF141" s="52"/>
    </row>
    <row r="142" spans="1:32" s="56" customFormat="1" ht="25.5" customHeight="1">
      <c r="A142" s="27">
        <v>41304</v>
      </c>
      <c r="B142" s="28" t="s">
        <v>300</v>
      </c>
      <c r="C142" s="29" t="s">
        <v>204</v>
      </c>
      <c r="D142" s="30">
        <v>41275</v>
      </c>
      <c r="E142" s="31" t="s">
        <v>150</v>
      </c>
      <c r="F142" s="30"/>
      <c r="G142" s="32" t="s">
        <v>151</v>
      </c>
      <c r="H142" s="33">
        <v>7</v>
      </c>
      <c r="I142" s="34">
        <v>1400</v>
      </c>
      <c r="J142" s="35"/>
      <c r="K142" s="36">
        <f t="shared" si="24"/>
        <v>9800</v>
      </c>
      <c r="L142" s="37" t="s">
        <v>51</v>
      </c>
      <c r="M142" s="38" t="str">
        <f t="shared" si="25"/>
        <v>ok</v>
      </c>
      <c r="N142" s="39">
        <v>9800</v>
      </c>
      <c r="O142" s="40">
        <v>0.125</v>
      </c>
      <c r="P142" s="41"/>
      <c r="Q142" s="42">
        <f t="shared" si="26"/>
        <v>8575</v>
      </c>
      <c r="R142" s="43">
        <v>1252.8499999999999</v>
      </c>
      <c r="S142" s="44">
        <f t="shared" si="29"/>
        <v>2166.3586</v>
      </c>
      <c r="T142" s="44">
        <f t="shared" si="27"/>
        <v>13219.2086</v>
      </c>
      <c r="U142" s="45"/>
      <c r="V142" s="41">
        <v>13219.21</v>
      </c>
      <c r="W142" s="27">
        <v>41332</v>
      </c>
      <c r="X142" s="47" t="s">
        <v>36</v>
      </c>
      <c r="Y142" s="48">
        <f t="shared" si="28"/>
        <v>-1.3999999991938239E-3</v>
      </c>
      <c r="Z142" s="71"/>
      <c r="AA142" s="50"/>
      <c r="AB142" s="72"/>
      <c r="AC142" s="57"/>
      <c r="AD142" s="54"/>
      <c r="AE142" s="54"/>
      <c r="AF142" s="52"/>
    </row>
    <row r="143" spans="1:32" s="54" customFormat="1" ht="25.5" customHeight="1">
      <c r="A143" s="27">
        <v>41305</v>
      </c>
      <c r="B143" s="28" t="s">
        <v>301</v>
      </c>
      <c r="C143" s="29" t="s">
        <v>204</v>
      </c>
      <c r="D143" s="30">
        <v>41275</v>
      </c>
      <c r="E143" s="31">
        <v>41099</v>
      </c>
      <c r="F143" s="30" t="s">
        <v>23</v>
      </c>
      <c r="G143" s="32" t="s">
        <v>149</v>
      </c>
      <c r="H143" s="33">
        <v>17.5</v>
      </c>
      <c r="I143" s="34">
        <v>1400</v>
      </c>
      <c r="J143" s="35"/>
      <c r="K143" s="36">
        <f t="shared" si="24"/>
        <v>24500</v>
      </c>
      <c r="L143" s="37" t="s">
        <v>25</v>
      </c>
      <c r="M143" s="38" t="str">
        <f t="shared" si="25"/>
        <v>ok</v>
      </c>
      <c r="N143" s="39">
        <f>16800+7700</f>
        <v>24500</v>
      </c>
      <c r="O143" s="40">
        <v>0.125</v>
      </c>
      <c r="P143" s="41"/>
      <c r="Q143" s="42">
        <f t="shared" si="26"/>
        <v>21437.5</v>
      </c>
      <c r="R143" s="43">
        <v>0</v>
      </c>
      <c r="S143" s="44">
        <f t="shared" si="29"/>
        <v>4802</v>
      </c>
      <c r="T143" s="44">
        <f t="shared" si="27"/>
        <v>29302</v>
      </c>
      <c r="U143" s="45"/>
      <c r="V143" s="41">
        <v>29302</v>
      </c>
      <c r="W143" s="27">
        <v>41332</v>
      </c>
      <c r="X143" s="47" t="s">
        <v>36</v>
      </c>
      <c r="Y143" s="48">
        <f t="shared" si="28"/>
        <v>0</v>
      </c>
      <c r="Z143" s="71"/>
      <c r="AA143" s="50"/>
      <c r="AB143" s="72"/>
      <c r="AC143" s="57"/>
      <c r="AD143" s="56"/>
      <c r="AE143" s="56"/>
      <c r="AF143" s="57"/>
    </row>
    <row r="144" spans="1:32" s="56" customFormat="1" ht="25.5" customHeight="1">
      <c r="A144" s="27">
        <v>41319</v>
      </c>
      <c r="B144" s="28" t="s">
        <v>302</v>
      </c>
      <c r="C144" s="29" t="s">
        <v>204</v>
      </c>
      <c r="D144" s="30">
        <v>41306</v>
      </c>
      <c r="E144" s="31">
        <v>41319</v>
      </c>
      <c r="F144" s="30" t="s">
        <v>23</v>
      </c>
      <c r="G144" s="32" t="s">
        <v>147</v>
      </c>
      <c r="H144" s="33">
        <v>40</v>
      </c>
      <c r="I144" s="34">
        <v>1400</v>
      </c>
      <c r="J144" s="35"/>
      <c r="K144" s="36">
        <f t="shared" si="24"/>
        <v>56000</v>
      </c>
      <c r="L144" s="50" t="s">
        <v>30</v>
      </c>
      <c r="M144" s="38" t="str">
        <f t="shared" si="25"/>
        <v>ok</v>
      </c>
      <c r="N144" s="39">
        <v>56000</v>
      </c>
      <c r="O144" s="40">
        <v>0.125</v>
      </c>
      <c r="P144" s="41"/>
      <c r="Q144" s="42">
        <f t="shared" si="26"/>
        <v>49000</v>
      </c>
      <c r="R144" s="43">
        <v>0</v>
      </c>
      <c r="S144" s="44">
        <f t="shared" si="29"/>
        <v>10976</v>
      </c>
      <c r="T144" s="44">
        <f t="shared" si="27"/>
        <v>66976</v>
      </c>
      <c r="U144" s="45"/>
      <c r="V144" s="46">
        <v>66976</v>
      </c>
      <c r="W144" s="27">
        <v>41347</v>
      </c>
      <c r="X144" s="47" t="s">
        <v>36</v>
      </c>
      <c r="Y144" s="48">
        <f t="shared" si="28"/>
        <v>0</v>
      </c>
      <c r="Z144" s="71"/>
      <c r="AA144" s="50"/>
      <c r="AB144" s="51"/>
      <c r="AC144" s="52"/>
      <c r="AF144" s="57"/>
    </row>
    <row r="145" spans="1:32" s="56" customFormat="1" ht="25.5" customHeight="1">
      <c r="A145" s="27">
        <v>41354</v>
      </c>
      <c r="B145" s="28" t="s">
        <v>303</v>
      </c>
      <c r="C145" s="29" t="s">
        <v>204</v>
      </c>
      <c r="D145" s="30">
        <v>41334</v>
      </c>
      <c r="E145" s="31" t="s">
        <v>52</v>
      </c>
      <c r="F145" s="30"/>
      <c r="G145" s="32" t="s">
        <v>152</v>
      </c>
      <c r="H145" s="33">
        <v>12.5</v>
      </c>
      <c r="I145" s="34">
        <v>1400</v>
      </c>
      <c r="J145" s="35"/>
      <c r="K145" s="36">
        <f t="shared" si="24"/>
        <v>17500</v>
      </c>
      <c r="L145" s="37" t="s">
        <v>30</v>
      </c>
      <c r="M145" s="38" t="str">
        <f t="shared" si="25"/>
        <v>ok</v>
      </c>
      <c r="N145" s="39">
        <v>17500</v>
      </c>
      <c r="O145" s="40">
        <v>0.125</v>
      </c>
      <c r="P145" s="41"/>
      <c r="Q145" s="42">
        <f t="shared" si="26"/>
        <v>15312.5</v>
      </c>
      <c r="R145" s="43">
        <v>0</v>
      </c>
      <c r="S145" s="44">
        <f t="shared" si="29"/>
        <v>3430</v>
      </c>
      <c r="T145" s="44">
        <f t="shared" si="27"/>
        <v>20930</v>
      </c>
      <c r="U145" s="45"/>
      <c r="V145" s="41">
        <v>20930</v>
      </c>
      <c r="W145" s="27">
        <v>41387</v>
      </c>
      <c r="X145" s="47" t="s">
        <v>55</v>
      </c>
      <c r="Y145" s="48">
        <f t="shared" si="28"/>
        <v>0</v>
      </c>
      <c r="Z145" s="28"/>
      <c r="AA145" s="50"/>
      <c r="AB145" s="54"/>
      <c r="AC145" s="54"/>
      <c r="AD145" s="52"/>
      <c r="AE145" s="52"/>
      <c r="AF145" s="57"/>
    </row>
    <row r="146" spans="1:32" s="52" customFormat="1" ht="25.5" customHeight="1">
      <c r="A146" s="27">
        <v>41373</v>
      </c>
      <c r="B146" s="28" t="s">
        <v>304</v>
      </c>
      <c r="C146" s="29" t="s">
        <v>204</v>
      </c>
      <c r="D146" s="30">
        <v>41365</v>
      </c>
      <c r="E146" s="31">
        <v>41319</v>
      </c>
      <c r="F146" s="30" t="s">
        <v>23</v>
      </c>
      <c r="G146" s="32" t="s">
        <v>147</v>
      </c>
      <c r="H146" s="33">
        <v>45</v>
      </c>
      <c r="I146" s="34">
        <v>1400</v>
      </c>
      <c r="J146" s="35"/>
      <c r="K146" s="36">
        <f t="shared" si="24"/>
        <v>63000</v>
      </c>
      <c r="L146" s="37" t="s">
        <v>25</v>
      </c>
      <c r="M146" s="38" t="str">
        <f t="shared" si="25"/>
        <v>ok</v>
      </c>
      <c r="N146" s="39">
        <f>119000-56000</f>
        <v>63000</v>
      </c>
      <c r="O146" s="40">
        <v>0.125</v>
      </c>
      <c r="P146" s="41"/>
      <c r="Q146" s="42">
        <f t="shared" si="26"/>
        <v>55125</v>
      </c>
      <c r="R146" s="43">
        <v>2210.6799999999998</v>
      </c>
      <c r="S146" s="44">
        <f t="shared" si="29"/>
        <v>12781.29328</v>
      </c>
      <c r="T146" s="44">
        <f t="shared" si="27"/>
        <v>77991.973279999991</v>
      </c>
      <c r="U146" s="45"/>
      <c r="V146" s="41">
        <v>77991.97</v>
      </c>
      <c r="W146" s="27">
        <v>41401</v>
      </c>
      <c r="X146" s="47" t="s">
        <v>36</v>
      </c>
      <c r="Y146" s="48">
        <f t="shared" si="28"/>
        <v>3.2799999898998067E-3</v>
      </c>
      <c r="Z146" s="83"/>
      <c r="AA146" s="50"/>
      <c r="AB146" s="98"/>
      <c r="AC146" s="93"/>
      <c r="AD146" s="56"/>
      <c r="AE146" s="56"/>
    </row>
    <row r="147" spans="1:32" s="56" customFormat="1" ht="26.4">
      <c r="A147" s="27">
        <v>41387</v>
      </c>
      <c r="B147" s="28" t="s">
        <v>305</v>
      </c>
      <c r="C147" s="29" t="s">
        <v>204</v>
      </c>
      <c r="D147" s="30">
        <v>41365</v>
      </c>
      <c r="E147" s="31" t="s">
        <v>52</v>
      </c>
      <c r="F147" s="30"/>
      <c r="G147" s="32" t="s">
        <v>152</v>
      </c>
      <c r="H147" s="69">
        <f>-12.5</f>
        <v>-12.5</v>
      </c>
      <c r="I147" s="34">
        <v>1400</v>
      </c>
      <c r="J147" s="35"/>
      <c r="K147" s="46">
        <f t="shared" si="24"/>
        <v>-17500</v>
      </c>
      <c r="L147" s="37" t="s">
        <v>153</v>
      </c>
      <c r="M147" s="38" t="str">
        <f t="shared" si="25"/>
        <v>ok</v>
      </c>
      <c r="N147" s="39">
        <v>-17500</v>
      </c>
      <c r="O147" s="40">
        <v>0.125</v>
      </c>
      <c r="P147" s="41"/>
      <c r="Q147" s="42">
        <f t="shared" si="26"/>
        <v>-15312.5</v>
      </c>
      <c r="R147" s="43">
        <v>0</v>
      </c>
      <c r="S147" s="44">
        <f t="shared" si="29"/>
        <v>-3430</v>
      </c>
      <c r="T147" s="44">
        <f t="shared" si="27"/>
        <v>-20930</v>
      </c>
      <c r="U147" s="45"/>
      <c r="V147" s="41">
        <v>-20930</v>
      </c>
      <c r="W147" s="27">
        <v>41387</v>
      </c>
      <c r="X147" s="70" t="s">
        <v>44</v>
      </c>
      <c r="Y147" s="48">
        <f t="shared" si="28"/>
        <v>0</v>
      </c>
      <c r="Z147" s="82"/>
      <c r="AA147" s="50"/>
      <c r="AC147" s="81"/>
      <c r="AD147" s="57"/>
      <c r="AE147" s="57"/>
      <c r="AF147" s="57"/>
    </row>
    <row r="148" spans="1:32" s="57" customFormat="1" ht="25.5" customHeight="1">
      <c r="A148" s="27">
        <v>41387</v>
      </c>
      <c r="B148" s="28" t="s">
        <v>306</v>
      </c>
      <c r="C148" s="29" t="s">
        <v>204</v>
      </c>
      <c r="D148" s="30">
        <v>41365</v>
      </c>
      <c r="E148" s="31">
        <v>41386</v>
      </c>
      <c r="F148" s="30" t="s">
        <v>23</v>
      </c>
      <c r="G148" s="32" t="s">
        <v>148</v>
      </c>
      <c r="H148" s="33">
        <v>8.25</v>
      </c>
      <c r="I148" s="34">
        <v>1400</v>
      </c>
      <c r="J148" s="35"/>
      <c r="K148" s="36">
        <f t="shared" si="24"/>
        <v>11550</v>
      </c>
      <c r="L148" s="50" t="s">
        <v>30</v>
      </c>
      <c r="M148" s="38" t="str">
        <f t="shared" si="25"/>
        <v>ok</v>
      </c>
      <c r="N148" s="39">
        <v>11550</v>
      </c>
      <c r="O148" s="40">
        <v>0.125</v>
      </c>
      <c r="P148" s="41"/>
      <c r="Q148" s="42">
        <f t="shared" si="26"/>
        <v>10106.25</v>
      </c>
      <c r="R148" s="43">
        <v>0</v>
      </c>
      <c r="S148" s="44">
        <f t="shared" si="29"/>
        <v>2263.8000000000002</v>
      </c>
      <c r="T148" s="44">
        <f t="shared" si="27"/>
        <v>13813.8</v>
      </c>
      <c r="U148" s="45"/>
      <c r="V148" s="41">
        <v>13813.8</v>
      </c>
      <c r="W148" s="27">
        <v>41417</v>
      </c>
      <c r="X148" s="47" t="s">
        <v>36</v>
      </c>
      <c r="Y148" s="48">
        <f t="shared" si="28"/>
        <v>0</v>
      </c>
      <c r="Z148" s="82"/>
      <c r="AA148" s="50"/>
      <c r="AB148" s="56"/>
      <c r="AC148" s="81"/>
    </row>
    <row r="149" spans="1:32" s="57" customFormat="1" ht="20.399999999999999">
      <c r="A149" s="27">
        <v>41416</v>
      </c>
      <c r="B149" s="28" t="s">
        <v>307</v>
      </c>
      <c r="C149" s="29" t="s">
        <v>204</v>
      </c>
      <c r="D149" s="30">
        <v>41395</v>
      </c>
      <c r="E149" s="31">
        <v>41386</v>
      </c>
      <c r="F149" s="30" t="s">
        <v>23</v>
      </c>
      <c r="G149" s="32" t="s">
        <v>148</v>
      </c>
      <c r="H149" s="33">
        <v>9.75</v>
      </c>
      <c r="I149" s="34">
        <v>1400</v>
      </c>
      <c r="J149" s="35"/>
      <c r="K149" s="36">
        <f t="shared" si="24"/>
        <v>13650</v>
      </c>
      <c r="L149" s="50" t="s">
        <v>25</v>
      </c>
      <c r="M149" s="38" t="str">
        <f t="shared" si="25"/>
        <v>ok</v>
      </c>
      <c r="N149" s="39">
        <v>13650</v>
      </c>
      <c r="O149" s="40">
        <v>0.125</v>
      </c>
      <c r="P149" s="41"/>
      <c r="Q149" s="42">
        <f t="shared" si="26"/>
        <v>11943.75</v>
      </c>
      <c r="R149" s="43">
        <v>4868.1399999999994</v>
      </c>
      <c r="S149" s="44">
        <f t="shared" si="29"/>
        <v>3629.5554400000001</v>
      </c>
      <c r="T149" s="44">
        <f t="shared" si="27"/>
        <v>22147.69544</v>
      </c>
      <c r="U149" s="45">
        <v>41447</v>
      </c>
      <c r="V149" s="46"/>
      <c r="W149" s="27"/>
      <c r="X149" s="47"/>
      <c r="Y149" s="48">
        <f t="shared" si="28"/>
        <v>22147.69544</v>
      </c>
      <c r="Z149" s="28"/>
      <c r="AA149" s="50"/>
      <c r="AB149" s="54"/>
      <c r="AC149" s="54"/>
      <c r="AF149" s="54"/>
    </row>
    <row r="150" spans="1:32" s="57" customFormat="1" ht="26.4">
      <c r="A150" s="27">
        <v>41317</v>
      </c>
      <c r="B150" s="28" t="s">
        <v>308</v>
      </c>
      <c r="C150" s="29" t="s">
        <v>205</v>
      </c>
      <c r="D150" s="30">
        <v>41306</v>
      </c>
      <c r="E150" s="50" t="s">
        <v>107</v>
      </c>
      <c r="F150" s="30"/>
      <c r="G150" s="32" t="s">
        <v>154</v>
      </c>
      <c r="H150" s="33" t="s">
        <v>131</v>
      </c>
      <c r="I150" s="34" t="s">
        <v>131</v>
      </c>
      <c r="J150" s="35" t="s">
        <v>131</v>
      </c>
      <c r="K150" s="36" t="s">
        <v>131</v>
      </c>
      <c r="L150" s="37" t="s">
        <v>51</v>
      </c>
      <c r="M150" s="38" t="s">
        <v>35</v>
      </c>
      <c r="N150" s="39">
        <v>2800</v>
      </c>
      <c r="O150" s="89">
        <v>0.9</v>
      </c>
      <c r="P150" s="41"/>
      <c r="Q150" s="42">
        <f t="shared" si="26"/>
        <v>280</v>
      </c>
      <c r="R150" s="43">
        <v>250</v>
      </c>
      <c r="S150" s="44">
        <f t="shared" si="29"/>
        <v>597.80000000000007</v>
      </c>
      <c r="T150" s="44">
        <f t="shared" si="27"/>
        <v>3647.8</v>
      </c>
      <c r="U150" s="45"/>
      <c r="V150" s="46">
        <v>3647.8</v>
      </c>
      <c r="W150" s="27">
        <v>41324</v>
      </c>
      <c r="X150" s="47" t="s">
        <v>32</v>
      </c>
      <c r="Y150" s="48">
        <f t="shared" si="28"/>
        <v>0</v>
      </c>
      <c r="Z150" s="71"/>
      <c r="AA150" s="50"/>
      <c r="AB150" s="51"/>
      <c r="AC150" s="52"/>
    </row>
    <row r="151" spans="1:32" s="57" customFormat="1" ht="12.75" customHeight="1">
      <c r="A151" s="27"/>
      <c r="B151" s="28"/>
      <c r="C151" s="29"/>
      <c r="D151" s="30"/>
      <c r="E151" s="30"/>
      <c r="F151" s="30"/>
      <c r="G151" s="32"/>
      <c r="H151" s="33"/>
      <c r="I151" s="34"/>
      <c r="J151" s="35"/>
      <c r="K151" s="36"/>
      <c r="L151" s="50"/>
      <c r="M151" s="104"/>
      <c r="N151" s="39"/>
      <c r="O151" s="89"/>
      <c r="P151" s="41"/>
      <c r="Q151" s="42">
        <f t="shared" ref="Q151:Q215" si="30">N151-((N151*O151)+P151)</f>
        <v>0</v>
      </c>
      <c r="R151" s="43"/>
      <c r="S151" s="44">
        <f t="shared" ref="S151:S215" si="31">(N151+R151)*19.6%</f>
        <v>0</v>
      </c>
      <c r="T151" s="44">
        <f t="shared" ref="T151:T215" si="32">S151+N151+R151</f>
        <v>0</v>
      </c>
      <c r="U151" s="45"/>
      <c r="V151" s="46"/>
      <c r="W151" s="27"/>
      <c r="X151" s="47"/>
      <c r="Y151" s="48">
        <f t="shared" ref="Y151:Y215" si="33">T151-V151</f>
        <v>0</v>
      </c>
      <c r="Z151" s="71"/>
      <c r="AA151" s="50"/>
      <c r="AB151" s="51"/>
      <c r="AC151" s="52"/>
    </row>
    <row r="152" spans="1:32" s="57" customFormat="1" ht="12.75" customHeight="1">
      <c r="A152" s="27"/>
      <c r="B152" s="28"/>
      <c r="C152" s="29"/>
      <c r="D152" s="30"/>
      <c r="E152" s="30"/>
      <c r="F152" s="30"/>
      <c r="G152" s="32"/>
      <c r="H152" s="33"/>
      <c r="I152" s="34"/>
      <c r="J152" s="35"/>
      <c r="K152" s="36"/>
      <c r="L152" s="50"/>
      <c r="M152" s="104"/>
      <c r="N152" s="39"/>
      <c r="O152" s="89"/>
      <c r="P152" s="41"/>
      <c r="Q152" s="42">
        <f t="shared" si="30"/>
        <v>0</v>
      </c>
      <c r="R152" s="43"/>
      <c r="S152" s="44">
        <f t="shared" si="31"/>
        <v>0</v>
      </c>
      <c r="T152" s="44">
        <f t="shared" si="32"/>
        <v>0</v>
      </c>
      <c r="U152" s="45"/>
      <c r="V152" s="46"/>
      <c r="W152" s="27"/>
      <c r="X152" s="47"/>
      <c r="Y152" s="48">
        <f t="shared" si="33"/>
        <v>0</v>
      </c>
      <c r="Z152" s="71"/>
      <c r="AA152" s="50"/>
      <c r="AB152" s="51"/>
      <c r="AC152" s="52"/>
    </row>
    <row r="153" spans="1:32" s="57" customFormat="1" ht="12.75" customHeight="1">
      <c r="A153" s="27"/>
      <c r="B153" s="28"/>
      <c r="C153" s="29"/>
      <c r="D153" s="30"/>
      <c r="E153" s="30"/>
      <c r="F153" s="30"/>
      <c r="G153" s="32"/>
      <c r="H153" s="33"/>
      <c r="I153" s="34"/>
      <c r="J153" s="35"/>
      <c r="K153" s="36"/>
      <c r="L153" s="37"/>
      <c r="M153" s="38"/>
      <c r="N153" s="39"/>
      <c r="O153" s="89"/>
      <c r="P153" s="41"/>
      <c r="Q153" s="42">
        <f t="shared" si="30"/>
        <v>0</v>
      </c>
      <c r="R153" s="43"/>
      <c r="S153" s="44">
        <f t="shared" si="31"/>
        <v>0</v>
      </c>
      <c r="T153" s="44">
        <f t="shared" si="32"/>
        <v>0</v>
      </c>
      <c r="U153" s="45"/>
      <c r="V153" s="46"/>
      <c r="W153" s="27"/>
      <c r="X153" s="47"/>
      <c r="Y153" s="48">
        <f t="shared" si="33"/>
        <v>0</v>
      </c>
      <c r="Z153" s="49"/>
      <c r="AA153" s="50"/>
      <c r="AB153" s="51"/>
      <c r="AC153" s="52"/>
    </row>
    <row r="154" spans="1:32" s="54" customFormat="1" ht="13.2" hidden="1" outlineLevel="1">
      <c r="A154" s="68"/>
      <c r="B154" s="105"/>
      <c r="C154" s="106"/>
      <c r="D154" s="61"/>
      <c r="E154" s="61"/>
      <c r="F154" s="61"/>
      <c r="G154" s="107"/>
      <c r="H154" s="33"/>
      <c r="I154" s="34"/>
      <c r="J154" s="35"/>
      <c r="K154" s="108"/>
      <c r="L154" s="109"/>
      <c r="M154" s="110"/>
      <c r="N154" s="39"/>
      <c r="O154" s="89"/>
      <c r="P154" s="41"/>
      <c r="Q154" s="42">
        <f t="shared" si="30"/>
        <v>0</v>
      </c>
      <c r="R154" s="43"/>
      <c r="S154" s="44">
        <f t="shared" si="31"/>
        <v>0</v>
      </c>
      <c r="T154" s="44">
        <f t="shared" si="32"/>
        <v>0</v>
      </c>
      <c r="U154" s="45"/>
      <c r="V154" s="46"/>
      <c r="W154" s="27"/>
      <c r="X154" s="47"/>
      <c r="Y154" s="48">
        <f t="shared" si="33"/>
        <v>0</v>
      </c>
      <c r="Z154" s="111"/>
      <c r="AA154" s="67"/>
      <c r="AB154" s="112"/>
    </row>
    <row r="155" spans="1:32" s="54" customFormat="1" ht="13.2" hidden="1" outlineLevel="1">
      <c r="A155" s="68"/>
      <c r="B155" s="105"/>
      <c r="C155" s="106"/>
      <c r="D155" s="61"/>
      <c r="E155" s="61"/>
      <c r="F155" s="61"/>
      <c r="G155" s="109"/>
      <c r="H155" s="61"/>
      <c r="I155" s="61"/>
      <c r="J155" s="61"/>
      <c r="K155" s="113"/>
      <c r="L155" s="109"/>
      <c r="M155" s="110"/>
      <c r="N155" s="39"/>
      <c r="O155" s="89"/>
      <c r="P155" s="41"/>
      <c r="Q155" s="42">
        <f t="shared" si="30"/>
        <v>0</v>
      </c>
      <c r="R155" s="43"/>
      <c r="S155" s="44">
        <f t="shared" si="31"/>
        <v>0</v>
      </c>
      <c r="T155" s="44">
        <f t="shared" si="32"/>
        <v>0</v>
      </c>
      <c r="U155" s="45"/>
      <c r="V155" s="46"/>
      <c r="W155" s="27"/>
      <c r="X155" s="47"/>
      <c r="Y155" s="48">
        <f t="shared" si="33"/>
        <v>0</v>
      </c>
      <c r="Z155" s="111"/>
      <c r="AA155" s="67"/>
      <c r="AB155" s="112"/>
    </row>
    <row r="156" spans="1:32" s="54" customFormat="1" ht="13.2" hidden="1" outlineLevel="1">
      <c r="A156" s="68"/>
      <c r="B156" s="105"/>
      <c r="C156" s="106"/>
      <c r="D156" s="61"/>
      <c r="E156" s="61"/>
      <c r="F156" s="61"/>
      <c r="G156" s="109"/>
      <c r="H156" s="61"/>
      <c r="I156" s="61"/>
      <c r="J156" s="61"/>
      <c r="K156" s="113"/>
      <c r="L156" s="109"/>
      <c r="M156" s="110"/>
      <c r="N156" s="39"/>
      <c r="O156" s="89"/>
      <c r="P156" s="41"/>
      <c r="Q156" s="42">
        <f t="shared" si="30"/>
        <v>0</v>
      </c>
      <c r="R156" s="43"/>
      <c r="S156" s="44">
        <f t="shared" si="31"/>
        <v>0</v>
      </c>
      <c r="T156" s="44">
        <f t="shared" si="32"/>
        <v>0</v>
      </c>
      <c r="U156" s="45"/>
      <c r="V156" s="46"/>
      <c r="W156" s="27"/>
      <c r="X156" s="47"/>
      <c r="Y156" s="48">
        <f t="shared" si="33"/>
        <v>0</v>
      </c>
      <c r="Z156" s="111"/>
      <c r="AA156" s="67"/>
      <c r="AB156" s="112"/>
    </row>
    <row r="157" spans="1:32" s="54" customFormat="1" ht="13.2" hidden="1" outlineLevel="1">
      <c r="A157" s="68"/>
      <c r="B157" s="105"/>
      <c r="C157" s="106"/>
      <c r="D157" s="61"/>
      <c r="E157" s="61"/>
      <c r="F157" s="61"/>
      <c r="G157" s="109"/>
      <c r="H157" s="61"/>
      <c r="I157" s="61"/>
      <c r="J157" s="61"/>
      <c r="K157" s="113"/>
      <c r="L157" s="109"/>
      <c r="M157" s="110"/>
      <c r="N157" s="39"/>
      <c r="O157" s="89"/>
      <c r="P157" s="41"/>
      <c r="Q157" s="42">
        <f t="shared" si="30"/>
        <v>0</v>
      </c>
      <c r="R157" s="43"/>
      <c r="S157" s="44">
        <f t="shared" si="31"/>
        <v>0</v>
      </c>
      <c r="T157" s="44">
        <f t="shared" si="32"/>
        <v>0</v>
      </c>
      <c r="U157" s="45"/>
      <c r="V157" s="46"/>
      <c r="W157" s="27"/>
      <c r="X157" s="47"/>
      <c r="Y157" s="48">
        <f t="shared" si="33"/>
        <v>0</v>
      </c>
      <c r="Z157" s="111"/>
      <c r="AA157" s="67"/>
      <c r="AB157" s="112"/>
    </row>
    <row r="158" spans="1:32" s="54" customFormat="1" ht="13.2" hidden="1" outlineLevel="1">
      <c r="A158" s="68"/>
      <c r="B158" s="105"/>
      <c r="C158" s="106"/>
      <c r="D158" s="61"/>
      <c r="E158" s="61"/>
      <c r="F158" s="61"/>
      <c r="G158" s="109"/>
      <c r="H158" s="61"/>
      <c r="I158" s="61"/>
      <c r="J158" s="61"/>
      <c r="K158" s="113"/>
      <c r="L158" s="109"/>
      <c r="M158" s="110"/>
      <c r="N158" s="39"/>
      <c r="O158" s="89"/>
      <c r="P158" s="41"/>
      <c r="Q158" s="42">
        <f t="shared" si="30"/>
        <v>0</v>
      </c>
      <c r="R158" s="43"/>
      <c r="S158" s="44">
        <f t="shared" si="31"/>
        <v>0</v>
      </c>
      <c r="T158" s="44">
        <f t="shared" si="32"/>
        <v>0</v>
      </c>
      <c r="U158" s="45"/>
      <c r="V158" s="46"/>
      <c r="W158" s="27"/>
      <c r="X158" s="47"/>
      <c r="Y158" s="48">
        <f t="shared" si="33"/>
        <v>0</v>
      </c>
      <c r="Z158" s="111"/>
      <c r="AA158" s="67"/>
      <c r="AB158" s="112"/>
    </row>
    <row r="159" spans="1:32" s="54" customFormat="1" ht="13.2" hidden="1" outlineLevel="1">
      <c r="A159" s="68"/>
      <c r="B159" s="105"/>
      <c r="C159" s="106"/>
      <c r="D159" s="61"/>
      <c r="E159" s="61"/>
      <c r="F159" s="61"/>
      <c r="G159" s="109"/>
      <c r="H159" s="61"/>
      <c r="I159" s="61"/>
      <c r="J159" s="61"/>
      <c r="K159" s="113"/>
      <c r="L159" s="109"/>
      <c r="M159" s="110"/>
      <c r="N159" s="39"/>
      <c r="O159" s="89"/>
      <c r="P159" s="41"/>
      <c r="Q159" s="42">
        <f t="shared" si="30"/>
        <v>0</v>
      </c>
      <c r="R159" s="43"/>
      <c r="S159" s="44">
        <f t="shared" si="31"/>
        <v>0</v>
      </c>
      <c r="T159" s="44">
        <f t="shared" si="32"/>
        <v>0</v>
      </c>
      <c r="U159" s="45"/>
      <c r="V159" s="46"/>
      <c r="W159" s="27"/>
      <c r="X159" s="47"/>
      <c r="Y159" s="48">
        <f t="shared" si="33"/>
        <v>0</v>
      </c>
      <c r="Z159" s="111"/>
      <c r="AA159" s="67"/>
      <c r="AB159" s="112"/>
    </row>
    <row r="160" spans="1:32" s="116" customFormat="1" ht="13.2" hidden="1" outlineLevel="1">
      <c r="A160" s="68"/>
      <c r="B160" s="105"/>
      <c r="C160" s="106"/>
      <c r="D160" s="61"/>
      <c r="E160" s="61"/>
      <c r="F160" s="61"/>
      <c r="G160" s="109"/>
      <c r="H160" s="61"/>
      <c r="I160" s="61"/>
      <c r="J160" s="61"/>
      <c r="K160" s="113"/>
      <c r="L160" s="109"/>
      <c r="M160" s="110"/>
      <c r="N160" s="39"/>
      <c r="O160" s="89"/>
      <c r="P160" s="41"/>
      <c r="Q160" s="42">
        <f t="shared" si="30"/>
        <v>0</v>
      </c>
      <c r="R160" s="43"/>
      <c r="S160" s="44">
        <f t="shared" si="31"/>
        <v>0</v>
      </c>
      <c r="T160" s="44">
        <f t="shared" si="32"/>
        <v>0</v>
      </c>
      <c r="U160" s="45"/>
      <c r="V160" s="46"/>
      <c r="W160" s="27"/>
      <c r="X160" s="47"/>
      <c r="Y160" s="48">
        <f t="shared" si="33"/>
        <v>0</v>
      </c>
      <c r="Z160" s="114"/>
      <c r="AA160" s="67"/>
      <c r="AB160" s="115"/>
    </row>
    <row r="161" spans="1:28" s="54" customFormat="1" ht="13.2" hidden="1" outlineLevel="1">
      <c r="A161" s="68"/>
      <c r="B161" s="105"/>
      <c r="C161" s="106"/>
      <c r="D161" s="61"/>
      <c r="E161" s="61"/>
      <c r="F161" s="61"/>
      <c r="G161" s="109"/>
      <c r="H161" s="61"/>
      <c r="I161" s="61"/>
      <c r="J161" s="61"/>
      <c r="K161" s="113"/>
      <c r="L161" s="109"/>
      <c r="M161" s="110"/>
      <c r="N161" s="39"/>
      <c r="O161" s="89"/>
      <c r="P161" s="41"/>
      <c r="Q161" s="42">
        <f t="shared" si="30"/>
        <v>0</v>
      </c>
      <c r="R161" s="43"/>
      <c r="S161" s="44">
        <f t="shared" si="31"/>
        <v>0</v>
      </c>
      <c r="T161" s="44">
        <f t="shared" si="32"/>
        <v>0</v>
      </c>
      <c r="U161" s="45"/>
      <c r="V161" s="46"/>
      <c r="W161" s="27"/>
      <c r="X161" s="47"/>
      <c r="Y161" s="48">
        <f t="shared" si="33"/>
        <v>0</v>
      </c>
      <c r="Z161" s="111"/>
      <c r="AA161" s="67"/>
      <c r="AB161" s="112"/>
    </row>
    <row r="162" spans="1:28" s="54" customFormat="1" ht="13.2" hidden="1" outlineLevel="1">
      <c r="A162" s="68"/>
      <c r="B162" s="105"/>
      <c r="C162" s="106"/>
      <c r="D162" s="61"/>
      <c r="E162" s="61"/>
      <c r="F162" s="61"/>
      <c r="G162" s="109"/>
      <c r="H162" s="61"/>
      <c r="I162" s="61"/>
      <c r="J162" s="61"/>
      <c r="K162" s="113"/>
      <c r="L162" s="109"/>
      <c r="M162" s="110"/>
      <c r="N162" s="39"/>
      <c r="O162" s="89"/>
      <c r="P162" s="41"/>
      <c r="Q162" s="42">
        <f t="shared" si="30"/>
        <v>0</v>
      </c>
      <c r="R162" s="43"/>
      <c r="S162" s="44">
        <f t="shared" si="31"/>
        <v>0</v>
      </c>
      <c r="T162" s="44">
        <f t="shared" si="32"/>
        <v>0</v>
      </c>
      <c r="U162" s="45"/>
      <c r="V162" s="46"/>
      <c r="W162" s="27"/>
      <c r="X162" s="47"/>
      <c r="Y162" s="48">
        <f t="shared" si="33"/>
        <v>0</v>
      </c>
      <c r="Z162" s="117"/>
      <c r="AA162" s="118"/>
    </row>
    <row r="163" spans="1:28" s="54" customFormat="1" ht="13.2" hidden="1" outlineLevel="1">
      <c r="A163" s="68"/>
      <c r="B163" s="105"/>
      <c r="C163" s="106"/>
      <c r="D163" s="61"/>
      <c r="E163" s="61"/>
      <c r="F163" s="61"/>
      <c r="G163" s="109"/>
      <c r="H163" s="61"/>
      <c r="I163" s="61"/>
      <c r="J163" s="61"/>
      <c r="K163" s="113"/>
      <c r="L163" s="109"/>
      <c r="M163" s="110"/>
      <c r="N163" s="39"/>
      <c r="O163" s="89"/>
      <c r="P163" s="41"/>
      <c r="Q163" s="42">
        <f t="shared" si="30"/>
        <v>0</v>
      </c>
      <c r="R163" s="43"/>
      <c r="S163" s="44">
        <f t="shared" si="31"/>
        <v>0</v>
      </c>
      <c r="T163" s="44">
        <f t="shared" si="32"/>
        <v>0</v>
      </c>
      <c r="U163" s="45"/>
      <c r="V163" s="46"/>
      <c r="W163" s="27"/>
      <c r="X163" s="47"/>
      <c r="Y163" s="48">
        <f t="shared" si="33"/>
        <v>0</v>
      </c>
      <c r="Z163" s="117"/>
      <c r="AA163" s="118"/>
    </row>
    <row r="164" spans="1:28" s="54" customFormat="1" ht="13.2" hidden="1" outlineLevel="1">
      <c r="A164" s="68"/>
      <c r="B164" s="105"/>
      <c r="C164" s="106"/>
      <c r="D164" s="61"/>
      <c r="E164" s="61"/>
      <c r="F164" s="61"/>
      <c r="G164" s="109"/>
      <c r="H164" s="61"/>
      <c r="I164" s="61"/>
      <c r="J164" s="61"/>
      <c r="K164" s="113"/>
      <c r="L164" s="109"/>
      <c r="M164" s="110"/>
      <c r="N164" s="39"/>
      <c r="O164" s="89"/>
      <c r="P164" s="41"/>
      <c r="Q164" s="42">
        <f t="shared" si="30"/>
        <v>0</v>
      </c>
      <c r="R164" s="43"/>
      <c r="S164" s="44">
        <f t="shared" si="31"/>
        <v>0</v>
      </c>
      <c r="T164" s="44">
        <f t="shared" si="32"/>
        <v>0</v>
      </c>
      <c r="U164" s="45"/>
      <c r="V164" s="46"/>
      <c r="W164" s="27"/>
      <c r="X164" s="47"/>
      <c r="Y164" s="48">
        <f t="shared" si="33"/>
        <v>0</v>
      </c>
      <c r="Z164" s="117"/>
      <c r="AA164" s="118"/>
    </row>
    <row r="165" spans="1:28" s="54" customFormat="1" ht="13.2" hidden="1" outlineLevel="1">
      <c r="A165" s="68"/>
      <c r="B165" s="105"/>
      <c r="C165" s="106"/>
      <c r="D165" s="61"/>
      <c r="E165" s="61"/>
      <c r="F165" s="61"/>
      <c r="G165" s="109"/>
      <c r="H165" s="61"/>
      <c r="I165" s="61"/>
      <c r="J165" s="61"/>
      <c r="K165" s="113"/>
      <c r="L165" s="109"/>
      <c r="M165" s="110"/>
      <c r="N165" s="39"/>
      <c r="O165" s="89"/>
      <c r="P165" s="41"/>
      <c r="Q165" s="42">
        <f t="shared" si="30"/>
        <v>0</v>
      </c>
      <c r="R165" s="43"/>
      <c r="S165" s="44">
        <f t="shared" si="31"/>
        <v>0</v>
      </c>
      <c r="T165" s="44">
        <f t="shared" si="32"/>
        <v>0</v>
      </c>
      <c r="U165" s="45"/>
      <c r="V165" s="46"/>
      <c r="W165" s="27"/>
      <c r="X165" s="47"/>
      <c r="Y165" s="48">
        <f t="shared" si="33"/>
        <v>0</v>
      </c>
      <c r="Z165" s="119"/>
      <c r="AA165" s="118"/>
    </row>
    <row r="166" spans="1:28" s="54" customFormat="1" ht="13.2" hidden="1" outlineLevel="1">
      <c r="A166" s="68"/>
      <c r="B166" s="105"/>
      <c r="C166" s="106"/>
      <c r="D166" s="61"/>
      <c r="E166" s="61"/>
      <c r="F166" s="61"/>
      <c r="G166" s="109"/>
      <c r="H166" s="61"/>
      <c r="I166" s="61"/>
      <c r="J166" s="61"/>
      <c r="K166" s="113"/>
      <c r="L166" s="109"/>
      <c r="M166" s="110"/>
      <c r="N166" s="39"/>
      <c r="O166" s="89"/>
      <c r="P166" s="41"/>
      <c r="Q166" s="42">
        <f t="shared" si="30"/>
        <v>0</v>
      </c>
      <c r="R166" s="43"/>
      <c r="S166" s="44">
        <f t="shared" si="31"/>
        <v>0</v>
      </c>
      <c r="T166" s="44">
        <f t="shared" si="32"/>
        <v>0</v>
      </c>
      <c r="U166" s="45"/>
      <c r="V166" s="46"/>
      <c r="W166" s="27"/>
      <c r="X166" s="47"/>
      <c r="Y166" s="48">
        <f t="shared" si="33"/>
        <v>0</v>
      </c>
      <c r="Z166" s="119"/>
      <c r="AA166" s="118"/>
    </row>
    <row r="167" spans="1:28" s="54" customFormat="1" ht="13.2" hidden="1" outlineLevel="1">
      <c r="A167" s="68"/>
      <c r="B167" s="105"/>
      <c r="C167" s="106"/>
      <c r="D167" s="61"/>
      <c r="E167" s="61"/>
      <c r="F167" s="61"/>
      <c r="G167" s="109"/>
      <c r="H167" s="61"/>
      <c r="I167" s="61"/>
      <c r="J167" s="61"/>
      <c r="K167" s="113"/>
      <c r="L167" s="109"/>
      <c r="M167" s="110"/>
      <c r="N167" s="39"/>
      <c r="O167" s="89"/>
      <c r="P167" s="41"/>
      <c r="Q167" s="42">
        <f t="shared" si="30"/>
        <v>0</v>
      </c>
      <c r="R167" s="43"/>
      <c r="S167" s="44">
        <f t="shared" si="31"/>
        <v>0</v>
      </c>
      <c r="T167" s="44">
        <f t="shared" si="32"/>
        <v>0</v>
      </c>
      <c r="U167" s="45"/>
      <c r="V167" s="46"/>
      <c r="W167" s="27"/>
      <c r="X167" s="47"/>
      <c r="Y167" s="48">
        <f t="shared" si="33"/>
        <v>0</v>
      </c>
      <c r="Z167" s="119"/>
      <c r="AA167" s="118"/>
    </row>
    <row r="168" spans="1:28" s="54" customFormat="1" ht="13.2" hidden="1" outlineLevel="1">
      <c r="A168" s="120"/>
      <c r="B168" s="121"/>
      <c r="C168" s="122"/>
      <c r="D168" s="61"/>
      <c r="E168" s="61"/>
      <c r="F168" s="61"/>
      <c r="G168" s="109"/>
      <c r="H168" s="61"/>
      <c r="I168" s="61"/>
      <c r="J168" s="61"/>
      <c r="K168" s="113"/>
      <c r="L168" s="109"/>
      <c r="M168" s="110"/>
      <c r="N168" s="39"/>
      <c r="O168" s="89"/>
      <c r="P168" s="41"/>
      <c r="Q168" s="42">
        <f t="shared" si="30"/>
        <v>0</v>
      </c>
      <c r="R168" s="43"/>
      <c r="S168" s="44">
        <f t="shared" si="31"/>
        <v>0</v>
      </c>
      <c r="T168" s="44">
        <f t="shared" si="32"/>
        <v>0</v>
      </c>
      <c r="U168" s="45"/>
      <c r="V168" s="46"/>
      <c r="W168" s="27"/>
      <c r="X168" s="47"/>
      <c r="Y168" s="48">
        <f t="shared" si="33"/>
        <v>0</v>
      </c>
      <c r="Z168" s="114"/>
      <c r="AA168" s="67"/>
    </row>
    <row r="169" spans="1:28" s="54" customFormat="1" ht="13.2" hidden="1" outlineLevel="1">
      <c r="A169" s="68"/>
      <c r="B169" s="105"/>
      <c r="C169" s="106"/>
      <c r="D169" s="61"/>
      <c r="E169" s="61"/>
      <c r="F169" s="61"/>
      <c r="G169" s="109"/>
      <c r="H169" s="61"/>
      <c r="I169" s="61"/>
      <c r="J169" s="61"/>
      <c r="K169" s="113"/>
      <c r="L169" s="109"/>
      <c r="M169" s="110"/>
      <c r="N169" s="39"/>
      <c r="O169" s="89"/>
      <c r="P169" s="41"/>
      <c r="Q169" s="42">
        <f t="shared" si="30"/>
        <v>0</v>
      </c>
      <c r="R169" s="43"/>
      <c r="S169" s="44">
        <f t="shared" si="31"/>
        <v>0</v>
      </c>
      <c r="T169" s="44">
        <f t="shared" si="32"/>
        <v>0</v>
      </c>
      <c r="U169" s="45"/>
      <c r="V169" s="46"/>
      <c r="W169" s="27"/>
      <c r="X169" s="47"/>
      <c r="Y169" s="48">
        <f t="shared" si="33"/>
        <v>0</v>
      </c>
      <c r="Z169" s="111"/>
      <c r="AA169" s="67"/>
    </row>
    <row r="170" spans="1:28" s="54" customFormat="1" ht="13.2" hidden="1" outlineLevel="1">
      <c r="A170" s="68"/>
      <c r="B170" s="105">
        <v>1</v>
      </c>
      <c r="C170" s="106"/>
      <c r="D170" s="61"/>
      <c r="E170" s="61"/>
      <c r="F170" s="61"/>
      <c r="G170" s="109"/>
      <c r="H170" s="61"/>
      <c r="I170" s="61"/>
      <c r="J170" s="61"/>
      <c r="K170" s="113"/>
      <c r="L170" s="109"/>
      <c r="M170" s="110"/>
      <c r="N170" s="39"/>
      <c r="O170" s="89"/>
      <c r="P170" s="41"/>
      <c r="Q170" s="42">
        <f t="shared" si="30"/>
        <v>0</v>
      </c>
      <c r="R170" s="43"/>
      <c r="S170" s="44">
        <f t="shared" si="31"/>
        <v>0</v>
      </c>
      <c r="T170" s="44">
        <f t="shared" si="32"/>
        <v>0</v>
      </c>
      <c r="U170" s="45"/>
      <c r="V170" s="46"/>
      <c r="W170" s="27"/>
      <c r="X170" s="47"/>
      <c r="Y170" s="48">
        <f t="shared" si="33"/>
        <v>0</v>
      </c>
      <c r="Z170" s="111"/>
      <c r="AA170" s="67"/>
    </row>
    <row r="171" spans="1:28" s="54" customFormat="1" ht="13.2" hidden="1" outlineLevel="1">
      <c r="A171" s="68"/>
      <c r="B171" s="105"/>
      <c r="C171" s="106"/>
      <c r="D171" s="61"/>
      <c r="E171" s="61"/>
      <c r="F171" s="61"/>
      <c r="G171" s="109"/>
      <c r="H171" s="61"/>
      <c r="I171" s="61"/>
      <c r="J171" s="61"/>
      <c r="K171" s="113"/>
      <c r="L171" s="109"/>
      <c r="M171" s="110"/>
      <c r="N171" s="39"/>
      <c r="O171" s="89"/>
      <c r="P171" s="41"/>
      <c r="Q171" s="42">
        <f t="shared" si="30"/>
        <v>0</v>
      </c>
      <c r="R171" s="43"/>
      <c r="S171" s="44">
        <f t="shared" si="31"/>
        <v>0</v>
      </c>
      <c r="T171" s="44">
        <f t="shared" si="32"/>
        <v>0</v>
      </c>
      <c r="U171" s="45"/>
      <c r="V171" s="46"/>
      <c r="W171" s="27"/>
      <c r="X171" s="47"/>
      <c r="Y171" s="48">
        <f t="shared" si="33"/>
        <v>0</v>
      </c>
      <c r="Z171" s="123"/>
      <c r="AA171" s="67"/>
    </row>
    <row r="172" spans="1:28" s="54" customFormat="1" ht="13.2" hidden="1" outlineLevel="1">
      <c r="A172" s="68"/>
      <c r="B172" s="105"/>
      <c r="C172" s="106"/>
      <c r="D172" s="61"/>
      <c r="E172" s="61"/>
      <c r="F172" s="61"/>
      <c r="G172" s="109"/>
      <c r="H172" s="61"/>
      <c r="I172" s="61"/>
      <c r="J172" s="61"/>
      <c r="K172" s="113"/>
      <c r="L172" s="109"/>
      <c r="M172" s="110"/>
      <c r="N172" s="39"/>
      <c r="O172" s="89"/>
      <c r="P172" s="41"/>
      <c r="Q172" s="42">
        <f t="shared" si="30"/>
        <v>0</v>
      </c>
      <c r="R172" s="43"/>
      <c r="S172" s="44">
        <f t="shared" si="31"/>
        <v>0</v>
      </c>
      <c r="T172" s="44">
        <f t="shared" si="32"/>
        <v>0</v>
      </c>
      <c r="U172" s="45"/>
      <c r="V172" s="46"/>
      <c r="W172" s="27"/>
      <c r="X172" s="47"/>
      <c r="Y172" s="48">
        <f t="shared" si="33"/>
        <v>0</v>
      </c>
      <c r="Z172" s="123"/>
      <c r="AA172" s="67"/>
    </row>
    <row r="173" spans="1:28" s="54" customFormat="1" ht="13.2" hidden="1" outlineLevel="1">
      <c r="A173" s="68"/>
      <c r="B173" s="105"/>
      <c r="C173" s="106"/>
      <c r="D173" s="61"/>
      <c r="E173" s="61"/>
      <c r="F173" s="61"/>
      <c r="G173" s="109"/>
      <c r="H173" s="61"/>
      <c r="I173" s="61"/>
      <c r="J173" s="61"/>
      <c r="K173" s="113"/>
      <c r="L173" s="109"/>
      <c r="M173" s="110"/>
      <c r="N173" s="39"/>
      <c r="O173" s="89"/>
      <c r="P173" s="41"/>
      <c r="Q173" s="42">
        <f t="shared" si="30"/>
        <v>0</v>
      </c>
      <c r="R173" s="43"/>
      <c r="S173" s="44">
        <f t="shared" si="31"/>
        <v>0</v>
      </c>
      <c r="T173" s="44">
        <f t="shared" si="32"/>
        <v>0</v>
      </c>
      <c r="U173" s="45"/>
      <c r="V173" s="46"/>
      <c r="W173" s="27"/>
      <c r="X173" s="47"/>
      <c r="Y173" s="48">
        <f t="shared" si="33"/>
        <v>0</v>
      </c>
      <c r="Z173" s="123"/>
      <c r="AA173" s="67"/>
    </row>
    <row r="174" spans="1:28" s="54" customFormat="1" ht="13.2" hidden="1" outlineLevel="1">
      <c r="A174" s="68"/>
      <c r="B174" s="105"/>
      <c r="C174" s="106"/>
      <c r="D174" s="61"/>
      <c r="E174" s="61"/>
      <c r="F174" s="61"/>
      <c r="G174" s="109"/>
      <c r="H174" s="61"/>
      <c r="I174" s="61"/>
      <c r="J174" s="61"/>
      <c r="K174" s="113"/>
      <c r="L174" s="109"/>
      <c r="M174" s="110"/>
      <c r="N174" s="39"/>
      <c r="O174" s="89"/>
      <c r="P174" s="41"/>
      <c r="Q174" s="42">
        <f t="shared" si="30"/>
        <v>0</v>
      </c>
      <c r="R174" s="43"/>
      <c r="S174" s="44">
        <f t="shared" si="31"/>
        <v>0</v>
      </c>
      <c r="T174" s="44">
        <f t="shared" si="32"/>
        <v>0</v>
      </c>
      <c r="U174" s="45"/>
      <c r="V174" s="46"/>
      <c r="W174" s="27"/>
      <c r="X174" s="47"/>
      <c r="Y174" s="48">
        <f t="shared" si="33"/>
        <v>0</v>
      </c>
      <c r="Z174" s="123"/>
      <c r="AA174" s="67"/>
    </row>
    <row r="175" spans="1:28" s="56" customFormat="1" ht="13.2" hidden="1" outlineLevel="1">
      <c r="A175" s="68"/>
      <c r="B175" s="105"/>
      <c r="C175" s="106"/>
      <c r="D175" s="61"/>
      <c r="E175" s="61"/>
      <c r="F175" s="61"/>
      <c r="G175" s="109"/>
      <c r="H175" s="61"/>
      <c r="I175" s="61"/>
      <c r="J175" s="61"/>
      <c r="K175" s="113"/>
      <c r="L175" s="109"/>
      <c r="M175" s="110"/>
      <c r="N175" s="39"/>
      <c r="O175" s="89"/>
      <c r="P175" s="41"/>
      <c r="Q175" s="42">
        <f t="shared" si="30"/>
        <v>0</v>
      </c>
      <c r="R175" s="43"/>
      <c r="S175" s="44">
        <f t="shared" si="31"/>
        <v>0</v>
      </c>
      <c r="T175" s="44">
        <f t="shared" si="32"/>
        <v>0</v>
      </c>
      <c r="U175" s="45"/>
      <c r="V175" s="46"/>
      <c r="W175" s="27"/>
      <c r="X175" s="47"/>
      <c r="Y175" s="48">
        <f t="shared" si="33"/>
        <v>0</v>
      </c>
      <c r="Z175" s="111"/>
      <c r="AA175" s="67"/>
    </row>
    <row r="176" spans="1:28" s="56" customFormat="1" ht="13.2" hidden="1" outlineLevel="1">
      <c r="A176" s="68"/>
      <c r="B176" s="105"/>
      <c r="C176" s="106"/>
      <c r="D176" s="61"/>
      <c r="E176" s="61"/>
      <c r="F176" s="61"/>
      <c r="G176" s="109"/>
      <c r="H176" s="61"/>
      <c r="I176" s="61"/>
      <c r="J176" s="61"/>
      <c r="K176" s="113"/>
      <c r="L176" s="109"/>
      <c r="M176" s="110"/>
      <c r="N176" s="39"/>
      <c r="O176" s="89"/>
      <c r="P176" s="41"/>
      <c r="Q176" s="42">
        <f t="shared" si="30"/>
        <v>0</v>
      </c>
      <c r="R176" s="43"/>
      <c r="S176" s="44">
        <f t="shared" si="31"/>
        <v>0</v>
      </c>
      <c r="T176" s="44">
        <f t="shared" si="32"/>
        <v>0</v>
      </c>
      <c r="U176" s="45"/>
      <c r="V176" s="46"/>
      <c r="W176" s="27"/>
      <c r="X176" s="47"/>
      <c r="Y176" s="48">
        <f t="shared" si="33"/>
        <v>0</v>
      </c>
      <c r="Z176" s="111"/>
      <c r="AA176" s="67"/>
    </row>
    <row r="177" spans="1:28" s="56" customFormat="1" ht="13.2" hidden="1" outlineLevel="1">
      <c r="A177" s="68"/>
      <c r="B177" s="105"/>
      <c r="C177" s="106"/>
      <c r="D177" s="61"/>
      <c r="E177" s="61"/>
      <c r="F177" s="61"/>
      <c r="G177" s="109"/>
      <c r="H177" s="61"/>
      <c r="I177" s="61"/>
      <c r="J177" s="61"/>
      <c r="K177" s="113"/>
      <c r="L177" s="109"/>
      <c r="M177" s="110"/>
      <c r="N177" s="39"/>
      <c r="O177" s="89"/>
      <c r="P177" s="41"/>
      <c r="Q177" s="42">
        <f t="shared" si="30"/>
        <v>0</v>
      </c>
      <c r="R177" s="43"/>
      <c r="S177" s="44">
        <f t="shared" si="31"/>
        <v>0</v>
      </c>
      <c r="T177" s="44">
        <f t="shared" si="32"/>
        <v>0</v>
      </c>
      <c r="U177" s="45"/>
      <c r="V177" s="46"/>
      <c r="W177" s="27"/>
      <c r="X177" s="47"/>
      <c r="Y177" s="48">
        <f t="shared" si="33"/>
        <v>0</v>
      </c>
      <c r="Z177" s="111"/>
      <c r="AA177" s="67"/>
    </row>
    <row r="178" spans="1:28" s="56" customFormat="1" ht="13.2" hidden="1" outlineLevel="1">
      <c r="A178" s="68"/>
      <c r="B178" s="105"/>
      <c r="C178" s="106"/>
      <c r="D178" s="61"/>
      <c r="E178" s="61"/>
      <c r="F178" s="61"/>
      <c r="G178" s="109"/>
      <c r="H178" s="61"/>
      <c r="I178" s="61"/>
      <c r="J178" s="61"/>
      <c r="K178" s="113"/>
      <c r="L178" s="109"/>
      <c r="M178" s="110"/>
      <c r="N178" s="39"/>
      <c r="O178" s="89"/>
      <c r="P178" s="41"/>
      <c r="Q178" s="42">
        <f t="shared" si="30"/>
        <v>0</v>
      </c>
      <c r="R178" s="43"/>
      <c r="S178" s="44">
        <f t="shared" si="31"/>
        <v>0</v>
      </c>
      <c r="T178" s="44">
        <f t="shared" si="32"/>
        <v>0</v>
      </c>
      <c r="U178" s="45"/>
      <c r="V178" s="46"/>
      <c r="W178" s="27"/>
      <c r="X178" s="47"/>
      <c r="Y178" s="48">
        <f t="shared" si="33"/>
        <v>0</v>
      </c>
      <c r="Z178" s="66"/>
      <c r="AA178" s="67"/>
    </row>
    <row r="179" spans="1:28" s="54" customFormat="1" ht="13.2" hidden="1" outlineLevel="1">
      <c r="A179" s="68"/>
      <c r="B179" s="105"/>
      <c r="C179" s="106"/>
      <c r="D179" s="61"/>
      <c r="E179" s="61"/>
      <c r="F179" s="61"/>
      <c r="G179" s="109"/>
      <c r="H179" s="61"/>
      <c r="I179" s="61"/>
      <c r="J179" s="61"/>
      <c r="K179" s="113"/>
      <c r="L179" s="109"/>
      <c r="M179" s="110"/>
      <c r="N179" s="39"/>
      <c r="O179" s="89"/>
      <c r="P179" s="41"/>
      <c r="Q179" s="42">
        <f t="shared" si="30"/>
        <v>0</v>
      </c>
      <c r="R179" s="43"/>
      <c r="S179" s="44">
        <f t="shared" si="31"/>
        <v>0</v>
      </c>
      <c r="T179" s="44">
        <f t="shared" si="32"/>
        <v>0</v>
      </c>
      <c r="U179" s="45"/>
      <c r="V179" s="46"/>
      <c r="W179" s="27"/>
      <c r="X179" s="47"/>
      <c r="Y179" s="48">
        <f t="shared" si="33"/>
        <v>0</v>
      </c>
      <c r="Z179" s="123"/>
      <c r="AA179" s="67"/>
    </row>
    <row r="180" spans="1:28" s="54" customFormat="1" ht="13.2" hidden="1" outlineLevel="1">
      <c r="A180" s="68"/>
      <c r="B180" s="105"/>
      <c r="C180" s="106"/>
      <c r="D180" s="61"/>
      <c r="E180" s="61"/>
      <c r="F180" s="61"/>
      <c r="G180" s="109"/>
      <c r="H180" s="61"/>
      <c r="I180" s="61"/>
      <c r="J180" s="61"/>
      <c r="K180" s="113"/>
      <c r="L180" s="109"/>
      <c r="M180" s="110"/>
      <c r="N180" s="39"/>
      <c r="O180" s="89"/>
      <c r="P180" s="41"/>
      <c r="Q180" s="42">
        <f t="shared" si="30"/>
        <v>0</v>
      </c>
      <c r="R180" s="43"/>
      <c r="S180" s="44">
        <f t="shared" si="31"/>
        <v>0</v>
      </c>
      <c r="T180" s="44">
        <f t="shared" si="32"/>
        <v>0</v>
      </c>
      <c r="U180" s="45"/>
      <c r="V180" s="46"/>
      <c r="W180" s="27"/>
      <c r="X180" s="47"/>
      <c r="Y180" s="48">
        <f t="shared" si="33"/>
        <v>0</v>
      </c>
      <c r="Z180" s="123"/>
      <c r="AA180" s="67"/>
    </row>
    <row r="181" spans="1:28" s="56" customFormat="1" ht="13.2" hidden="1" outlineLevel="1">
      <c r="A181" s="68"/>
      <c r="B181" s="105"/>
      <c r="C181" s="106"/>
      <c r="D181" s="61"/>
      <c r="E181" s="61"/>
      <c r="F181" s="61"/>
      <c r="G181" s="109"/>
      <c r="H181" s="61"/>
      <c r="I181" s="61"/>
      <c r="J181" s="61"/>
      <c r="K181" s="113"/>
      <c r="L181" s="109"/>
      <c r="M181" s="110"/>
      <c r="N181" s="39"/>
      <c r="O181" s="89"/>
      <c r="P181" s="41"/>
      <c r="Q181" s="42">
        <f t="shared" si="30"/>
        <v>0</v>
      </c>
      <c r="R181" s="43"/>
      <c r="S181" s="44">
        <f t="shared" si="31"/>
        <v>0</v>
      </c>
      <c r="T181" s="44">
        <f t="shared" si="32"/>
        <v>0</v>
      </c>
      <c r="U181" s="45"/>
      <c r="V181" s="46"/>
      <c r="W181" s="27"/>
      <c r="X181" s="47"/>
      <c r="Y181" s="48">
        <f t="shared" si="33"/>
        <v>0</v>
      </c>
      <c r="Z181" s="111"/>
      <c r="AA181" s="67"/>
    </row>
    <row r="182" spans="1:28" s="56" customFormat="1" ht="13.2" hidden="1" outlineLevel="1">
      <c r="A182" s="68"/>
      <c r="B182" s="105"/>
      <c r="C182" s="106"/>
      <c r="D182" s="61"/>
      <c r="E182" s="61"/>
      <c r="F182" s="61"/>
      <c r="G182" s="109"/>
      <c r="H182" s="61"/>
      <c r="I182" s="61"/>
      <c r="J182" s="61"/>
      <c r="K182" s="113"/>
      <c r="L182" s="109"/>
      <c r="M182" s="110"/>
      <c r="N182" s="39"/>
      <c r="O182" s="89"/>
      <c r="P182" s="41"/>
      <c r="Q182" s="42">
        <f t="shared" si="30"/>
        <v>0</v>
      </c>
      <c r="R182" s="43"/>
      <c r="S182" s="44">
        <f t="shared" si="31"/>
        <v>0</v>
      </c>
      <c r="T182" s="44">
        <f t="shared" si="32"/>
        <v>0</v>
      </c>
      <c r="U182" s="45"/>
      <c r="V182" s="46"/>
      <c r="W182" s="27"/>
      <c r="X182" s="47"/>
      <c r="Y182" s="48">
        <f t="shared" si="33"/>
        <v>0</v>
      </c>
      <c r="Z182" s="111"/>
      <c r="AA182" s="67"/>
    </row>
    <row r="183" spans="1:28" s="56" customFormat="1" ht="13.2" hidden="1" outlineLevel="1">
      <c r="A183" s="68"/>
      <c r="B183" s="105"/>
      <c r="C183" s="106"/>
      <c r="D183" s="61"/>
      <c r="E183" s="61"/>
      <c r="F183" s="61"/>
      <c r="G183" s="109"/>
      <c r="H183" s="61"/>
      <c r="I183" s="61"/>
      <c r="J183" s="61"/>
      <c r="K183" s="113"/>
      <c r="L183" s="109"/>
      <c r="M183" s="110"/>
      <c r="N183" s="39"/>
      <c r="O183" s="89"/>
      <c r="P183" s="41"/>
      <c r="Q183" s="42">
        <f t="shared" si="30"/>
        <v>0</v>
      </c>
      <c r="R183" s="43"/>
      <c r="S183" s="44">
        <f t="shared" si="31"/>
        <v>0</v>
      </c>
      <c r="T183" s="44">
        <f t="shared" si="32"/>
        <v>0</v>
      </c>
      <c r="U183" s="45"/>
      <c r="V183" s="46"/>
      <c r="W183" s="27"/>
      <c r="X183" s="47"/>
      <c r="Y183" s="48">
        <f t="shared" si="33"/>
        <v>0</v>
      </c>
      <c r="Z183" s="111"/>
      <c r="AA183" s="67"/>
    </row>
    <row r="184" spans="1:28" s="56" customFormat="1" ht="13.2" hidden="1" outlineLevel="1">
      <c r="A184" s="68"/>
      <c r="B184" s="105"/>
      <c r="C184" s="106"/>
      <c r="D184" s="61"/>
      <c r="E184" s="61"/>
      <c r="F184" s="61"/>
      <c r="G184" s="109"/>
      <c r="H184" s="61"/>
      <c r="I184" s="61"/>
      <c r="J184" s="61"/>
      <c r="K184" s="113"/>
      <c r="L184" s="109"/>
      <c r="M184" s="110"/>
      <c r="N184" s="39"/>
      <c r="O184" s="89"/>
      <c r="P184" s="41"/>
      <c r="Q184" s="42">
        <f t="shared" si="30"/>
        <v>0</v>
      </c>
      <c r="R184" s="43"/>
      <c r="S184" s="44">
        <f t="shared" si="31"/>
        <v>0</v>
      </c>
      <c r="T184" s="44">
        <f t="shared" si="32"/>
        <v>0</v>
      </c>
      <c r="U184" s="45"/>
      <c r="V184" s="46"/>
      <c r="W184" s="27"/>
      <c r="X184" s="47"/>
      <c r="Y184" s="48">
        <f t="shared" si="33"/>
        <v>0</v>
      </c>
      <c r="Z184" s="66"/>
      <c r="AA184" s="67"/>
    </row>
    <row r="185" spans="1:28" s="56" customFormat="1" ht="13.2" hidden="1" outlineLevel="1">
      <c r="A185" s="68"/>
      <c r="B185" s="105"/>
      <c r="C185" s="106"/>
      <c r="D185" s="61"/>
      <c r="E185" s="61"/>
      <c r="F185" s="61"/>
      <c r="G185" s="109"/>
      <c r="H185" s="61"/>
      <c r="I185" s="61"/>
      <c r="J185" s="61"/>
      <c r="K185" s="113"/>
      <c r="L185" s="109"/>
      <c r="M185" s="110"/>
      <c r="N185" s="39"/>
      <c r="O185" s="89"/>
      <c r="P185" s="41"/>
      <c r="Q185" s="42">
        <f t="shared" si="30"/>
        <v>0</v>
      </c>
      <c r="R185" s="43"/>
      <c r="S185" s="44">
        <f t="shared" si="31"/>
        <v>0</v>
      </c>
      <c r="T185" s="44">
        <f t="shared" si="32"/>
        <v>0</v>
      </c>
      <c r="U185" s="45"/>
      <c r="V185" s="46"/>
      <c r="W185" s="27"/>
      <c r="X185" s="47"/>
      <c r="Y185" s="48">
        <f t="shared" si="33"/>
        <v>0</v>
      </c>
      <c r="Z185" s="66"/>
      <c r="AA185" s="67"/>
    </row>
    <row r="186" spans="1:28" s="54" customFormat="1" ht="13.2" hidden="1" outlineLevel="1">
      <c r="A186" s="68"/>
      <c r="B186" s="105"/>
      <c r="C186" s="106"/>
      <c r="D186" s="61"/>
      <c r="E186" s="61"/>
      <c r="F186" s="61"/>
      <c r="G186" s="109"/>
      <c r="H186" s="61"/>
      <c r="I186" s="61"/>
      <c r="J186" s="61"/>
      <c r="K186" s="113"/>
      <c r="L186" s="109"/>
      <c r="M186" s="110"/>
      <c r="N186" s="39"/>
      <c r="O186" s="89"/>
      <c r="P186" s="41"/>
      <c r="Q186" s="42">
        <f t="shared" si="30"/>
        <v>0</v>
      </c>
      <c r="R186" s="43"/>
      <c r="S186" s="44">
        <f t="shared" si="31"/>
        <v>0</v>
      </c>
      <c r="T186" s="44">
        <f t="shared" si="32"/>
        <v>0</v>
      </c>
      <c r="U186" s="45"/>
      <c r="V186" s="46"/>
      <c r="W186" s="27"/>
      <c r="X186" s="47"/>
      <c r="Y186" s="48">
        <f t="shared" si="33"/>
        <v>0</v>
      </c>
      <c r="Z186" s="111"/>
      <c r="AA186" s="67"/>
    </row>
    <row r="187" spans="1:28" s="54" customFormat="1" ht="13.2" hidden="1" outlineLevel="1">
      <c r="A187" s="68"/>
      <c r="B187" s="105"/>
      <c r="C187" s="106"/>
      <c r="D187" s="61"/>
      <c r="E187" s="61"/>
      <c r="F187" s="61"/>
      <c r="G187" s="109"/>
      <c r="H187" s="61"/>
      <c r="I187" s="61"/>
      <c r="J187" s="61"/>
      <c r="K187" s="113"/>
      <c r="L187" s="109"/>
      <c r="M187" s="110"/>
      <c r="N187" s="39"/>
      <c r="O187" s="89"/>
      <c r="P187" s="41"/>
      <c r="Q187" s="42">
        <f t="shared" si="30"/>
        <v>0</v>
      </c>
      <c r="R187" s="43"/>
      <c r="S187" s="44">
        <f t="shared" si="31"/>
        <v>0</v>
      </c>
      <c r="T187" s="44">
        <f t="shared" si="32"/>
        <v>0</v>
      </c>
      <c r="U187" s="45"/>
      <c r="V187" s="46"/>
      <c r="W187" s="27"/>
      <c r="X187" s="47"/>
      <c r="Y187" s="48">
        <f t="shared" si="33"/>
        <v>0</v>
      </c>
      <c r="Z187" s="111"/>
      <c r="AA187" s="67"/>
    </row>
    <row r="188" spans="1:28" s="54" customFormat="1" ht="13.2" hidden="1" outlineLevel="1">
      <c r="A188" s="68"/>
      <c r="B188" s="105"/>
      <c r="C188" s="106"/>
      <c r="D188" s="61"/>
      <c r="E188" s="61"/>
      <c r="F188" s="61"/>
      <c r="G188" s="109"/>
      <c r="H188" s="61"/>
      <c r="I188" s="61"/>
      <c r="J188" s="61"/>
      <c r="K188" s="113"/>
      <c r="L188" s="109"/>
      <c r="M188" s="110"/>
      <c r="N188" s="39"/>
      <c r="O188" s="89"/>
      <c r="P188" s="41"/>
      <c r="Q188" s="42">
        <f t="shared" si="30"/>
        <v>0</v>
      </c>
      <c r="R188" s="43"/>
      <c r="S188" s="44">
        <f t="shared" si="31"/>
        <v>0</v>
      </c>
      <c r="T188" s="44">
        <f t="shared" si="32"/>
        <v>0</v>
      </c>
      <c r="U188" s="45"/>
      <c r="V188" s="46"/>
      <c r="W188" s="27"/>
      <c r="X188" s="47"/>
      <c r="Y188" s="48">
        <f t="shared" si="33"/>
        <v>0</v>
      </c>
      <c r="Z188" s="111"/>
      <c r="AA188" s="67"/>
    </row>
    <row r="189" spans="1:28" s="54" customFormat="1" ht="13.2" hidden="1" outlineLevel="1">
      <c r="A189" s="68"/>
      <c r="B189" s="105"/>
      <c r="C189" s="106"/>
      <c r="D189" s="61"/>
      <c r="E189" s="61"/>
      <c r="F189" s="61"/>
      <c r="G189" s="109"/>
      <c r="H189" s="61"/>
      <c r="I189" s="61"/>
      <c r="J189" s="61"/>
      <c r="K189" s="113"/>
      <c r="L189" s="109"/>
      <c r="M189" s="110"/>
      <c r="N189" s="39"/>
      <c r="O189" s="89"/>
      <c r="P189" s="41"/>
      <c r="Q189" s="42">
        <f t="shared" si="30"/>
        <v>0</v>
      </c>
      <c r="R189" s="43"/>
      <c r="S189" s="44">
        <f t="shared" si="31"/>
        <v>0</v>
      </c>
      <c r="T189" s="44">
        <f t="shared" si="32"/>
        <v>0</v>
      </c>
      <c r="U189" s="45"/>
      <c r="V189" s="46"/>
      <c r="W189" s="27"/>
      <c r="X189" s="47"/>
      <c r="Y189" s="48">
        <f t="shared" si="33"/>
        <v>0</v>
      </c>
      <c r="Z189" s="111"/>
      <c r="AA189" s="67"/>
      <c r="AB189" s="112"/>
    </row>
    <row r="190" spans="1:28" s="54" customFormat="1" ht="13.2" hidden="1" outlineLevel="1">
      <c r="A190" s="68"/>
      <c r="B190" s="105"/>
      <c r="C190" s="106"/>
      <c r="D190" s="61"/>
      <c r="E190" s="61"/>
      <c r="F190" s="61"/>
      <c r="G190" s="109"/>
      <c r="H190" s="61"/>
      <c r="I190" s="61"/>
      <c r="J190" s="61"/>
      <c r="K190" s="113"/>
      <c r="L190" s="109"/>
      <c r="M190" s="110"/>
      <c r="N190" s="39"/>
      <c r="O190" s="89"/>
      <c r="P190" s="41"/>
      <c r="Q190" s="42">
        <f t="shared" si="30"/>
        <v>0</v>
      </c>
      <c r="R190" s="43"/>
      <c r="S190" s="44">
        <f t="shared" si="31"/>
        <v>0</v>
      </c>
      <c r="T190" s="44">
        <f t="shared" si="32"/>
        <v>0</v>
      </c>
      <c r="U190" s="45"/>
      <c r="V190" s="46"/>
      <c r="W190" s="27"/>
      <c r="X190" s="47"/>
      <c r="Y190" s="48">
        <f t="shared" si="33"/>
        <v>0</v>
      </c>
      <c r="Z190" s="111"/>
      <c r="AA190" s="67"/>
      <c r="AB190" s="112"/>
    </row>
    <row r="191" spans="1:28" s="54" customFormat="1" ht="13.2" hidden="1" outlineLevel="1">
      <c r="A191" s="68"/>
      <c r="B191" s="105"/>
      <c r="C191" s="106"/>
      <c r="D191" s="61"/>
      <c r="E191" s="61"/>
      <c r="F191" s="61"/>
      <c r="G191" s="109"/>
      <c r="H191" s="61"/>
      <c r="I191" s="61"/>
      <c r="J191" s="61"/>
      <c r="K191" s="113"/>
      <c r="L191" s="109"/>
      <c r="M191" s="110"/>
      <c r="N191" s="39"/>
      <c r="O191" s="89"/>
      <c r="P191" s="41"/>
      <c r="Q191" s="42">
        <f t="shared" si="30"/>
        <v>0</v>
      </c>
      <c r="R191" s="43"/>
      <c r="S191" s="44">
        <f t="shared" si="31"/>
        <v>0</v>
      </c>
      <c r="T191" s="44">
        <f t="shared" si="32"/>
        <v>0</v>
      </c>
      <c r="U191" s="45"/>
      <c r="V191" s="46"/>
      <c r="W191" s="27"/>
      <c r="X191" s="47"/>
      <c r="Y191" s="48">
        <f t="shared" si="33"/>
        <v>0</v>
      </c>
      <c r="Z191" s="111"/>
      <c r="AA191" s="67"/>
      <c r="AB191" s="112"/>
    </row>
    <row r="192" spans="1:28" s="54" customFormat="1" ht="13.2" hidden="1" outlineLevel="1">
      <c r="A192" s="68"/>
      <c r="B192" s="105"/>
      <c r="C192" s="106"/>
      <c r="D192" s="61"/>
      <c r="E192" s="61"/>
      <c r="F192" s="61"/>
      <c r="G192" s="109"/>
      <c r="H192" s="61"/>
      <c r="I192" s="61"/>
      <c r="J192" s="61"/>
      <c r="K192" s="113"/>
      <c r="L192" s="109"/>
      <c r="M192" s="110"/>
      <c r="N192" s="39"/>
      <c r="O192" s="89"/>
      <c r="P192" s="41"/>
      <c r="Q192" s="42">
        <f t="shared" si="30"/>
        <v>0</v>
      </c>
      <c r="R192" s="43"/>
      <c r="S192" s="44">
        <f t="shared" si="31"/>
        <v>0</v>
      </c>
      <c r="T192" s="44">
        <f t="shared" si="32"/>
        <v>0</v>
      </c>
      <c r="U192" s="45"/>
      <c r="V192" s="46"/>
      <c r="W192" s="27"/>
      <c r="X192" s="47"/>
      <c r="Y192" s="48">
        <f t="shared" si="33"/>
        <v>0</v>
      </c>
      <c r="Z192" s="111"/>
      <c r="AA192" s="67"/>
      <c r="AB192" s="112"/>
    </row>
    <row r="193" spans="1:27" s="56" customFormat="1" ht="13.2" hidden="1" outlineLevel="1">
      <c r="A193" s="68"/>
      <c r="B193" s="105"/>
      <c r="C193" s="106"/>
      <c r="D193" s="61"/>
      <c r="E193" s="61"/>
      <c r="F193" s="61"/>
      <c r="G193" s="109"/>
      <c r="H193" s="61"/>
      <c r="I193" s="61"/>
      <c r="J193" s="61"/>
      <c r="K193" s="113"/>
      <c r="L193" s="109"/>
      <c r="M193" s="110"/>
      <c r="N193" s="39"/>
      <c r="O193" s="89"/>
      <c r="P193" s="41"/>
      <c r="Q193" s="42">
        <f t="shared" si="30"/>
        <v>0</v>
      </c>
      <c r="R193" s="43"/>
      <c r="S193" s="44">
        <f t="shared" si="31"/>
        <v>0</v>
      </c>
      <c r="T193" s="44">
        <f t="shared" si="32"/>
        <v>0</v>
      </c>
      <c r="U193" s="45"/>
      <c r="V193" s="46"/>
      <c r="W193" s="27"/>
      <c r="X193" s="47"/>
      <c r="Y193" s="48">
        <f t="shared" si="33"/>
        <v>0</v>
      </c>
      <c r="Z193" s="111"/>
      <c r="AA193" s="124"/>
    </row>
    <row r="194" spans="1:27" s="56" customFormat="1" ht="13.2" hidden="1" outlineLevel="1">
      <c r="A194" s="68"/>
      <c r="B194" s="105"/>
      <c r="C194" s="106"/>
      <c r="D194" s="61"/>
      <c r="E194" s="61"/>
      <c r="F194" s="61"/>
      <c r="G194" s="109"/>
      <c r="H194" s="61"/>
      <c r="I194" s="61"/>
      <c r="J194" s="61"/>
      <c r="K194" s="113"/>
      <c r="L194" s="109"/>
      <c r="M194" s="110"/>
      <c r="N194" s="39"/>
      <c r="O194" s="89"/>
      <c r="P194" s="41"/>
      <c r="Q194" s="42">
        <f t="shared" si="30"/>
        <v>0</v>
      </c>
      <c r="R194" s="43"/>
      <c r="S194" s="44">
        <f t="shared" si="31"/>
        <v>0</v>
      </c>
      <c r="T194" s="44">
        <f t="shared" si="32"/>
        <v>0</v>
      </c>
      <c r="U194" s="45"/>
      <c r="V194" s="46"/>
      <c r="W194" s="27"/>
      <c r="X194" s="47"/>
      <c r="Y194" s="48">
        <f t="shared" si="33"/>
        <v>0</v>
      </c>
      <c r="Z194" s="111"/>
      <c r="AA194" s="124"/>
    </row>
    <row r="195" spans="1:27" s="56" customFormat="1" ht="13.2" hidden="1" outlineLevel="1">
      <c r="A195" s="68"/>
      <c r="B195" s="105"/>
      <c r="C195" s="106"/>
      <c r="D195" s="61"/>
      <c r="E195" s="61"/>
      <c r="F195" s="61"/>
      <c r="G195" s="109"/>
      <c r="H195" s="61"/>
      <c r="I195" s="61"/>
      <c r="J195" s="61"/>
      <c r="K195" s="113"/>
      <c r="L195" s="109"/>
      <c r="M195" s="110"/>
      <c r="N195" s="39"/>
      <c r="O195" s="89"/>
      <c r="P195" s="41"/>
      <c r="Q195" s="42">
        <f t="shared" si="30"/>
        <v>0</v>
      </c>
      <c r="R195" s="43"/>
      <c r="S195" s="44">
        <f t="shared" si="31"/>
        <v>0</v>
      </c>
      <c r="T195" s="44">
        <f t="shared" si="32"/>
        <v>0</v>
      </c>
      <c r="U195" s="45"/>
      <c r="V195" s="46"/>
      <c r="W195" s="27"/>
      <c r="X195" s="47"/>
      <c r="Y195" s="48">
        <f t="shared" si="33"/>
        <v>0</v>
      </c>
      <c r="Z195" s="111"/>
      <c r="AA195" s="124"/>
    </row>
    <row r="196" spans="1:27" s="56" customFormat="1" ht="13.2" hidden="1" outlineLevel="1">
      <c r="A196" s="68"/>
      <c r="B196" s="105"/>
      <c r="C196" s="106"/>
      <c r="D196" s="61"/>
      <c r="E196" s="61"/>
      <c r="F196" s="61"/>
      <c r="G196" s="109"/>
      <c r="H196" s="61"/>
      <c r="I196" s="61"/>
      <c r="J196" s="61"/>
      <c r="K196" s="113"/>
      <c r="L196" s="109"/>
      <c r="M196" s="110"/>
      <c r="N196" s="39"/>
      <c r="O196" s="89"/>
      <c r="P196" s="41"/>
      <c r="Q196" s="42">
        <f t="shared" si="30"/>
        <v>0</v>
      </c>
      <c r="R196" s="43"/>
      <c r="S196" s="44">
        <f t="shared" si="31"/>
        <v>0</v>
      </c>
      <c r="T196" s="44">
        <f t="shared" si="32"/>
        <v>0</v>
      </c>
      <c r="U196" s="45"/>
      <c r="V196" s="46"/>
      <c r="W196" s="27"/>
      <c r="X196" s="47"/>
      <c r="Y196" s="48">
        <f t="shared" si="33"/>
        <v>0</v>
      </c>
      <c r="Z196" s="111"/>
      <c r="AA196" s="124"/>
    </row>
    <row r="197" spans="1:27" s="56" customFormat="1" ht="13.2" hidden="1" outlineLevel="1">
      <c r="A197" s="68"/>
      <c r="B197" s="105"/>
      <c r="C197" s="106"/>
      <c r="D197" s="61"/>
      <c r="E197" s="61"/>
      <c r="F197" s="61"/>
      <c r="G197" s="109"/>
      <c r="H197" s="61"/>
      <c r="I197" s="61"/>
      <c r="J197" s="61"/>
      <c r="K197" s="113"/>
      <c r="L197" s="109"/>
      <c r="M197" s="110"/>
      <c r="N197" s="39"/>
      <c r="O197" s="89"/>
      <c r="P197" s="41"/>
      <c r="Q197" s="42">
        <f t="shared" si="30"/>
        <v>0</v>
      </c>
      <c r="R197" s="43"/>
      <c r="S197" s="44">
        <f t="shared" si="31"/>
        <v>0</v>
      </c>
      <c r="T197" s="44">
        <f t="shared" si="32"/>
        <v>0</v>
      </c>
      <c r="U197" s="45"/>
      <c r="V197" s="46"/>
      <c r="W197" s="27"/>
      <c r="X197" s="47"/>
      <c r="Y197" s="48">
        <f t="shared" si="33"/>
        <v>0</v>
      </c>
      <c r="Z197" s="111"/>
      <c r="AA197" s="124"/>
    </row>
    <row r="198" spans="1:27" s="56" customFormat="1" ht="13.2" hidden="1" outlineLevel="1">
      <c r="A198" s="68"/>
      <c r="B198" s="105"/>
      <c r="C198" s="106"/>
      <c r="D198" s="61"/>
      <c r="E198" s="61"/>
      <c r="F198" s="61"/>
      <c r="G198" s="109"/>
      <c r="H198" s="61"/>
      <c r="I198" s="61"/>
      <c r="J198" s="61"/>
      <c r="K198" s="113"/>
      <c r="L198" s="109"/>
      <c r="M198" s="110"/>
      <c r="N198" s="39"/>
      <c r="O198" s="89"/>
      <c r="P198" s="41"/>
      <c r="Q198" s="42">
        <f t="shared" si="30"/>
        <v>0</v>
      </c>
      <c r="R198" s="43"/>
      <c r="S198" s="44">
        <f t="shared" si="31"/>
        <v>0</v>
      </c>
      <c r="T198" s="44">
        <f t="shared" si="32"/>
        <v>0</v>
      </c>
      <c r="U198" s="45"/>
      <c r="V198" s="46"/>
      <c r="W198" s="27"/>
      <c r="X198" s="47"/>
      <c r="Y198" s="48">
        <f t="shared" si="33"/>
        <v>0</v>
      </c>
      <c r="Z198" s="111"/>
      <c r="AA198" s="124"/>
    </row>
    <row r="199" spans="1:27" s="56" customFormat="1" ht="13.2" hidden="1" outlineLevel="1">
      <c r="A199" s="68"/>
      <c r="B199" s="105"/>
      <c r="C199" s="106"/>
      <c r="D199" s="61"/>
      <c r="E199" s="61"/>
      <c r="F199" s="61"/>
      <c r="G199" s="109"/>
      <c r="H199" s="61"/>
      <c r="I199" s="61"/>
      <c r="J199" s="61"/>
      <c r="K199" s="113"/>
      <c r="L199" s="109"/>
      <c r="M199" s="110"/>
      <c r="N199" s="39"/>
      <c r="O199" s="89"/>
      <c r="P199" s="41"/>
      <c r="Q199" s="42">
        <f t="shared" si="30"/>
        <v>0</v>
      </c>
      <c r="R199" s="43"/>
      <c r="S199" s="44">
        <f t="shared" si="31"/>
        <v>0</v>
      </c>
      <c r="T199" s="44">
        <f t="shared" si="32"/>
        <v>0</v>
      </c>
      <c r="U199" s="45"/>
      <c r="V199" s="46"/>
      <c r="W199" s="27"/>
      <c r="X199" s="47"/>
      <c r="Y199" s="48">
        <f t="shared" si="33"/>
        <v>0</v>
      </c>
      <c r="Z199" s="111"/>
      <c r="AA199" s="124"/>
    </row>
    <row r="200" spans="1:27" s="56" customFormat="1" ht="13.2" hidden="1" outlineLevel="1">
      <c r="A200" s="68"/>
      <c r="B200" s="105"/>
      <c r="C200" s="106"/>
      <c r="D200" s="61"/>
      <c r="E200" s="61"/>
      <c r="F200" s="61"/>
      <c r="G200" s="109"/>
      <c r="H200" s="61"/>
      <c r="I200" s="61"/>
      <c r="J200" s="61"/>
      <c r="K200" s="113"/>
      <c r="L200" s="109"/>
      <c r="M200" s="110"/>
      <c r="N200" s="39"/>
      <c r="O200" s="89"/>
      <c r="P200" s="41"/>
      <c r="Q200" s="42">
        <f t="shared" si="30"/>
        <v>0</v>
      </c>
      <c r="R200" s="43"/>
      <c r="S200" s="44">
        <f t="shared" si="31"/>
        <v>0</v>
      </c>
      <c r="T200" s="44">
        <f t="shared" si="32"/>
        <v>0</v>
      </c>
      <c r="U200" s="45"/>
      <c r="V200" s="46"/>
      <c r="W200" s="27"/>
      <c r="X200" s="47"/>
      <c r="Y200" s="48">
        <f t="shared" si="33"/>
        <v>0</v>
      </c>
      <c r="Z200" s="111"/>
      <c r="AA200" s="124"/>
    </row>
    <row r="201" spans="1:27" s="56" customFormat="1" ht="13.2" hidden="1" outlineLevel="1">
      <c r="A201" s="68"/>
      <c r="B201" s="105"/>
      <c r="C201" s="106"/>
      <c r="D201" s="61"/>
      <c r="E201" s="61"/>
      <c r="F201" s="61"/>
      <c r="G201" s="109"/>
      <c r="H201" s="61"/>
      <c r="I201" s="61"/>
      <c r="J201" s="61"/>
      <c r="K201" s="113"/>
      <c r="L201" s="109"/>
      <c r="M201" s="110"/>
      <c r="N201" s="39"/>
      <c r="O201" s="89"/>
      <c r="P201" s="41"/>
      <c r="Q201" s="42">
        <f t="shared" si="30"/>
        <v>0</v>
      </c>
      <c r="R201" s="43"/>
      <c r="S201" s="44">
        <f t="shared" si="31"/>
        <v>0</v>
      </c>
      <c r="T201" s="44">
        <f t="shared" si="32"/>
        <v>0</v>
      </c>
      <c r="U201" s="45"/>
      <c r="V201" s="46"/>
      <c r="W201" s="27"/>
      <c r="X201" s="47"/>
      <c r="Y201" s="48">
        <f t="shared" si="33"/>
        <v>0</v>
      </c>
      <c r="Z201" s="111"/>
      <c r="AA201" s="124"/>
    </row>
    <row r="202" spans="1:27" s="56" customFormat="1" ht="13.2" hidden="1" outlineLevel="1">
      <c r="A202" s="68"/>
      <c r="B202" s="105"/>
      <c r="C202" s="106"/>
      <c r="D202" s="61"/>
      <c r="E202" s="61"/>
      <c r="F202" s="61"/>
      <c r="G202" s="109"/>
      <c r="H202" s="61"/>
      <c r="I202" s="61"/>
      <c r="J202" s="61"/>
      <c r="K202" s="113"/>
      <c r="L202" s="109"/>
      <c r="M202" s="110"/>
      <c r="N202" s="39"/>
      <c r="O202" s="89"/>
      <c r="P202" s="41"/>
      <c r="Q202" s="42">
        <f t="shared" si="30"/>
        <v>0</v>
      </c>
      <c r="R202" s="43"/>
      <c r="S202" s="44">
        <f t="shared" si="31"/>
        <v>0</v>
      </c>
      <c r="T202" s="44">
        <f t="shared" si="32"/>
        <v>0</v>
      </c>
      <c r="U202" s="45"/>
      <c r="V202" s="46"/>
      <c r="W202" s="27"/>
      <c r="X202" s="47"/>
      <c r="Y202" s="48">
        <f t="shared" si="33"/>
        <v>0</v>
      </c>
      <c r="Z202" s="111"/>
      <c r="AA202" s="124"/>
    </row>
    <row r="203" spans="1:27" s="56" customFormat="1" ht="13.2" hidden="1" outlineLevel="1">
      <c r="A203" s="68"/>
      <c r="B203" s="105"/>
      <c r="C203" s="106"/>
      <c r="D203" s="61"/>
      <c r="E203" s="61"/>
      <c r="F203" s="61"/>
      <c r="G203" s="109"/>
      <c r="H203" s="61"/>
      <c r="I203" s="61"/>
      <c r="J203" s="61"/>
      <c r="K203" s="113"/>
      <c r="L203" s="109"/>
      <c r="M203" s="110"/>
      <c r="N203" s="39"/>
      <c r="O203" s="89"/>
      <c r="P203" s="41"/>
      <c r="Q203" s="42">
        <f t="shared" si="30"/>
        <v>0</v>
      </c>
      <c r="R203" s="43"/>
      <c r="S203" s="44">
        <f t="shared" si="31"/>
        <v>0</v>
      </c>
      <c r="T203" s="44">
        <f t="shared" si="32"/>
        <v>0</v>
      </c>
      <c r="U203" s="45"/>
      <c r="V203" s="46"/>
      <c r="W203" s="27"/>
      <c r="X203" s="47"/>
      <c r="Y203" s="48">
        <f t="shared" si="33"/>
        <v>0</v>
      </c>
      <c r="Z203" s="111"/>
      <c r="AA203" s="124"/>
    </row>
    <row r="204" spans="1:27" s="56" customFormat="1" ht="13.2" hidden="1" outlineLevel="1">
      <c r="A204" s="68"/>
      <c r="B204" s="105"/>
      <c r="C204" s="106"/>
      <c r="D204" s="61"/>
      <c r="E204" s="61"/>
      <c r="F204" s="61"/>
      <c r="G204" s="109"/>
      <c r="H204" s="61"/>
      <c r="I204" s="61"/>
      <c r="J204" s="61"/>
      <c r="K204" s="113"/>
      <c r="L204" s="109"/>
      <c r="M204" s="110"/>
      <c r="N204" s="39"/>
      <c r="O204" s="89"/>
      <c r="P204" s="41"/>
      <c r="Q204" s="42">
        <f t="shared" si="30"/>
        <v>0</v>
      </c>
      <c r="R204" s="43"/>
      <c r="S204" s="44">
        <f t="shared" si="31"/>
        <v>0</v>
      </c>
      <c r="T204" s="44">
        <f t="shared" si="32"/>
        <v>0</v>
      </c>
      <c r="U204" s="45"/>
      <c r="V204" s="46"/>
      <c r="W204" s="27"/>
      <c r="X204" s="47"/>
      <c r="Y204" s="48">
        <f t="shared" si="33"/>
        <v>0</v>
      </c>
      <c r="Z204" s="66"/>
      <c r="AA204" s="125"/>
    </row>
    <row r="205" spans="1:27" s="56" customFormat="1" ht="13.2" hidden="1" outlineLevel="1">
      <c r="A205" s="68"/>
      <c r="B205" s="105"/>
      <c r="C205" s="106"/>
      <c r="D205" s="61"/>
      <c r="E205" s="61"/>
      <c r="F205" s="61"/>
      <c r="G205" s="109"/>
      <c r="H205" s="61"/>
      <c r="I205" s="61"/>
      <c r="J205" s="61"/>
      <c r="K205" s="113"/>
      <c r="L205" s="109"/>
      <c r="M205" s="110"/>
      <c r="N205" s="39"/>
      <c r="O205" s="89"/>
      <c r="P205" s="41"/>
      <c r="Q205" s="42">
        <f t="shared" si="30"/>
        <v>0</v>
      </c>
      <c r="R205" s="43"/>
      <c r="S205" s="44">
        <f t="shared" si="31"/>
        <v>0</v>
      </c>
      <c r="T205" s="44">
        <f t="shared" si="32"/>
        <v>0</v>
      </c>
      <c r="U205" s="45"/>
      <c r="V205" s="46"/>
      <c r="W205" s="27"/>
      <c r="X205" s="47"/>
      <c r="Y205" s="48">
        <f t="shared" si="33"/>
        <v>0</v>
      </c>
      <c r="Z205" s="111"/>
      <c r="AA205" s="124"/>
    </row>
    <row r="206" spans="1:27" s="56" customFormat="1" ht="13.2" hidden="1" outlineLevel="1">
      <c r="A206" s="68"/>
      <c r="B206" s="105"/>
      <c r="C206" s="106"/>
      <c r="D206" s="61"/>
      <c r="E206" s="61"/>
      <c r="F206" s="61"/>
      <c r="G206" s="109"/>
      <c r="H206" s="61"/>
      <c r="I206" s="61"/>
      <c r="J206" s="61"/>
      <c r="K206" s="113"/>
      <c r="L206" s="109"/>
      <c r="M206" s="110"/>
      <c r="N206" s="39"/>
      <c r="O206" s="89"/>
      <c r="P206" s="41"/>
      <c r="Q206" s="42">
        <f t="shared" si="30"/>
        <v>0</v>
      </c>
      <c r="R206" s="43"/>
      <c r="S206" s="44">
        <f t="shared" si="31"/>
        <v>0</v>
      </c>
      <c r="T206" s="44">
        <f t="shared" si="32"/>
        <v>0</v>
      </c>
      <c r="U206" s="45"/>
      <c r="V206" s="46"/>
      <c r="W206" s="27"/>
      <c r="X206" s="47"/>
      <c r="Y206" s="48">
        <f t="shared" si="33"/>
        <v>0</v>
      </c>
      <c r="Z206" s="111"/>
      <c r="AA206" s="124"/>
    </row>
    <row r="207" spans="1:27" s="56" customFormat="1" ht="13.2" hidden="1" outlineLevel="1">
      <c r="A207" s="68"/>
      <c r="B207" s="105"/>
      <c r="C207" s="106"/>
      <c r="D207" s="61"/>
      <c r="E207" s="61"/>
      <c r="F207" s="61"/>
      <c r="G207" s="109"/>
      <c r="H207" s="61"/>
      <c r="I207" s="61"/>
      <c r="J207" s="61"/>
      <c r="K207" s="113"/>
      <c r="L207" s="109"/>
      <c r="M207" s="110"/>
      <c r="N207" s="39"/>
      <c r="O207" s="89"/>
      <c r="P207" s="41"/>
      <c r="Q207" s="42">
        <f t="shared" si="30"/>
        <v>0</v>
      </c>
      <c r="R207" s="43"/>
      <c r="S207" s="44">
        <f t="shared" si="31"/>
        <v>0</v>
      </c>
      <c r="T207" s="44">
        <f t="shared" si="32"/>
        <v>0</v>
      </c>
      <c r="U207" s="45"/>
      <c r="V207" s="46"/>
      <c r="W207" s="27"/>
      <c r="X207" s="47"/>
      <c r="Y207" s="48">
        <f t="shared" si="33"/>
        <v>0</v>
      </c>
      <c r="Z207" s="111"/>
      <c r="AA207" s="124"/>
    </row>
    <row r="208" spans="1:27" s="56" customFormat="1" ht="13.2" hidden="1" outlineLevel="1">
      <c r="A208" s="68"/>
      <c r="B208" s="105"/>
      <c r="C208" s="106"/>
      <c r="D208" s="61"/>
      <c r="E208" s="61"/>
      <c r="F208" s="61"/>
      <c r="G208" s="109"/>
      <c r="H208" s="61"/>
      <c r="I208" s="61"/>
      <c r="J208" s="61"/>
      <c r="K208" s="113"/>
      <c r="L208" s="109"/>
      <c r="M208" s="110"/>
      <c r="N208" s="39"/>
      <c r="O208" s="89"/>
      <c r="P208" s="41"/>
      <c r="Q208" s="42">
        <f t="shared" si="30"/>
        <v>0</v>
      </c>
      <c r="R208" s="43"/>
      <c r="S208" s="44">
        <f t="shared" si="31"/>
        <v>0</v>
      </c>
      <c r="T208" s="44">
        <f t="shared" si="32"/>
        <v>0</v>
      </c>
      <c r="U208" s="45"/>
      <c r="V208" s="46"/>
      <c r="W208" s="27"/>
      <c r="X208" s="47"/>
      <c r="Y208" s="48">
        <f t="shared" si="33"/>
        <v>0</v>
      </c>
      <c r="Z208" s="111"/>
      <c r="AA208" s="124"/>
    </row>
    <row r="209" spans="1:27" s="56" customFormat="1" ht="13.2" hidden="1" outlineLevel="1">
      <c r="A209" s="68"/>
      <c r="B209" s="105"/>
      <c r="C209" s="106"/>
      <c r="D209" s="61"/>
      <c r="E209" s="61"/>
      <c r="F209" s="61"/>
      <c r="G209" s="109"/>
      <c r="H209" s="61"/>
      <c r="I209" s="61"/>
      <c r="J209" s="61"/>
      <c r="K209" s="113"/>
      <c r="L209" s="109"/>
      <c r="M209" s="110"/>
      <c r="N209" s="39"/>
      <c r="O209" s="89"/>
      <c r="P209" s="41"/>
      <c r="Q209" s="42">
        <f t="shared" si="30"/>
        <v>0</v>
      </c>
      <c r="R209" s="43"/>
      <c r="S209" s="44">
        <f t="shared" si="31"/>
        <v>0</v>
      </c>
      <c r="T209" s="44">
        <f t="shared" si="32"/>
        <v>0</v>
      </c>
      <c r="U209" s="45"/>
      <c r="V209" s="46"/>
      <c r="W209" s="27"/>
      <c r="X209" s="47"/>
      <c r="Y209" s="48">
        <f t="shared" si="33"/>
        <v>0</v>
      </c>
      <c r="Z209" s="111"/>
      <c r="AA209" s="124"/>
    </row>
    <row r="210" spans="1:27" s="56" customFormat="1" ht="13.2" hidden="1" outlineLevel="1">
      <c r="A210" s="68"/>
      <c r="B210" s="105"/>
      <c r="C210" s="106"/>
      <c r="D210" s="61"/>
      <c r="E210" s="61"/>
      <c r="F210" s="61"/>
      <c r="G210" s="109"/>
      <c r="H210" s="61"/>
      <c r="I210" s="61"/>
      <c r="J210" s="61"/>
      <c r="K210" s="113"/>
      <c r="L210" s="109"/>
      <c r="M210" s="110"/>
      <c r="N210" s="39"/>
      <c r="O210" s="89"/>
      <c r="P210" s="41"/>
      <c r="Q210" s="42">
        <f t="shared" si="30"/>
        <v>0</v>
      </c>
      <c r="R210" s="43"/>
      <c r="S210" s="44">
        <f t="shared" si="31"/>
        <v>0</v>
      </c>
      <c r="T210" s="44">
        <f t="shared" si="32"/>
        <v>0</v>
      </c>
      <c r="U210" s="45"/>
      <c r="V210" s="46"/>
      <c r="W210" s="27"/>
      <c r="X210" s="47"/>
      <c r="Y210" s="48">
        <f t="shared" si="33"/>
        <v>0</v>
      </c>
      <c r="Z210" s="111"/>
      <c r="AA210" s="124"/>
    </row>
    <row r="211" spans="1:27" s="56" customFormat="1" ht="13.2" hidden="1" outlineLevel="1">
      <c r="A211" s="68"/>
      <c r="B211" s="105"/>
      <c r="C211" s="106"/>
      <c r="D211" s="61"/>
      <c r="E211" s="61"/>
      <c r="F211" s="61"/>
      <c r="G211" s="109"/>
      <c r="H211" s="61"/>
      <c r="I211" s="61"/>
      <c r="J211" s="61"/>
      <c r="K211" s="113"/>
      <c r="L211" s="109"/>
      <c r="M211" s="110"/>
      <c r="N211" s="39"/>
      <c r="O211" s="89"/>
      <c r="P211" s="41"/>
      <c r="Q211" s="42">
        <f t="shared" si="30"/>
        <v>0</v>
      </c>
      <c r="R211" s="43"/>
      <c r="S211" s="44">
        <f t="shared" si="31"/>
        <v>0</v>
      </c>
      <c r="T211" s="44">
        <f t="shared" si="32"/>
        <v>0</v>
      </c>
      <c r="U211" s="45"/>
      <c r="V211" s="46"/>
      <c r="W211" s="27"/>
      <c r="X211" s="47"/>
      <c r="Y211" s="48">
        <f t="shared" si="33"/>
        <v>0</v>
      </c>
      <c r="Z211" s="111"/>
      <c r="AA211" s="124"/>
    </row>
    <row r="212" spans="1:27" s="54" customFormat="1" ht="13.2" hidden="1" outlineLevel="1">
      <c r="A212" s="68"/>
      <c r="B212" s="126"/>
      <c r="C212" s="127"/>
      <c r="D212" s="61"/>
      <c r="E212" s="61"/>
      <c r="F212" s="61"/>
      <c r="G212" s="109"/>
      <c r="H212" s="61"/>
      <c r="I212" s="61"/>
      <c r="J212" s="61"/>
      <c r="K212" s="113"/>
      <c r="L212" s="109"/>
      <c r="M212" s="110"/>
      <c r="N212" s="39"/>
      <c r="O212" s="89"/>
      <c r="P212" s="41"/>
      <c r="Q212" s="42">
        <f t="shared" si="30"/>
        <v>0</v>
      </c>
      <c r="R212" s="43"/>
      <c r="S212" s="44">
        <f t="shared" si="31"/>
        <v>0</v>
      </c>
      <c r="T212" s="44">
        <f t="shared" si="32"/>
        <v>0</v>
      </c>
      <c r="U212" s="45"/>
      <c r="V212" s="46"/>
      <c r="W212" s="27"/>
      <c r="X212" s="47"/>
      <c r="Y212" s="48">
        <f t="shared" si="33"/>
        <v>0</v>
      </c>
      <c r="Z212" s="119"/>
      <c r="AA212" s="118"/>
    </row>
    <row r="213" spans="1:27" s="54" customFormat="1" ht="13.2" hidden="1" outlineLevel="1">
      <c r="A213" s="68"/>
      <c r="B213" s="126"/>
      <c r="C213" s="127"/>
      <c r="D213" s="61"/>
      <c r="E213" s="61"/>
      <c r="F213" s="61"/>
      <c r="G213" s="109"/>
      <c r="H213" s="61"/>
      <c r="I213" s="61"/>
      <c r="J213" s="61"/>
      <c r="K213" s="113"/>
      <c r="L213" s="109"/>
      <c r="M213" s="110"/>
      <c r="N213" s="39"/>
      <c r="O213" s="89"/>
      <c r="P213" s="41"/>
      <c r="Q213" s="42">
        <f t="shared" si="30"/>
        <v>0</v>
      </c>
      <c r="R213" s="43"/>
      <c r="S213" s="44">
        <f t="shared" si="31"/>
        <v>0</v>
      </c>
      <c r="T213" s="44">
        <f t="shared" si="32"/>
        <v>0</v>
      </c>
      <c r="U213" s="45"/>
      <c r="V213" s="46"/>
      <c r="W213" s="27"/>
      <c r="X213" s="47"/>
      <c r="Y213" s="48">
        <f t="shared" si="33"/>
        <v>0</v>
      </c>
      <c r="Z213" s="128"/>
      <c r="AA213" s="118"/>
    </row>
    <row r="214" spans="1:27" s="54" customFormat="1" ht="13.2" hidden="1" outlineLevel="1">
      <c r="A214" s="68"/>
      <c r="B214" s="129"/>
      <c r="C214" s="127"/>
      <c r="D214" s="61"/>
      <c r="E214" s="61"/>
      <c r="F214" s="61"/>
      <c r="G214" s="109"/>
      <c r="H214" s="61"/>
      <c r="I214" s="61"/>
      <c r="J214" s="61"/>
      <c r="K214" s="113"/>
      <c r="L214" s="109"/>
      <c r="M214" s="110"/>
      <c r="N214" s="39"/>
      <c r="O214" s="89"/>
      <c r="P214" s="41"/>
      <c r="Q214" s="42">
        <f t="shared" si="30"/>
        <v>0</v>
      </c>
      <c r="R214" s="43"/>
      <c r="S214" s="44">
        <f t="shared" si="31"/>
        <v>0</v>
      </c>
      <c r="T214" s="44">
        <f t="shared" si="32"/>
        <v>0</v>
      </c>
      <c r="U214" s="45"/>
      <c r="V214" s="46"/>
      <c r="W214" s="27"/>
      <c r="X214" s="47"/>
      <c r="Y214" s="48">
        <f t="shared" si="33"/>
        <v>0</v>
      </c>
      <c r="Z214" s="130"/>
      <c r="AA214" s="131"/>
    </row>
    <row r="215" spans="1:27" s="56" customFormat="1" ht="13.2" hidden="1" outlineLevel="1">
      <c r="A215" s="68"/>
      <c r="B215" s="105"/>
      <c r="C215" s="127"/>
      <c r="D215" s="61"/>
      <c r="E215" s="61"/>
      <c r="F215" s="61"/>
      <c r="G215" s="109"/>
      <c r="H215" s="61"/>
      <c r="I215" s="61"/>
      <c r="J215" s="61"/>
      <c r="K215" s="113"/>
      <c r="L215" s="109"/>
      <c r="M215" s="110"/>
      <c r="N215" s="39"/>
      <c r="O215" s="89"/>
      <c r="P215" s="41"/>
      <c r="Q215" s="42">
        <f t="shared" si="30"/>
        <v>0</v>
      </c>
      <c r="R215" s="43"/>
      <c r="S215" s="44">
        <f t="shared" si="31"/>
        <v>0</v>
      </c>
      <c r="T215" s="44">
        <f t="shared" si="32"/>
        <v>0</v>
      </c>
      <c r="U215" s="45"/>
      <c r="V215" s="46"/>
      <c r="W215" s="27"/>
      <c r="X215" s="47"/>
      <c r="Y215" s="48">
        <f t="shared" si="33"/>
        <v>0</v>
      </c>
      <c r="Z215" s="111"/>
      <c r="AA215" s="124"/>
    </row>
    <row r="216" spans="1:27" s="56" customFormat="1" ht="13.2" hidden="1" outlineLevel="1">
      <c r="A216" s="68"/>
      <c r="B216" s="105"/>
      <c r="C216" s="127"/>
      <c r="D216" s="61"/>
      <c r="E216" s="61"/>
      <c r="F216" s="61"/>
      <c r="G216" s="109"/>
      <c r="H216" s="61"/>
      <c r="I216" s="61"/>
      <c r="J216" s="61"/>
      <c r="K216" s="113"/>
      <c r="L216" s="109"/>
      <c r="M216" s="110"/>
      <c r="N216" s="39"/>
      <c r="O216" s="89"/>
      <c r="P216" s="41"/>
      <c r="Q216" s="42">
        <f t="shared" ref="Q216:Q279" si="34">N216-((N216*O216)+P216)</f>
        <v>0</v>
      </c>
      <c r="R216" s="43"/>
      <c r="S216" s="44">
        <f t="shared" ref="S216:S279" si="35">(N216+R216)*19.6%</f>
        <v>0</v>
      </c>
      <c r="T216" s="44">
        <f t="shared" ref="T216:T279" si="36">S216+N216+R216</f>
        <v>0</v>
      </c>
      <c r="U216" s="45"/>
      <c r="V216" s="46"/>
      <c r="W216" s="27"/>
      <c r="X216" s="47"/>
      <c r="Y216" s="48">
        <f t="shared" ref="Y216:Y279" si="37">T216-V216</f>
        <v>0</v>
      </c>
      <c r="Z216" s="111"/>
      <c r="AA216" s="124"/>
    </row>
    <row r="217" spans="1:27" s="54" customFormat="1" ht="13.2" hidden="1" outlineLevel="1">
      <c r="A217" s="68"/>
      <c r="B217" s="129"/>
      <c r="C217" s="127"/>
      <c r="D217" s="61"/>
      <c r="E217" s="61"/>
      <c r="F217" s="61"/>
      <c r="G217" s="109"/>
      <c r="H217" s="61"/>
      <c r="I217" s="61"/>
      <c r="J217" s="61"/>
      <c r="K217" s="113"/>
      <c r="L217" s="109"/>
      <c r="M217" s="110"/>
      <c r="N217" s="39"/>
      <c r="O217" s="89"/>
      <c r="P217" s="41"/>
      <c r="Q217" s="42">
        <f t="shared" si="34"/>
        <v>0</v>
      </c>
      <c r="R217" s="43"/>
      <c r="S217" s="44">
        <f t="shared" si="35"/>
        <v>0</v>
      </c>
      <c r="T217" s="44">
        <f t="shared" si="36"/>
        <v>0</v>
      </c>
      <c r="U217" s="45"/>
      <c r="V217" s="46"/>
      <c r="W217" s="27"/>
      <c r="X217" s="47"/>
      <c r="Y217" s="48">
        <f t="shared" si="37"/>
        <v>0</v>
      </c>
      <c r="Z217" s="130"/>
      <c r="AA217" s="131"/>
    </row>
    <row r="218" spans="1:27" s="54" customFormat="1" ht="13.2" hidden="1" outlineLevel="1">
      <c r="A218" s="68"/>
      <c r="B218" s="129"/>
      <c r="C218" s="127"/>
      <c r="D218" s="61"/>
      <c r="E218" s="61"/>
      <c r="F218" s="61"/>
      <c r="G218" s="109"/>
      <c r="H218" s="61"/>
      <c r="I218" s="61"/>
      <c r="J218" s="61"/>
      <c r="K218" s="113"/>
      <c r="L218" s="109"/>
      <c r="M218" s="110"/>
      <c r="N218" s="39"/>
      <c r="O218" s="89"/>
      <c r="P218" s="41"/>
      <c r="Q218" s="42">
        <f t="shared" si="34"/>
        <v>0</v>
      </c>
      <c r="R218" s="43"/>
      <c r="S218" s="44">
        <f t="shared" si="35"/>
        <v>0</v>
      </c>
      <c r="T218" s="44">
        <f t="shared" si="36"/>
        <v>0</v>
      </c>
      <c r="U218" s="45"/>
      <c r="V218" s="46"/>
      <c r="W218" s="27"/>
      <c r="X218" s="47"/>
      <c r="Y218" s="48">
        <f t="shared" si="37"/>
        <v>0</v>
      </c>
      <c r="Z218" s="130"/>
      <c r="AA218" s="131"/>
    </row>
    <row r="219" spans="1:27" s="134" customFormat="1" ht="13.2" hidden="1" outlineLevel="1">
      <c r="A219" s="68"/>
      <c r="B219" s="132"/>
      <c r="C219" s="127"/>
      <c r="D219" s="61"/>
      <c r="E219" s="61"/>
      <c r="F219" s="61"/>
      <c r="G219" s="109"/>
      <c r="H219" s="61"/>
      <c r="I219" s="61"/>
      <c r="J219" s="61"/>
      <c r="K219" s="113"/>
      <c r="L219" s="109"/>
      <c r="M219" s="110"/>
      <c r="N219" s="39"/>
      <c r="O219" s="89"/>
      <c r="P219" s="41"/>
      <c r="Q219" s="42">
        <f t="shared" si="34"/>
        <v>0</v>
      </c>
      <c r="R219" s="43"/>
      <c r="S219" s="44">
        <f t="shared" si="35"/>
        <v>0</v>
      </c>
      <c r="T219" s="44">
        <f t="shared" si="36"/>
        <v>0</v>
      </c>
      <c r="U219" s="45"/>
      <c r="V219" s="46"/>
      <c r="W219" s="27"/>
      <c r="X219" s="47"/>
      <c r="Y219" s="48">
        <f t="shared" si="37"/>
        <v>0</v>
      </c>
      <c r="Z219" s="133"/>
      <c r="AA219" s="124"/>
    </row>
    <row r="220" spans="1:27" s="134" customFormat="1" ht="13.2" hidden="1" outlineLevel="1">
      <c r="A220" s="68"/>
      <c r="B220" s="132"/>
      <c r="C220" s="127"/>
      <c r="D220" s="61"/>
      <c r="E220" s="61"/>
      <c r="F220" s="61"/>
      <c r="G220" s="109"/>
      <c r="H220" s="61"/>
      <c r="I220" s="61"/>
      <c r="J220" s="61"/>
      <c r="K220" s="113"/>
      <c r="L220" s="109"/>
      <c r="M220" s="110"/>
      <c r="N220" s="39"/>
      <c r="O220" s="89"/>
      <c r="P220" s="41"/>
      <c r="Q220" s="42">
        <f t="shared" si="34"/>
        <v>0</v>
      </c>
      <c r="R220" s="43"/>
      <c r="S220" s="44">
        <f t="shared" si="35"/>
        <v>0</v>
      </c>
      <c r="T220" s="44">
        <f t="shared" si="36"/>
        <v>0</v>
      </c>
      <c r="U220" s="45"/>
      <c r="V220" s="46"/>
      <c r="W220" s="27"/>
      <c r="X220" s="47"/>
      <c r="Y220" s="48">
        <f t="shared" si="37"/>
        <v>0</v>
      </c>
      <c r="Z220" s="133"/>
      <c r="AA220" s="124"/>
    </row>
    <row r="221" spans="1:27" s="134" customFormat="1" ht="13.2" hidden="1" outlineLevel="1">
      <c r="A221" s="68"/>
      <c r="B221" s="132"/>
      <c r="C221" s="127"/>
      <c r="D221" s="61"/>
      <c r="E221" s="61"/>
      <c r="F221" s="61"/>
      <c r="G221" s="109"/>
      <c r="H221" s="61"/>
      <c r="I221" s="61"/>
      <c r="J221" s="61"/>
      <c r="K221" s="113"/>
      <c r="L221" s="109"/>
      <c r="M221" s="110"/>
      <c r="N221" s="39"/>
      <c r="O221" s="89"/>
      <c r="P221" s="41"/>
      <c r="Q221" s="42">
        <f t="shared" si="34"/>
        <v>0</v>
      </c>
      <c r="R221" s="43"/>
      <c r="S221" s="44">
        <f t="shared" si="35"/>
        <v>0</v>
      </c>
      <c r="T221" s="44">
        <f t="shared" si="36"/>
        <v>0</v>
      </c>
      <c r="U221" s="45"/>
      <c r="V221" s="46"/>
      <c r="W221" s="27"/>
      <c r="X221" s="47"/>
      <c r="Y221" s="48">
        <f t="shared" si="37"/>
        <v>0</v>
      </c>
      <c r="Z221" s="133"/>
      <c r="AA221" s="124"/>
    </row>
    <row r="222" spans="1:27" s="134" customFormat="1" ht="13.2" hidden="1" outlineLevel="1">
      <c r="A222" s="68"/>
      <c r="B222" s="132"/>
      <c r="C222" s="127"/>
      <c r="D222" s="61"/>
      <c r="E222" s="61"/>
      <c r="F222" s="61"/>
      <c r="G222" s="109"/>
      <c r="H222" s="61"/>
      <c r="I222" s="61"/>
      <c r="J222" s="61"/>
      <c r="K222" s="113"/>
      <c r="L222" s="109"/>
      <c r="M222" s="110"/>
      <c r="N222" s="39"/>
      <c r="O222" s="89"/>
      <c r="P222" s="41"/>
      <c r="Q222" s="42">
        <f t="shared" si="34"/>
        <v>0</v>
      </c>
      <c r="R222" s="43"/>
      <c r="S222" s="44">
        <f t="shared" si="35"/>
        <v>0</v>
      </c>
      <c r="T222" s="44">
        <f t="shared" si="36"/>
        <v>0</v>
      </c>
      <c r="U222" s="45"/>
      <c r="V222" s="46"/>
      <c r="W222" s="27"/>
      <c r="X222" s="47"/>
      <c r="Y222" s="48">
        <f t="shared" si="37"/>
        <v>0</v>
      </c>
      <c r="Z222" s="133"/>
      <c r="AA222" s="124"/>
    </row>
    <row r="223" spans="1:27" s="134" customFormat="1" ht="13.2" hidden="1" outlineLevel="1">
      <c r="A223" s="68"/>
      <c r="B223" s="132"/>
      <c r="C223" s="127"/>
      <c r="D223" s="61"/>
      <c r="E223" s="61"/>
      <c r="F223" s="61"/>
      <c r="G223" s="109"/>
      <c r="H223" s="61"/>
      <c r="I223" s="61"/>
      <c r="J223" s="61"/>
      <c r="K223" s="113"/>
      <c r="L223" s="109"/>
      <c r="M223" s="110"/>
      <c r="N223" s="39"/>
      <c r="O223" s="89"/>
      <c r="P223" s="41"/>
      <c r="Q223" s="42">
        <f t="shared" si="34"/>
        <v>0</v>
      </c>
      <c r="R223" s="43"/>
      <c r="S223" s="44">
        <f t="shared" si="35"/>
        <v>0</v>
      </c>
      <c r="T223" s="44">
        <f t="shared" si="36"/>
        <v>0</v>
      </c>
      <c r="U223" s="45"/>
      <c r="V223" s="46"/>
      <c r="W223" s="27"/>
      <c r="X223" s="47"/>
      <c r="Y223" s="48">
        <f t="shared" si="37"/>
        <v>0</v>
      </c>
      <c r="Z223" s="133"/>
      <c r="AA223" s="124"/>
    </row>
    <row r="224" spans="1:27" s="134" customFormat="1" ht="13.2" hidden="1" outlineLevel="1">
      <c r="A224" s="68"/>
      <c r="B224" s="132"/>
      <c r="C224" s="127"/>
      <c r="D224" s="61"/>
      <c r="E224" s="61"/>
      <c r="F224" s="61"/>
      <c r="G224" s="109"/>
      <c r="H224" s="61"/>
      <c r="I224" s="61"/>
      <c r="J224" s="61"/>
      <c r="K224" s="113"/>
      <c r="L224" s="109"/>
      <c r="M224" s="110"/>
      <c r="N224" s="39"/>
      <c r="O224" s="89"/>
      <c r="P224" s="41"/>
      <c r="Q224" s="42">
        <f t="shared" si="34"/>
        <v>0</v>
      </c>
      <c r="R224" s="43"/>
      <c r="S224" s="44">
        <f t="shared" si="35"/>
        <v>0</v>
      </c>
      <c r="T224" s="44">
        <f t="shared" si="36"/>
        <v>0</v>
      </c>
      <c r="U224" s="45"/>
      <c r="V224" s="46"/>
      <c r="W224" s="27"/>
      <c r="X224" s="47"/>
      <c r="Y224" s="48">
        <f t="shared" si="37"/>
        <v>0</v>
      </c>
      <c r="Z224" s="133"/>
      <c r="AA224" s="124"/>
    </row>
    <row r="225" spans="1:27" s="134" customFormat="1" ht="13.2" hidden="1" outlineLevel="1">
      <c r="A225" s="68"/>
      <c r="B225" s="132"/>
      <c r="C225" s="127"/>
      <c r="D225" s="61"/>
      <c r="E225" s="61"/>
      <c r="F225" s="61"/>
      <c r="G225" s="109"/>
      <c r="H225" s="61"/>
      <c r="I225" s="61"/>
      <c r="J225" s="61"/>
      <c r="K225" s="113"/>
      <c r="L225" s="109"/>
      <c r="M225" s="110"/>
      <c r="N225" s="39"/>
      <c r="O225" s="89"/>
      <c r="P225" s="41"/>
      <c r="Q225" s="42">
        <f t="shared" si="34"/>
        <v>0</v>
      </c>
      <c r="R225" s="43"/>
      <c r="S225" s="44">
        <f t="shared" si="35"/>
        <v>0</v>
      </c>
      <c r="T225" s="44">
        <f t="shared" si="36"/>
        <v>0</v>
      </c>
      <c r="U225" s="45"/>
      <c r="V225" s="46"/>
      <c r="W225" s="27"/>
      <c r="X225" s="47"/>
      <c r="Y225" s="48">
        <f t="shared" si="37"/>
        <v>0</v>
      </c>
      <c r="Z225" s="133"/>
      <c r="AA225" s="124"/>
    </row>
    <row r="226" spans="1:27" s="134" customFormat="1" ht="13.2" hidden="1" outlineLevel="1">
      <c r="A226" s="68"/>
      <c r="B226" s="132"/>
      <c r="C226" s="127"/>
      <c r="D226" s="61"/>
      <c r="E226" s="61"/>
      <c r="F226" s="61"/>
      <c r="G226" s="109"/>
      <c r="H226" s="61"/>
      <c r="I226" s="61"/>
      <c r="J226" s="61"/>
      <c r="K226" s="113"/>
      <c r="L226" s="109"/>
      <c r="M226" s="110"/>
      <c r="N226" s="39"/>
      <c r="O226" s="89"/>
      <c r="P226" s="41"/>
      <c r="Q226" s="42">
        <f t="shared" si="34"/>
        <v>0</v>
      </c>
      <c r="R226" s="43"/>
      <c r="S226" s="44">
        <f t="shared" si="35"/>
        <v>0</v>
      </c>
      <c r="T226" s="44">
        <f t="shared" si="36"/>
        <v>0</v>
      </c>
      <c r="U226" s="45"/>
      <c r="V226" s="46"/>
      <c r="W226" s="27"/>
      <c r="X226" s="47"/>
      <c r="Y226" s="48">
        <f t="shared" si="37"/>
        <v>0</v>
      </c>
      <c r="Z226" s="133"/>
      <c r="AA226" s="124"/>
    </row>
    <row r="227" spans="1:27" s="134" customFormat="1" ht="13.2" hidden="1" outlineLevel="1">
      <c r="A227" s="68"/>
      <c r="B227" s="132"/>
      <c r="C227" s="127"/>
      <c r="D227" s="61"/>
      <c r="E227" s="61"/>
      <c r="F227" s="61"/>
      <c r="G227" s="109"/>
      <c r="H227" s="61"/>
      <c r="I227" s="61"/>
      <c r="J227" s="61"/>
      <c r="K227" s="113"/>
      <c r="L227" s="109"/>
      <c r="M227" s="110"/>
      <c r="N227" s="39"/>
      <c r="O227" s="89"/>
      <c r="P227" s="41"/>
      <c r="Q227" s="42">
        <f t="shared" si="34"/>
        <v>0</v>
      </c>
      <c r="R227" s="43"/>
      <c r="S227" s="44">
        <f t="shared" si="35"/>
        <v>0</v>
      </c>
      <c r="T227" s="44">
        <f t="shared" si="36"/>
        <v>0</v>
      </c>
      <c r="U227" s="45"/>
      <c r="V227" s="46"/>
      <c r="W227" s="27"/>
      <c r="X227" s="47"/>
      <c r="Y227" s="48">
        <f t="shared" si="37"/>
        <v>0</v>
      </c>
      <c r="Z227" s="133"/>
      <c r="AA227" s="124"/>
    </row>
    <row r="228" spans="1:27" s="134" customFormat="1" ht="13.2" hidden="1" outlineLevel="1">
      <c r="A228" s="68"/>
      <c r="B228" s="132"/>
      <c r="C228" s="127"/>
      <c r="D228" s="61"/>
      <c r="E228" s="61"/>
      <c r="F228" s="61"/>
      <c r="G228" s="109"/>
      <c r="H228" s="61"/>
      <c r="I228" s="61"/>
      <c r="J228" s="61"/>
      <c r="K228" s="113"/>
      <c r="L228" s="109"/>
      <c r="M228" s="110"/>
      <c r="N228" s="39"/>
      <c r="O228" s="89"/>
      <c r="P228" s="41"/>
      <c r="Q228" s="42">
        <f t="shared" si="34"/>
        <v>0</v>
      </c>
      <c r="R228" s="43"/>
      <c r="S228" s="44">
        <f t="shared" si="35"/>
        <v>0</v>
      </c>
      <c r="T228" s="44">
        <f t="shared" si="36"/>
        <v>0</v>
      </c>
      <c r="U228" s="45"/>
      <c r="V228" s="46"/>
      <c r="W228" s="27"/>
      <c r="X228" s="47"/>
      <c r="Y228" s="48">
        <f t="shared" si="37"/>
        <v>0</v>
      </c>
      <c r="Z228" s="133"/>
      <c r="AA228" s="124"/>
    </row>
    <row r="229" spans="1:27" s="134" customFormat="1" ht="13.2" hidden="1" outlineLevel="1">
      <c r="A229" s="68"/>
      <c r="B229" s="132"/>
      <c r="C229" s="127"/>
      <c r="D229" s="61"/>
      <c r="E229" s="61"/>
      <c r="F229" s="61"/>
      <c r="G229" s="109"/>
      <c r="H229" s="61"/>
      <c r="I229" s="61"/>
      <c r="J229" s="61"/>
      <c r="K229" s="113"/>
      <c r="L229" s="109"/>
      <c r="M229" s="110"/>
      <c r="N229" s="39"/>
      <c r="O229" s="89"/>
      <c r="P229" s="41"/>
      <c r="Q229" s="42">
        <f t="shared" si="34"/>
        <v>0</v>
      </c>
      <c r="R229" s="43"/>
      <c r="S229" s="44">
        <f t="shared" si="35"/>
        <v>0</v>
      </c>
      <c r="T229" s="44">
        <f t="shared" si="36"/>
        <v>0</v>
      </c>
      <c r="U229" s="45"/>
      <c r="V229" s="46"/>
      <c r="W229" s="27"/>
      <c r="X229" s="47"/>
      <c r="Y229" s="48">
        <f t="shared" si="37"/>
        <v>0</v>
      </c>
      <c r="Z229" s="133"/>
      <c r="AA229" s="124"/>
    </row>
    <row r="230" spans="1:27" s="54" customFormat="1" ht="13.2" hidden="1" outlineLevel="1">
      <c r="A230" s="68"/>
      <c r="B230" s="105"/>
      <c r="C230" s="106"/>
      <c r="D230" s="61"/>
      <c r="E230" s="61"/>
      <c r="F230" s="61"/>
      <c r="G230" s="109"/>
      <c r="H230" s="61"/>
      <c r="I230" s="61"/>
      <c r="J230" s="61"/>
      <c r="K230" s="113"/>
      <c r="L230" s="109"/>
      <c r="M230" s="110"/>
      <c r="N230" s="39"/>
      <c r="O230" s="89"/>
      <c r="P230" s="41"/>
      <c r="Q230" s="42">
        <f t="shared" si="34"/>
        <v>0</v>
      </c>
      <c r="R230" s="43"/>
      <c r="S230" s="44">
        <f t="shared" si="35"/>
        <v>0</v>
      </c>
      <c r="T230" s="44">
        <f t="shared" si="36"/>
        <v>0</v>
      </c>
      <c r="U230" s="45"/>
      <c r="V230" s="46"/>
      <c r="W230" s="27"/>
      <c r="X230" s="47"/>
      <c r="Y230" s="48">
        <f t="shared" si="37"/>
        <v>0</v>
      </c>
      <c r="Z230" s="117"/>
      <c r="AA230" s="135"/>
    </row>
    <row r="231" spans="1:27" s="54" customFormat="1" ht="13.2" hidden="1" outlineLevel="1">
      <c r="A231" s="68"/>
      <c r="B231" s="105"/>
      <c r="C231" s="106"/>
      <c r="D231" s="61"/>
      <c r="E231" s="61"/>
      <c r="F231" s="61"/>
      <c r="G231" s="109"/>
      <c r="H231" s="61"/>
      <c r="I231" s="61"/>
      <c r="J231" s="61"/>
      <c r="K231" s="113"/>
      <c r="L231" s="109"/>
      <c r="M231" s="110"/>
      <c r="N231" s="39"/>
      <c r="O231" s="89"/>
      <c r="P231" s="41"/>
      <c r="Q231" s="42">
        <f t="shared" si="34"/>
        <v>0</v>
      </c>
      <c r="R231" s="43"/>
      <c r="S231" s="44">
        <f t="shared" si="35"/>
        <v>0</v>
      </c>
      <c r="T231" s="44">
        <f t="shared" si="36"/>
        <v>0</v>
      </c>
      <c r="U231" s="45"/>
      <c r="V231" s="46"/>
      <c r="W231" s="27"/>
      <c r="X231" s="47"/>
      <c r="Y231" s="48">
        <f t="shared" si="37"/>
        <v>0</v>
      </c>
      <c r="Z231" s="111"/>
      <c r="AA231" s="135"/>
    </row>
    <row r="232" spans="1:27" s="54" customFormat="1" ht="13.2" hidden="1" outlineLevel="1">
      <c r="A232" s="68"/>
      <c r="B232" s="126"/>
      <c r="C232" s="127"/>
      <c r="D232" s="61"/>
      <c r="E232" s="61"/>
      <c r="F232" s="61"/>
      <c r="G232" s="109"/>
      <c r="H232" s="61"/>
      <c r="I232" s="61"/>
      <c r="J232" s="61"/>
      <c r="K232" s="113"/>
      <c r="L232" s="109"/>
      <c r="M232" s="110"/>
      <c r="N232" s="39"/>
      <c r="O232" s="89"/>
      <c r="P232" s="41"/>
      <c r="Q232" s="42">
        <f t="shared" si="34"/>
        <v>0</v>
      </c>
      <c r="R232" s="43"/>
      <c r="S232" s="44">
        <f t="shared" si="35"/>
        <v>0</v>
      </c>
      <c r="T232" s="44">
        <f t="shared" si="36"/>
        <v>0</v>
      </c>
      <c r="U232" s="45"/>
      <c r="V232" s="46"/>
      <c r="W232" s="27"/>
      <c r="X232" s="47"/>
      <c r="Y232" s="48">
        <f t="shared" si="37"/>
        <v>0</v>
      </c>
      <c r="Z232" s="119"/>
      <c r="AA232" s="136"/>
    </row>
    <row r="233" spans="1:27" s="54" customFormat="1" ht="13.2" hidden="1" outlineLevel="1">
      <c r="A233" s="68"/>
      <c r="B233" s="126"/>
      <c r="C233" s="127"/>
      <c r="D233" s="61"/>
      <c r="E233" s="61"/>
      <c r="F233" s="61"/>
      <c r="G233" s="109"/>
      <c r="H233" s="61"/>
      <c r="I233" s="61"/>
      <c r="J233" s="61"/>
      <c r="K233" s="113"/>
      <c r="L233" s="109"/>
      <c r="M233" s="110"/>
      <c r="N233" s="39"/>
      <c r="O233" s="89"/>
      <c r="P233" s="41"/>
      <c r="Q233" s="42">
        <f t="shared" si="34"/>
        <v>0</v>
      </c>
      <c r="R233" s="43"/>
      <c r="S233" s="44">
        <f t="shared" si="35"/>
        <v>0</v>
      </c>
      <c r="T233" s="44">
        <f t="shared" si="36"/>
        <v>0</v>
      </c>
      <c r="U233" s="45"/>
      <c r="V233" s="46"/>
      <c r="W233" s="27"/>
      <c r="X233" s="47"/>
      <c r="Y233" s="48">
        <f t="shared" si="37"/>
        <v>0</v>
      </c>
      <c r="Z233" s="119"/>
      <c r="AA233" s="136"/>
    </row>
    <row r="234" spans="1:27" s="54" customFormat="1" ht="13.2" hidden="1" outlineLevel="1">
      <c r="A234" s="68"/>
      <c r="B234" s="126"/>
      <c r="C234" s="127"/>
      <c r="D234" s="61"/>
      <c r="E234" s="61"/>
      <c r="F234" s="61"/>
      <c r="G234" s="109"/>
      <c r="H234" s="61"/>
      <c r="I234" s="61"/>
      <c r="J234" s="61"/>
      <c r="K234" s="113"/>
      <c r="L234" s="109"/>
      <c r="M234" s="110"/>
      <c r="N234" s="39"/>
      <c r="O234" s="89"/>
      <c r="P234" s="41"/>
      <c r="Q234" s="42">
        <f t="shared" si="34"/>
        <v>0</v>
      </c>
      <c r="R234" s="43"/>
      <c r="S234" s="44">
        <f t="shared" si="35"/>
        <v>0</v>
      </c>
      <c r="T234" s="44">
        <f t="shared" si="36"/>
        <v>0</v>
      </c>
      <c r="U234" s="45"/>
      <c r="V234" s="46"/>
      <c r="W234" s="27"/>
      <c r="X234" s="47"/>
      <c r="Y234" s="48">
        <f t="shared" si="37"/>
        <v>0</v>
      </c>
      <c r="Z234" s="119"/>
      <c r="AA234" s="118"/>
    </row>
    <row r="235" spans="1:27" s="54" customFormat="1" ht="13.2" hidden="1" outlineLevel="1">
      <c r="A235" s="68"/>
      <c r="B235" s="126"/>
      <c r="C235" s="127"/>
      <c r="D235" s="61"/>
      <c r="E235" s="61"/>
      <c r="F235" s="61"/>
      <c r="G235" s="109"/>
      <c r="H235" s="61"/>
      <c r="I235" s="61"/>
      <c r="J235" s="61"/>
      <c r="K235" s="113"/>
      <c r="L235" s="109"/>
      <c r="M235" s="110"/>
      <c r="N235" s="39"/>
      <c r="O235" s="89"/>
      <c r="P235" s="41"/>
      <c r="Q235" s="42">
        <f t="shared" si="34"/>
        <v>0</v>
      </c>
      <c r="R235" s="43"/>
      <c r="S235" s="44">
        <f t="shared" si="35"/>
        <v>0</v>
      </c>
      <c r="T235" s="44">
        <f t="shared" si="36"/>
        <v>0</v>
      </c>
      <c r="U235" s="45"/>
      <c r="V235" s="46"/>
      <c r="W235" s="27"/>
      <c r="X235" s="47"/>
      <c r="Y235" s="48">
        <f t="shared" si="37"/>
        <v>0</v>
      </c>
      <c r="Z235" s="119"/>
      <c r="AA235" s="118"/>
    </row>
    <row r="236" spans="1:27" s="54" customFormat="1" ht="13.2" hidden="1" outlineLevel="1">
      <c r="A236" s="68"/>
      <c r="B236" s="126"/>
      <c r="C236" s="127"/>
      <c r="D236" s="61"/>
      <c r="E236" s="61"/>
      <c r="F236" s="61"/>
      <c r="G236" s="109"/>
      <c r="H236" s="61"/>
      <c r="I236" s="61"/>
      <c r="J236" s="61"/>
      <c r="K236" s="113"/>
      <c r="L236" s="109"/>
      <c r="M236" s="110"/>
      <c r="N236" s="39"/>
      <c r="O236" s="89"/>
      <c r="P236" s="41"/>
      <c r="Q236" s="42">
        <f t="shared" si="34"/>
        <v>0</v>
      </c>
      <c r="R236" s="43"/>
      <c r="S236" s="44">
        <f t="shared" si="35"/>
        <v>0</v>
      </c>
      <c r="T236" s="44">
        <f t="shared" si="36"/>
        <v>0</v>
      </c>
      <c r="U236" s="45"/>
      <c r="V236" s="46"/>
      <c r="W236" s="27"/>
      <c r="X236" s="47"/>
      <c r="Y236" s="48">
        <f t="shared" si="37"/>
        <v>0</v>
      </c>
      <c r="Z236" s="119"/>
      <c r="AA236" s="118"/>
    </row>
    <row r="237" spans="1:27" s="54" customFormat="1" ht="13.2" hidden="1" outlineLevel="1">
      <c r="A237" s="68"/>
      <c r="B237" s="126"/>
      <c r="C237" s="127"/>
      <c r="D237" s="61"/>
      <c r="E237" s="61"/>
      <c r="F237" s="61"/>
      <c r="G237" s="109"/>
      <c r="H237" s="61"/>
      <c r="I237" s="61"/>
      <c r="J237" s="61"/>
      <c r="K237" s="113"/>
      <c r="L237" s="109"/>
      <c r="M237" s="110"/>
      <c r="N237" s="39"/>
      <c r="O237" s="89"/>
      <c r="P237" s="41"/>
      <c r="Q237" s="42">
        <f t="shared" si="34"/>
        <v>0</v>
      </c>
      <c r="R237" s="43"/>
      <c r="S237" s="44">
        <f t="shared" si="35"/>
        <v>0</v>
      </c>
      <c r="T237" s="44">
        <f t="shared" si="36"/>
        <v>0</v>
      </c>
      <c r="U237" s="45"/>
      <c r="V237" s="46"/>
      <c r="W237" s="27"/>
      <c r="X237" s="47"/>
      <c r="Y237" s="48">
        <f t="shared" si="37"/>
        <v>0</v>
      </c>
      <c r="Z237" s="119"/>
      <c r="AA237" s="118"/>
    </row>
    <row r="238" spans="1:27" s="54" customFormat="1" ht="13.2" hidden="1" outlineLevel="1">
      <c r="A238" s="68"/>
      <c r="B238" s="105"/>
      <c r="C238" s="106"/>
      <c r="D238" s="61"/>
      <c r="E238" s="61"/>
      <c r="F238" s="61"/>
      <c r="G238" s="109"/>
      <c r="H238" s="61"/>
      <c r="I238" s="61"/>
      <c r="J238" s="61"/>
      <c r="K238" s="113"/>
      <c r="L238" s="109"/>
      <c r="M238" s="110"/>
      <c r="N238" s="39"/>
      <c r="O238" s="89"/>
      <c r="P238" s="41"/>
      <c r="Q238" s="42">
        <f t="shared" si="34"/>
        <v>0</v>
      </c>
      <c r="R238" s="43"/>
      <c r="S238" s="44">
        <f t="shared" si="35"/>
        <v>0</v>
      </c>
      <c r="T238" s="44">
        <f t="shared" si="36"/>
        <v>0</v>
      </c>
      <c r="U238" s="45"/>
      <c r="V238" s="46"/>
      <c r="W238" s="27"/>
      <c r="X238" s="47"/>
      <c r="Y238" s="48">
        <f t="shared" si="37"/>
        <v>0</v>
      </c>
      <c r="Z238" s="117"/>
      <c r="AA238" s="135"/>
    </row>
    <row r="239" spans="1:27" s="54" customFormat="1" ht="13.2" hidden="1" outlineLevel="1">
      <c r="A239" s="68"/>
      <c r="B239" s="105"/>
      <c r="C239" s="106"/>
      <c r="D239" s="61"/>
      <c r="E239" s="61"/>
      <c r="F239" s="61"/>
      <c r="G239" s="109"/>
      <c r="H239" s="61"/>
      <c r="I239" s="61"/>
      <c r="J239" s="61"/>
      <c r="K239" s="113"/>
      <c r="L239" s="109"/>
      <c r="M239" s="110"/>
      <c r="N239" s="39"/>
      <c r="O239" s="89"/>
      <c r="P239" s="41"/>
      <c r="Q239" s="42">
        <f t="shared" si="34"/>
        <v>0</v>
      </c>
      <c r="R239" s="43"/>
      <c r="S239" s="44">
        <f t="shared" si="35"/>
        <v>0</v>
      </c>
      <c r="T239" s="44">
        <f t="shared" si="36"/>
        <v>0</v>
      </c>
      <c r="U239" s="45"/>
      <c r="V239" s="46"/>
      <c r="W239" s="27"/>
      <c r="X239" s="47"/>
      <c r="Y239" s="48">
        <f t="shared" si="37"/>
        <v>0</v>
      </c>
      <c r="Z239" s="117"/>
      <c r="AA239" s="118"/>
    </row>
    <row r="240" spans="1:27" s="54" customFormat="1" ht="13.2" hidden="1" outlineLevel="1">
      <c r="A240" s="68"/>
      <c r="B240" s="105"/>
      <c r="C240" s="106"/>
      <c r="D240" s="61"/>
      <c r="E240" s="61"/>
      <c r="F240" s="61"/>
      <c r="G240" s="109"/>
      <c r="H240" s="61"/>
      <c r="I240" s="61"/>
      <c r="J240" s="61"/>
      <c r="K240" s="113"/>
      <c r="L240" s="109"/>
      <c r="M240" s="110"/>
      <c r="N240" s="39"/>
      <c r="O240" s="89"/>
      <c r="P240" s="41"/>
      <c r="Q240" s="42">
        <f t="shared" si="34"/>
        <v>0</v>
      </c>
      <c r="R240" s="43"/>
      <c r="S240" s="44">
        <f t="shared" si="35"/>
        <v>0</v>
      </c>
      <c r="T240" s="44">
        <f t="shared" si="36"/>
        <v>0</v>
      </c>
      <c r="U240" s="45"/>
      <c r="V240" s="46"/>
      <c r="W240" s="27"/>
      <c r="X240" s="47"/>
      <c r="Y240" s="48">
        <f t="shared" si="37"/>
        <v>0</v>
      </c>
      <c r="Z240" s="117"/>
      <c r="AA240" s="118"/>
    </row>
    <row r="241" spans="1:27" s="54" customFormat="1" ht="13.2" hidden="1" outlineLevel="1">
      <c r="A241" s="68"/>
      <c r="B241" s="105"/>
      <c r="C241" s="106"/>
      <c r="D241" s="61"/>
      <c r="E241" s="61"/>
      <c r="F241" s="61"/>
      <c r="G241" s="109"/>
      <c r="H241" s="61"/>
      <c r="I241" s="61"/>
      <c r="J241" s="61"/>
      <c r="K241" s="113"/>
      <c r="L241" s="109"/>
      <c r="M241" s="110"/>
      <c r="N241" s="39"/>
      <c r="O241" s="89"/>
      <c r="P241" s="41"/>
      <c r="Q241" s="42">
        <f t="shared" si="34"/>
        <v>0</v>
      </c>
      <c r="R241" s="43"/>
      <c r="S241" s="44">
        <f t="shared" si="35"/>
        <v>0</v>
      </c>
      <c r="T241" s="44">
        <f t="shared" si="36"/>
        <v>0</v>
      </c>
      <c r="U241" s="45"/>
      <c r="V241" s="46"/>
      <c r="W241" s="27"/>
      <c r="X241" s="47"/>
      <c r="Y241" s="48">
        <f t="shared" si="37"/>
        <v>0</v>
      </c>
      <c r="Z241" s="117"/>
      <c r="AA241" s="118"/>
    </row>
    <row r="242" spans="1:27" s="54" customFormat="1" ht="13.2" hidden="1" outlineLevel="1">
      <c r="A242" s="68"/>
      <c r="B242" s="105"/>
      <c r="C242" s="106"/>
      <c r="D242" s="61"/>
      <c r="E242" s="61"/>
      <c r="F242" s="61"/>
      <c r="G242" s="109"/>
      <c r="H242" s="61"/>
      <c r="I242" s="61"/>
      <c r="J242" s="61"/>
      <c r="K242" s="113"/>
      <c r="L242" s="109"/>
      <c r="M242" s="110"/>
      <c r="N242" s="39"/>
      <c r="O242" s="89"/>
      <c r="P242" s="41"/>
      <c r="Q242" s="42">
        <f t="shared" si="34"/>
        <v>0</v>
      </c>
      <c r="R242" s="43"/>
      <c r="S242" s="44">
        <f t="shared" si="35"/>
        <v>0</v>
      </c>
      <c r="T242" s="44">
        <f t="shared" si="36"/>
        <v>0</v>
      </c>
      <c r="U242" s="45"/>
      <c r="V242" s="46"/>
      <c r="W242" s="27"/>
      <c r="X242" s="47"/>
      <c r="Y242" s="48">
        <f t="shared" si="37"/>
        <v>0</v>
      </c>
      <c r="Z242" s="117"/>
      <c r="AA242" s="67"/>
    </row>
    <row r="243" spans="1:27" s="54" customFormat="1" ht="13.2" hidden="1" outlineLevel="1">
      <c r="A243" s="68"/>
      <c r="B243" s="105"/>
      <c r="C243" s="106"/>
      <c r="D243" s="61"/>
      <c r="E243" s="61"/>
      <c r="F243" s="61"/>
      <c r="G243" s="109"/>
      <c r="H243" s="61"/>
      <c r="I243" s="61"/>
      <c r="J243" s="61"/>
      <c r="K243" s="113"/>
      <c r="L243" s="109"/>
      <c r="M243" s="110"/>
      <c r="N243" s="39"/>
      <c r="O243" s="89"/>
      <c r="P243" s="41"/>
      <c r="Q243" s="42">
        <f t="shared" si="34"/>
        <v>0</v>
      </c>
      <c r="R243" s="43"/>
      <c r="S243" s="44">
        <f t="shared" si="35"/>
        <v>0</v>
      </c>
      <c r="T243" s="44">
        <f t="shared" si="36"/>
        <v>0</v>
      </c>
      <c r="U243" s="45"/>
      <c r="V243" s="46"/>
      <c r="W243" s="27"/>
      <c r="X243" s="47"/>
      <c r="Y243" s="48">
        <f t="shared" si="37"/>
        <v>0</v>
      </c>
      <c r="Z243" s="117"/>
      <c r="AA243" s="67"/>
    </row>
    <row r="244" spans="1:27" s="54" customFormat="1" ht="13.2" hidden="1" outlineLevel="1">
      <c r="A244" s="68"/>
      <c r="B244" s="105"/>
      <c r="C244" s="106"/>
      <c r="D244" s="61"/>
      <c r="E244" s="61"/>
      <c r="F244" s="61"/>
      <c r="G244" s="109"/>
      <c r="H244" s="61"/>
      <c r="I244" s="61"/>
      <c r="J244" s="61"/>
      <c r="K244" s="113"/>
      <c r="L244" s="109"/>
      <c r="M244" s="110"/>
      <c r="N244" s="39"/>
      <c r="O244" s="89"/>
      <c r="P244" s="41"/>
      <c r="Q244" s="42">
        <f t="shared" si="34"/>
        <v>0</v>
      </c>
      <c r="R244" s="43"/>
      <c r="S244" s="44">
        <f t="shared" si="35"/>
        <v>0</v>
      </c>
      <c r="T244" s="44">
        <f t="shared" si="36"/>
        <v>0</v>
      </c>
      <c r="U244" s="45"/>
      <c r="V244" s="46"/>
      <c r="W244" s="27"/>
      <c r="X244" s="47"/>
      <c r="Y244" s="48">
        <f t="shared" si="37"/>
        <v>0</v>
      </c>
      <c r="Z244" s="117"/>
      <c r="AA244" s="135"/>
    </row>
    <row r="245" spans="1:27" s="54" customFormat="1" ht="13.2" hidden="1" outlineLevel="1">
      <c r="A245" s="68"/>
      <c r="B245" s="105"/>
      <c r="C245" s="106"/>
      <c r="D245" s="61"/>
      <c r="E245" s="61"/>
      <c r="F245" s="61"/>
      <c r="G245" s="109"/>
      <c r="H245" s="61"/>
      <c r="I245" s="61"/>
      <c r="J245" s="61"/>
      <c r="K245" s="113"/>
      <c r="L245" s="109"/>
      <c r="M245" s="110"/>
      <c r="N245" s="39"/>
      <c r="O245" s="89"/>
      <c r="P245" s="41"/>
      <c r="Q245" s="42">
        <f t="shared" si="34"/>
        <v>0</v>
      </c>
      <c r="R245" s="43"/>
      <c r="S245" s="44">
        <f t="shared" si="35"/>
        <v>0</v>
      </c>
      <c r="T245" s="44">
        <f t="shared" si="36"/>
        <v>0</v>
      </c>
      <c r="U245" s="45"/>
      <c r="V245" s="46"/>
      <c r="W245" s="27"/>
      <c r="X245" s="47"/>
      <c r="Y245" s="48">
        <f t="shared" si="37"/>
        <v>0</v>
      </c>
      <c r="Z245" s="117"/>
      <c r="AA245" s="135"/>
    </row>
    <row r="246" spans="1:27" s="54" customFormat="1" ht="13.2" hidden="1" outlineLevel="1">
      <c r="A246" s="68"/>
      <c r="B246" s="126"/>
      <c r="C246" s="127"/>
      <c r="D246" s="61"/>
      <c r="E246" s="61"/>
      <c r="F246" s="61"/>
      <c r="G246" s="109"/>
      <c r="H246" s="61"/>
      <c r="I246" s="61"/>
      <c r="J246" s="61"/>
      <c r="K246" s="113"/>
      <c r="L246" s="109"/>
      <c r="M246" s="110"/>
      <c r="N246" s="39"/>
      <c r="O246" s="89"/>
      <c r="P246" s="41"/>
      <c r="Q246" s="42">
        <f t="shared" si="34"/>
        <v>0</v>
      </c>
      <c r="R246" s="43"/>
      <c r="S246" s="44">
        <f t="shared" si="35"/>
        <v>0</v>
      </c>
      <c r="T246" s="44">
        <f t="shared" si="36"/>
        <v>0</v>
      </c>
      <c r="U246" s="45"/>
      <c r="V246" s="46"/>
      <c r="W246" s="27"/>
      <c r="X246" s="47"/>
      <c r="Y246" s="48">
        <f t="shared" si="37"/>
        <v>0</v>
      </c>
      <c r="Z246" s="119"/>
      <c r="AA246" s="118"/>
    </row>
    <row r="247" spans="1:27" s="54" customFormat="1" ht="13.2" hidden="1" outlineLevel="1">
      <c r="A247" s="68"/>
      <c r="B247" s="126"/>
      <c r="C247" s="127"/>
      <c r="D247" s="61"/>
      <c r="E247" s="61"/>
      <c r="F247" s="61"/>
      <c r="G247" s="109"/>
      <c r="H247" s="61"/>
      <c r="I247" s="61"/>
      <c r="J247" s="61"/>
      <c r="K247" s="113"/>
      <c r="L247" s="109"/>
      <c r="M247" s="110"/>
      <c r="N247" s="39"/>
      <c r="O247" s="89"/>
      <c r="P247" s="41"/>
      <c r="Q247" s="42">
        <f t="shared" si="34"/>
        <v>0</v>
      </c>
      <c r="R247" s="43"/>
      <c r="S247" s="44">
        <f t="shared" si="35"/>
        <v>0</v>
      </c>
      <c r="T247" s="44">
        <f t="shared" si="36"/>
        <v>0</v>
      </c>
      <c r="U247" s="45"/>
      <c r="V247" s="46"/>
      <c r="W247" s="27"/>
      <c r="X247" s="47"/>
      <c r="Y247" s="48">
        <f t="shared" si="37"/>
        <v>0</v>
      </c>
      <c r="Z247" s="119"/>
      <c r="AA247" s="136"/>
    </row>
    <row r="248" spans="1:27" s="54" customFormat="1" ht="13.2" hidden="1" outlineLevel="1">
      <c r="A248" s="68"/>
      <c r="B248" s="105"/>
      <c r="C248" s="106"/>
      <c r="D248" s="61"/>
      <c r="E248" s="61"/>
      <c r="F248" s="61"/>
      <c r="G248" s="109"/>
      <c r="H248" s="61"/>
      <c r="I248" s="61"/>
      <c r="J248" s="61"/>
      <c r="K248" s="113"/>
      <c r="L248" s="109"/>
      <c r="M248" s="110"/>
      <c r="N248" s="39"/>
      <c r="O248" s="89"/>
      <c r="P248" s="41"/>
      <c r="Q248" s="42">
        <f t="shared" si="34"/>
        <v>0</v>
      </c>
      <c r="R248" s="43"/>
      <c r="S248" s="44">
        <f t="shared" si="35"/>
        <v>0</v>
      </c>
      <c r="T248" s="44">
        <f t="shared" si="36"/>
        <v>0</v>
      </c>
      <c r="U248" s="45"/>
      <c r="V248" s="46"/>
      <c r="W248" s="27"/>
      <c r="X248" s="47"/>
      <c r="Y248" s="48">
        <f t="shared" si="37"/>
        <v>0</v>
      </c>
      <c r="Z248" s="111"/>
      <c r="AA248" s="135"/>
    </row>
    <row r="249" spans="1:27" s="54" customFormat="1" ht="13.2" hidden="1" outlineLevel="1">
      <c r="A249" s="68"/>
      <c r="B249" s="126"/>
      <c r="C249" s="127"/>
      <c r="D249" s="61"/>
      <c r="E249" s="61"/>
      <c r="F249" s="61"/>
      <c r="G249" s="109"/>
      <c r="H249" s="61"/>
      <c r="I249" s="61"/>
      <c r="J249" s="61"/>
      <c r="K249" s="113"/>
      <c r="L249" s="109"/>
      <c r="M249" s="110"/>
      <c r="N249" s="39"/>
      <c r="O249" s="89"/>
      <c r="P249" s="41"/>
      <c r="Q249" s="42">
        <f t="shared" si="34"/>
        <v>0</v>
      </c>
      <c r="R249" s="43"/>
      <c r="S249" s="44">
        <f t="shared" si="35"/>
        <v>0</v>
      </c>
      <c r="T249" s="44">
        <f t="shared" si="36"/>
        <v>0</v>
      </c>
      <c r="U249" s="45"/>
      <c r="V249" s="46"/>
      <c r="W249" s="27"/>
      <c r="X249" s="47"/>
      <c r="Y249" s="48">
        <f t="shared" si="37"/>
        <v>0</v>
      </c>
      <c r="Z249" s="119"/>
      <c r="AA249" s="118"/>
    </row>
    <row r="250" spans="1:27" s="54" customFormat="1" ht="13.2" hidden="1" outlineLevel="1">
      <c r="A250" s="68"/>
      <c r="B250" s="105"/>
      <c r="C250" s="106"/>
      <c r="D250" s="61"/>
      <c r="E250" s="61"/>
      <c r="F250" s="61"/>
      <c r="G250" s="109"/>
      <c r="H250" s="61"/>
      <c r="I250" s="61"/>
      <c r="J250" s="61"/>
      <c r="K250" s="113"/>
      <c r="L250" s="109"/>
      <c r="M250" s="110"/>
      <c r="N250" s="39"/>
      <c r="O250" s="89"/>
      <c r="P250" s="41"/>
      <c r="Q250" s="42">
        <f t="shared" si="34"/>
        <v>0</v>
      </c>
      <c r="R250" s="43"/>
      <c r="S250" s="44">
        <f t="shared" si="35"/>
        <v>0</v>
      </c>
      <c r="T250" s="44">
        <f t="shared" si="36"/>
        <v>0</v>
      </c>
      <c r="U250" s="45"/>
      <c r="V250" s="46"/>
      <c r="W250" s="27"/>
      <c r="X250" s="47"/>
      <c r="Y250" s="48">
        <f t="shared" si="37"/>
        <v>0</v>
      </c>
      <c r="Z250" s="117"/>
      <c r="AA250" s="67"/>
    </row>
    <row r="251" spans="1:27" s="54" customFormat="1" ht="13.2" hidden="1" outlineLevel="1">
      <c r="A251" s="68"/>
      <c r="B251" s="105"/>
      <c r="C251" s="106"/>
      <c r="D251" s="61"/>
      <c r="E251" s="61"/>
      <c r="F251" s="61"/>
      <c r="G251" s="109"/>
      <c r="H251" s="61"/>
      <c r="I251" s="61"/>
      <c r="J251" s="61"/>
      <c r="K251" s="113"/>
      <c r="L251" s="109"/>
      <c r="M251" s="110"/>
      <c r="N251" s="39"/>
      <c r="O251" s="89"/>
      <c r="P251" s="41"/>
      <c r="Q251" s="42">
        <f t="shared" si="34"/>
        <v>0</v>
      </c>
      <c r="R251" s="43"/>
      <c r="S251" s="44">
        <f t="shared" si="35"/>
        <v>0</v>
      </c>
      <c r="T251" s="44">
        <f t="shared" si="36"/>
        <v>0</v>
      </c>
      <c r="U251" s="45"/>
      <c r="V251" s="46"/>
      <c r="W251" s="27"/>
      <c r="X251" s="47"/>
      <c r="Y251" s="48">
        <f t="shared" si="37"/>
        <v>0</v>
      </c>
      <c r="Z251" s="111"/>
      <c r="AA251" s="135"/>
    </row>
    <row r="252" spans="1:27" s="54" customFormat="1" ht="13.2" hidden="1" outlineLevel="1">
      <c r="A252" s="68"/>
      <c r="B252" s="126"/>
      <c r="C252" s="127"/>
      <c r="D252" s="61"/>
      <c r="E252" s="61"/>
      <c r="F252" s="61"/>
      <c r="G252" s="109"/>
      <c r="H252" s="61"/>
      <c r="I252" s="61"/>
      <c r="J252" s="61"/>
      <c r="K252" s="113"/>
      <c r="L252" s="109"/>
      <c r="M252" s="110"/>
      <c r="N252" s="39"/>
      <c r="O252" s="89"/>
      <c r="P252" s="41"/>
      <c r="Q252" s="42">
        <f t="shared" si="34"/>
        <v>0</v>
      </c>
      <c r="R252" s="43"/>
      <c r="S252" s="44">
        <f t="shared" si="35"/>
        <v>0</v>
      </c>
      <c r="T252" s="44">
        <f t="shared" si="36"/>
        <v>0</v>
      </c>
      <c r="U252" s="45"/>
      <c r="V252" s="46"/>
      <c r="W252" s="27"/>
      <c r="X252" s="47"/>
      <c r="Y252" s="48">
        <f t="shared" si="37"/>
        <v>0</v>
      </c>
      <c r="Z252" s="119"/>
      <c r="AA252" s="136"/>
    </row>
    <row r="253" spans="1:27" s="54" customFormat="1" ht="13.2" hidden="1" outlineLevel="1">
      <c r="A253" s="68"/>
      <c r="B253" s="126"/>
      <c r="C253" s="127"/>
      <c r="D253" s="61"/>
      <c r="E253" s="61"/>
      <c r="F253" s="61"/>
      <c r="G253" s="109"/>
      <c r="H253" s="61"/>
      <c r="I253" s="61"/>
      <c r="J253" s="61"/>
      <c r="K253" s="113"/>
      <c r="L253" s="109"/>
      <c r="M253" s="110"/>
      <c r="N253" s="39"/>
      <c r="O253" s="89"/>
      <c r="P253" s="41"/>
      <c r="Q253" s="42">
        <f t="shared" si="34"/>
        <v>0</v>
      </c>
      <c r="R253" s="43"/>
      <c r="S253" s="44">
        <f t="shared" si="35"/>
        <v>0</v>
      </c>
      <c r="T253" s="44">
        <f t="shared" si="36"/>
        <v>0</v>
      </c>
      <c r="U253" s="45"/>
      <c r="V253" s="46"/>
      <c r="W253" s="27"/>
      <c r="X253" s="47"/>
      <c r="Y253" s="48">
        <f t="shared" si="37"/>
        <v>0</v>
      </c>
      <c r="Z253" s="119"/>
      <c r="AA253" s="136"/>
    </row>
    <row r="254" spans="1:27" s="54" customFormat="1" ht="13.2" hidden="1" outlineLevel="1">
      <c r="A254" s="68"/>
      <c r="B254" s="126"/>
      <c r="C254" s="127"/>
      <c r="D254" s="61"/>
      <c r="E254" s="61"/>
      <c r="F254" s="61"/>
      <c r="G254" s="109"/>
      <c r="H254" s="61"/>
      <c r="I254" s="61"/>
      <c r="J254" s="61"/>
      <c r="K254" s="113"/>
      <c r="L254" s="109"/>
      <c r="M254" s="110"/>
      <c r="N254" s="39"/>
      <c r="O254" s="89"/>
      <c r="P254" s="41"/>
      <c r="Q254" s="42">
        <f t="shared" si="34"/>
        <v>0</v>
      </c>
      <c r="R254" s="43"/>
      <c r="S254" s="44">
        <f t="shared" si="35"/>
        <v>0</v>
      </c>
      <c r="T254" s="44">
        <f t="shared" si="36"/>
        <v>0</v>
      </c>
      <c r="U254" s="45"/>
      <c r="V254" s="46"/>
      <c r="W254" s="27"/>
      <c r="X254" s="47"/>
      <c r="Y254" s="48">
        <f t="shared" si="37"/>
        <v>0</v>
      </c>
      <c r="Z254" s="111"/>
      <c r="AA254" s="118"/>
    </row>
    <row r="255" spans="1:27" s="54" customFormat="1" ht="13.2" hidden="1" outlineLevel="1">
      <c r="A255" s="68"/>
      <c r="B255" s="126"/>
      <c r="C255" s="106"/>
      <c r="D255" s="61"/>
      <c r="E255" s="61"/>
      <c r="F255" s="61"/>
      <c r="G255" s="109"/>
      <c r="H255" s="61"/>
      <c r="I255" s="61"/>
      <c r="J255" s="61"/>
      <c r="K255" s="113"/>
      <c r="L255" s="109"/>
      <c r="M255" s="110"/>
      <c r="N255" s="39"/>
      <c r="O255" s="89"/>
      <c r="P255" s="41"/>
      <c r="Q255" s="42">
        <f t="shared" si="34"/>
        <v>0</v>
      </c>
      <c r="R255" s="43"/>
      <c r="S255" s="44">
        <f t="shared" si="35"/>
        <v>0</v>
      </c>
      <c r="T255" s="44">
        <f t="shared" si="36"/>
        <v>0</v>
      </c>
      <c r="U255" s="45"/>
      <c r="V255" s="46"/>
      <c r="W255" s="27"/>
      <c r="X255" s="47"/>
      <c r="Y255" s="48">
        <f t="shared" si="37"/>
        <v>0</v>
      </c>
      <c r="Z255" s="137"/>
      <c r="AA255" s="135"/>
    </row>
    <row r="256" spans="1:27" s="54" customFormat="1" ht="13.2" hidden="1" outlineLevel="1">
      <c r="A256" s="68"/>
      <c r="B256" s="126"/>
      <c r="C256" s="127"/>
      <c r="D256" s="61"/>
      <c r="E256" s="61"/>
      <c r="F256" s="61"/>
      <c r="G256" s="109"/>
      <c r="H256" s="61"/>
      <c r="I256" s="61"/>
      <c r="J256" s="61"/>
      <c r="K256" s="113"/>
      <c r="L256" s="109"/>
      <c r="M256" s="110"/>
      <c r="N256" s="39"/>
      <c r="O256" s="89"/>
      <c r="P256" s="41"/>
      <c r="Q256" s="42">
        <f t="shared" si="34"/>
        <v>0</v>
      </c>
      <c r="R256" s="43"/>
      <c r="S256" s="44">
        <f t="shared" si="35"/>
        <v>0</v>
      </c>
      <c r="T256" s="44">
        <f t="shared" si="36"/>
        <v>0</v>
      </c>
      <c r="U256" s="45"/>
      <c r="V256" s="46"/>
      <c r="W256" s="27"/>
      <c r="X256" s="47"/>
      <c r="Y256" s="48">
        <f t="shared" si="37"/>
        <v>0</v>
      </c>
      <c r="Z256" s="119"/>
      <c r="AA256" s="118"/>
    </row>
    <row r="257" spans="1:27" s="54" customFormat="1" ht="13.2" hidden="1" outlineLevel="1">
      <c r="A257" s="68"/>
      <c r="B257" s="126"/>
      <c r="C257" s="127"/>
      <c r="D257" s="61"/>
      <c r="E257" s="61"/>
      <c r="F257" s="61"/>
      <c r="G257" s="109"/>
      <c r="H257" s="61"/>
      <c r="I257" s="61"/>
      <c r="J257" s="61"/>
      <c r="K257" s="113"/>
      <c r="L257" s="109"/>
      <c r="M257" s="110"/>
      <c r="N257" s="39"/>
      <c r="O257" s="89"/>
      <c r="P257" s="41"/>
      <c r="Q257" s="42">
        <f t="shared" si="34"/>
        <v>0</v>
      </c>
      <c r="R257" s="43"/>
      <c r="S257" s="44">
        <f t="shared" si="35"/>
        <v>0</v>
      </c>
      <c r="T257" s="44">
        <f t="shared" si="36"/>
        <v>0</v>
      </c>
      <c r="U257" s="45"/>
      <c r="V257" s="46"/>
      <c r="W257" s="27"/>
      <c r="X257" s="47"/>
      <c r="Y257" s="48">
        <f t="shared" si="37"/>
        <v>0</v>
      </c>
      <c r="Z257" s="119"/>
      <c r="AA257" s="118"/>
    </row>
    <row r="258" spans="1:27" s="54" customFormat="1" ht="13.2" hidden="1" outlineLevel="1">
      <c r="A258" s="68"/>
      <c r="B258" s="126"/>
      <c r="C258" s="106"/>
      <c r="D258" s="61"/>
      <c r="E258" s="61"/>
      <c r="F258" s="61"/>
      <c r="G258" s="109"/>
      <c r="H258" s="61"/>
      <c r="I258" s="61"/>
      <c r="J258" s="61"/>
      <c r="K258" s="113"/>
      <c r="L258" s="109"/>
      <c r="M258" s="110"/>
      <c r="N258" s="39"/>
      <c r="O258" s="89"/>
      <c r="P258" s="41"/>
      <c r="Q258" s="42">
        <f t="shared" si="34"/>
        <v>0</v>
      </c>
      <c r="R258" s="43"/>
      <c r="S258" s="44">
        <f t="shared" si="35"/>
        <v>0</v>
      </c>
      <c r="T258" s="44">
        <f t="shared" si="36"/>
        <v>0</v>
      </c>
      <c r="U258" s="45"/>
      <c r="V258" s="46"/>
      <c r="W258" s="27"/>
      <c r="X258" s="47"/>
      <c r="Y258" s="48">
        <f t="shared" si="37"/>
        <v>0</v>
      </c>
      <c r="Z258" s="119"/>
      <c r="AA258" s="135"/>
    </row>
    <row r="259" spans="1:27" s="54" customFormat="1" ht="13.2" hidden="1" outlineLevel="1">
      <c r="A259" s="68"/>
      <c r="B259" s="105"/>
      <c r="C259" s="106"/>
      <c r="D259" s="61"/>
      <c r="E259" s="61"/>
      <c r="F259" s="61"/>
      <c r="G259" s="109"/>
      <c r="H259" s="61"/>
      <c r="I259" s="61"/>
      <c r="J259" s="61"/>
      <c r="K259" s="113"/>
      <c r="L259" s="109"/>
      <c r="M259" s="110"/>
      <c r="N259" s="39"/>
      <c r="O259" s="89"/>
      <c r="P259" s="41"/>
      <c r="Q259" s="42">
        <f t="shared" si="34"/>
        <v>0</v>
      </c>
      <c r="R259" s="43"/>
      <c r="S259" s="44">
        <f t="shared" si="35"/>
        <v>0</v>
      </c>
      <c r="T259" s="44">
        <f t="shared" si="36"/>
        <v>0</v>
      </c>
      <c r="U259" s="45"/>
      <c r="V259" s="46"/>
      <c r="W259" s="27"/>
      <c r="X259" s="47"/>
      <c r="Y259" s="48">
        <f t="shared" si="37"/>
        <v>0</v>
      </c>
      <c r="Z259" s="111"/>
      <c r="AA259" s="67"/>
    </row>
    <row r="260" spans="1:27" s="54" customFormat="1" ht="13.2" hidden="1" outlineLevel="1">
      <c r="A260" s="68"/>
      <c r="B260" s="126"/>
      <c r="C260" s="127"/>
      <c r="D260" s="61"/>
      <c r="E260" s="61"/>
      <c r="F260" s="61"/>
      <c r="G260" s="109"/>
      <c r="H260" s="61"/>
      <c r="I260" s="61"/>
      <c r="J260" s="61"/>
      <c r="K260" s="113"/>
      <c r="L260" s="109"/>
      <c r="M260" s="110"/>
      <c r="N260" s="39"/>
      <c r="O260" s="89"/>
      <c r="P260" s="41"/>
      <c r="Q260" s="42">
        <f t="shared" si="34"/>
        <v>0</v>
      </c>
      <c r="R260" s="43"/>
      <c r="S260" s="44">
        <f t="shared" si="35"/>
        <v>0</v>
      </c>
      <c r="T260" s="44">
        <f t="shared" si="36"/>
        <v>0</v>
      </c>
      <c r="U260" s="45"/>
      <c r="V260" s="46"/>
      <c r="W260" s="27"/>
      <c r="X260" s="47"/>
      <c r="Y260" s="48">
        <f t="shared" si="37"/>
        <v>0</v>
      </c>
      <c r="Z260" s="119"/>
      <c r="AA260" s="118"/>
    </row>
    <row r="261" spans="1:27" s="54" customFormat="1" ht="13.2" hidden="1" outlineLevel="1">
      <c r="A261" s="68"/>
      <c r="B261" s="126"/>
      <c r="C261" s="127"/>
      <c r="D261" s="61"/>
      <c r="E261" s="61"/>
      <c r="F261" s="61"/>
      <c r="G261" s="109"/>
      <c r="H261" s="61"/>
      <c r="I261" s="61"/>
      <c r="J261" s="61"/>
      <c r="K261" s="113"/>
      <c r="L261" s="109"/>
      <c r="M261" s="110"/>
      <c r="N261" s="39"/>
      <c r="O261" s="89"/>
      <c r="P261" s="41"/>
      <c r="Q261" s="42">
        <f t="shared" si="34"/>
        <v>0</v>
      </c>
      <c r="R261" s="43"/>
      <c r="S261" s="44">
        <f t="shared" si="35"/>
        <v>0</v>
      </c>
      <c r="T261" s="44">
        <f t="shared" si="36"/>
        <v>0</v>
      </c>
      <c r="U261" s="45"/>
      <c r="V261" s="46"/>
      <c r="W261" s="27"/>
      <c r="X261" s="47"/>
      <c r="Y261" s="48">
        <f t="shared" si="37"/>
        <v>0</v>
      </c>
      <c r="Z261" s="119"/>
      <c r="AA261" s="136"/>
    </row>
    <row r="262" spans="1:27" s="54" customFormat="1" ht="13.2" hidden="1" outlineLevel="1">
      <c r="A262" s="68"/>
      <c r="B262" s="105"/>
      <c r="C262" s="106"/>
      <c r="D262" s="61"/>
      <c r="E262" s="61"/>
      <c r="F262" s="61"/>
      <c r="G262" s="109"/>
      <c r="H262" s="61"/>
      <c r="I262" s="61"/>
      <c r="J262" s="61"/>
      <c r="K262" s="113"/>
      <c r="L262" s="109"/>
      <c r="M262" s="110"/>
      <c r="N262" s="39"/>
      <c r="O262" s="89"/>
      <c r="P262" s="41"/>
      <c r="Q262" s="42">
        <f t="shared" si="34"/>
        <v>0</v>
      </c>
      <c r="R262" s="43"/>
      <c r="S262" s="44">
        <f t="shared" si="35"/>
        <v>0</v>
      </c>
      <c r="T262" s="44">
        <f t="shared" si="36"/>
        <v>0</v>
      </c>
      <c r="U262" s="45"/>
      <c r="V262" s="46"/>
      <c r="W262" s="27"/>
      <c r="X262" s="47"/>
      <c r="Y262" s="48">
        <f t="shared" si="37"/>
        <v>0</v>
      </c>
      <c r="Z262" s="111"/>
      <c r="AA262" s="67"/>
    </row>
    <row r="263" spans="1:27" s="54" customFormat="1" ht="13.2" hidden="1" outlineLevel="1">
      <c r="A263" s="68"/>
      <c r="B263" s="126"/>
      <c r="C263" s="106"/>
      <c r="D263" s="61"/>
      <c r="E263" s="61"/>
      <c r="F263" s="61"/>
      <c r="G263" s="109"/>
      <c r="H263" s="61"/>
      <c r="I263" s="61"/>
      <c r="J263" s="61"/>
      <c r="K263" s="113"/>
      <c r="L263" s="109"/>
      <c r="M263" s="110"/>
      <c r="N263" s="39"/>
      <c r="O263" s="89"/>
      <c r="P263" s="41"/>
      <c r="Q263" s="42">
        <f t="shared" si="34"/>
        <v>0</v>
      </c>
      <c r="R263" s="43"/>
      <c r="S263" s="44">
        <f t="shared" si="35"/>
        <v>0</v>
      </c>
      <c r="T263" s="44">
        <f t="shared" si="36"/>
        <v>0</v>
      </c>
      <c r="U263" s="45"/>
      <c r="V263" s="46"/>
      <c r="W263" s="27"/>
      <c r="X263" s="47"/>
      <c r="Y263" s="48">
        <f t="shared" si="37"/>
        <v>0</v>
      </c>
      <c r="Z263" s="119"/>
      <c r="AA263" s="135"/>
    </row>
    <row r="264" spans="1:27" s="54" customFormat="1" ht="13.2" hidden="1" outlineLevel="1">
      <c r="A264" s="68"/>
      <c r="B264" s="126"/>
      <c r="C264" s="127"/>
      <c r="D264" s="61"/>
      <c r="E264" s="61"/>
      <c r="F264" s="61"/>
      <c r="G264" s="109"/>
      <c r="H264" s="61"/>
      <c r="I264" s="61"/>
      <c r="J264" s="61"/>
      <c r="K264" s="113"/>
      <c r="L264" s="109"/>
      <c r="M264" s="110"/>
      <c r="N264" s="39"/>
      <c r="O264" s="89"/>
      <c r="P264" s="41"/>
      <c r="Q264" s="42">
        <f t="shared" si="34"/>
        <v>0</v>
      </c>
      <c r="R264" s="43"/>
      <c r="S264" s="44">
        <f t="shared" si="35"/>
        <v>0</v>
      </c>
      <c r="T264" s="44">
        <f t="shared" si="36"/>
        <v>0</v>
      </c>
      <c r="U264" s="45"/>
      <c r="V264" s="46"/>
      <c r="W264" s="27"/>
      <c r="X264" s="47"/>
      <c r="Y264" s="48">
        <f t="shared" si="37"/>
        <v>0</v>
      </c>
      <c r="Z264" s="137"/>
      <c r="AA264" s="118"/>
    </row>
    <row r="265" spans="1:27" s="54" customFormat="1" ht="13.2" hidden="1" outlineLevel="1">
      <c r="A265" s="68"/>
      <c r="B265" s="126"/>
      <c r="C265" s="127"/>
      <c r="D265" s="61"/>
      <c r="E265" s="61"/>
      <c r="F265" s="61"/>
      <c r="G265" s="109"/>
      <c r="H265" s="61"/>
      <c r="I265" s="61"/>
      <c r="J265" s="61"/>
      <c r="K265" s="113"/>
      <c r="L265" s="109"/>
      <c r="M265" s="110"/>
      <c r="N265" s="39"/>
      <c r="O265" s="89"/>
      <c r="P265" s="41"/>
      <c r="Q265" s="42">
        <f t="shared" si="34"/>
        <v>0</v>
      </c>
      <c r="R265" s="43"/>
      <c r="S265" s="44">
        <f t="shared" si="35"/>
        <v>0</v>
      </c>
      <c r="T265" s="44">
        <f t="shared" si="36"/>
        <v>0</v>
      </c>
      <c r="U265" s="45"/>
      <c r="V265" s="46"/>
      <c r="W265" s="27"/>
      <c r="X265" s="47"/>
      <c r="Y265" s="48">
        <f t="shared" si="37"/>
        <v>0</v>
      </c>
      <c r="Z265" s="119"/>
      <c r="AA265" s="118"/>
    </row>
    <row r="266" spans="1:27" s="54" customFormat="1" ht="13.2" hidden="1" outlineLevel="1">
      <c r="A266" s="68"/>
      <c r="B266" s="126"/>
      <c r="C266" s="127"/>
      <c r="D266" s="61"/>
      <c r="E266" s="61"/>
      <c r="F266" s="61"/>
      <c r="G266" s="109"/>
      <c r="H266" s="61"/>
      <c r="I266" s="61"/>
      <c r="J266" s="61"/>
      <c r="K266" s="113"/>
      <c r="L266" s="109"/>
      <c r="M266" s="110"/>
      <c r="N266" s="39"/>
      <c r="O266" s="89"/>
      <c r="P266" s="41"/>
      <c r="Q266" s="42">
        <f t="shared" si="34"/>
        <v>0</v>
      </c>
      <c r="R266" s="43"/>
      <c r="S266" s="44">
        <f t="shared" si="35"/>
        <v>0</v>
      </c>
      <c r="T266" s="44">
        <f t="shared" si="36"/>
        <v>0</v>
      </c>
      <c r="U266" s="45"/>
      <c r="V266" s="46"/>
      <c r="W266" s="27"/>
      <c r="X266" s="47"/>
      <c r="Y266" s="48">
        <f t="shared" si="37"/>
        <v>0</v>
      </c>
      <c r="Z266" s="119"/>
      <c r="AA266" s="118"/>
    </row>
    <row r="267" spans="1:27" s="54" customFormat="1" ht="13.2" hidden="1" outlineLevel="1">
      <c r="A267" s="68"/>
      <c r="B267" s="126"/>
      <c r="C267" s="127"/>
      <c r="D267" s="61"/>
      <c r="E267" s="61"/>
      <c r="F267" s="61"/>
      <c r="G267" s="109"/>
      <c r="H267" s="61"/>
      <c r="I267" s="61"/>
      <c r="J267" s="61"/>
      <c r="K267" s="113"/>
      <c r="L267" s="109"/>
      <c r="M267" s="110"/>
      <c r="N267" s="39"/>
      <c r="O267" s="89"/>
      <c r="P267" s="41"/>
      <c r="Q267" s="42">
        <f t="shared" si="34"/>
        <v>0</v>
      </c>
      <c r="R267" s="43"/>
      <c r="S267" s="44">
        <f t="shared" si="35"/>
        <v>0</v>
      </c>
      <c r="T267" s="44">
        <f t="shared" si="36"/>
        <v>0</v>
      </c>
      <c r="U267" s="45"/>
      <c r="V267" s="46"/>
      <c r="W267" s="27"/>
      <c r="X267" s="47"/>
      <c r="Y267" s="48">
        <f t="shared" si="37"/>
        <v>0</v>
      </c>
      <c r="Z267" s="119"/>
      <c r="AA267" s="118"/>
    </row>
    <row r="268" spans="1:27" s="54" customFormat="1" ht="13.2" hidden="1" outlineLevel="1">
      <c r="A268" s="68"/>
      <c r="B268" s="126"/>
      <c r="C268" s="127"/>
      <c r="D268" s="61"/>
      <c r="E268" s="61"/>
      <c r="F268" s="61"/>
      <c r="G268" s="109"/>
      <c r="H268" s="61"/>
      <c r="I268" s="61"/>
      <c r="J268" s="61"/>
      <c r="K268" s="113"/>
      <c r="L268" s="109"/>
      <c r="M268" s="110"/>
      <c r="N268" s="39"/>
      <c r="O268" s="89"/>
      <c r="P268" s="41"/>
      <c r="Q268" s="42">
        <f t="shared" si="34"/>
        <v>0</v>
      </c>
      <c r="R268" s="43"/>
      <c r="S268" s="44">
        <f t="shared" si="35"/>
        <v>0</v>
      </c>
      <c r="T268" s="44">
        <f t="shared" si="36"/>
        <v>0</v>
      </c>
      <c r="U268" s="45"/>
      <c r="V268" s="46"/>
      <c r="W268" s="27"/>
      <c r="X268" s="47"/>
      <c r="Y268" s="48">
        <f t="shared" si="37"/>
        <v>0</v>
      </c>
      <c r="Z268" s="119"/>
      <c r="AA268" s="136"/>
    </row>
    <row r="269" spans="1:27" s="54" customFormat="1" ht="13.2" hidden="1" outlineLevel="1">
      <c r="A269" s="68"/>
      <c r="B269" s="105"/>
      <c r="C269" s="106"/>
      <c r="D269" s="61"/>
      <c r="E269" s="61"/>
      <c r="F269" s="61"/>
      <c r="G269" s="109"/>
      <c r="H269" s="61"/>
      <c r="I269" s="61"/>
      <c r="J269" s="61"/>
      <c r="K269" s="113"/>
      <c r="L269" s="109"/>
      <c r="M269" s="110"/>
      <c r="N269" s="39"/>
      <c r="O269" s="89"/>
      <c r="P269" s="41"/>
      <c r="Q269" s="42">
        <f t="shared" si="34"/>
        <v>0</v>
      </c>
      <c r="R269" s="43"/>
      <c r="S269" s="44">
        <f t="shared" si="35"/>
        <v>0</v>
      </c>
      <c r="T269" s="44">
        <f t="shared" si="36"/>
        <v>0</v>
      </c>
      <c r="U269" s="45"/>
      <c r="V269" s="46"/>
      <c r="W269" s="27"/>
      <c r="X269" s="47"/>
      <c r="Y269" s="48">
        <f t="shared" si="37"/>
        <v>0</v>
      </c>
      <c r="Z269" s="111"/>
      <c r="AA269" s="67"/>
    </row>
    <row r="270" spans="1:27" s="54" customFormat="1" ht="13.2" hidden="1" outlineLevel="1">
      <c r="A270" s="68"/>
      <c r="B270" s="126"/>
      <c r="C270" s="106"/>
      <c r="D270" s="61"/>
      <c r="E270" s="61"/>
      <c r="F270" s="61"/>
      <c r="G270" s="109"/>
      <c r="H270" s="61"/>
      <c r="I270" s="61"/>
      <c r="J270" s="61"/>
      <c r="K270" s="113"/>
      <c r="L270" s="109"/>
      <c r="M270" s="110"/>
      <c r="N270" s="39"/>
      <c r="O270" s="89"/>
      <c r="P270" s="41"/>
      <c r="Q270" s="42">
        <f t="shared" si="34"/>
        <v>0</v>
      </c>
      <c r="R270" s="43"/>
      <c r="S270" s="44">
        <f t="shared" si="35"/>
        <v>0</v>
      </c>
      <c r="T270" s="44">
        <f t="shared" si="36"/>
        <v>0</v>
      </c>
      <c r="U270" s="45"/>
      <c r="V270" s="46"/>
      <c r="W270" s="27"/>
      <c r="X270" s="47"/>
      <c r="Y270" s="48">
        <f t="shared" si="37"/>
        <v>0</v>
      </c>
      <c r="Z270" s="137"/>
      <c r="AA270" s="135"/>
    </row>
    <row r="271" spans="1:27" s="54" customFormat="1" ht="13.2" hidden="1" outlineLevel="1">
      <c r="A271" s="68"/>
      <c r="B271" s="126"/>
      <c r="C271" s="127"/>
      <c r="D271" s="61"/>
      <c r="E271" s="61"/>
      <c r="F271" s="61"/>
      <c r="G271" s="109"/>
      <c r="H271" s="61"/>
      <c r="I271" s="61"/>
      <c r="J271" s="61"/>
      <c r="K271" s="113"/>
      <c r="L271" s="109"/>
      <c r="M271" s="110"/>
      <c r="N271" s="39"/>
      <c r="O271" s="89"/>
      <c r="P271" s="41"/>
      <c r="Q271" s="42">
        <f t="shared" si="34"/>
        <v>0</v>
      </c>
      <c r="R271" s="43"/>
      <c r="S271" s="44">
        <f t="shared" si="35"/>
        <v>0</v>
      </c>
      <c r="T271" s="44">
        <f t="shared" si="36"/>
        <v>0</v>
      </c>
      <c r="U271" s="45"/>
      <c r="V271" s="46"/>
      <c r="W271" s="27"/>
      <c r="X271" s="47"/>
      <c r="Y271" s="48">
        <f t="shared" si="37"/>
        <v>0</v>
      </c>
      <c r="Z271" s="119"/>
      <c r="AA271" s="118"/>
    </row>
    <row r="272" spans="1:27" s="54" customFormat="1" ht="13.2" hidden="1" outlineLevel="1">
      <c r="A272" s="68"/>
      <c r="B272" s="105"/>
      <c r="C272" s="106"/>
      <c r="D272" s="61"/>
      <c r="E272" s="61"/>
      <c r="F272" s="61"/>
      <c r="G272" s="109"/>
      <c r="H272" s="61"/>
      <c r="I272" s="61"/>
      <c r="J272" s="61"/>
      <c r="K272" s="113"/>
      <c r="L272" s="109"/>
      <c r="M272" s="110"/>
      <c r="N272" s="39"/>
      <c r="O272" s="89"/>
      <c r="P272" s="41"/>
      <c r="Q272" s="42">
        <f t="shared" si="34"/>
        <v>0</v>
      </c>
      <c r="R272" s="43"/>
      <c r="S272" s="44">
        <f t="shared" si="35"/>
        <v>0</v>
      </c>
      <c r="T272" s="44">
        <f t="shared" si="36"/>
        <v>0</v>
      </c>
      <c r="U272" s="45"/>
      <c r="V272" s="46"/>
      <c r="W272" s="27"/>
      <c r="X272" s="47"/>
      <c r="Y272" s="48">
        <f t="shared" si="37"/>
        <v>0</v>
      </c>
      <c r="Z272" s="117"/>
      <c r="AA272" s="67"/>
    </row>
    <row r="273" spans="1:27" s="54" customFormat="1" ht="13.2" hidden="1" outlineLevel="1">
      <c r="A273" s="68"/>
      <c r="B273" s="105"/>
      <c r="C273" s="106"/>
      <c r="D273" s="61"/>
      <c r="E273" s="61"/>
      <c r="F273" s="61"/>
      <c r="G273" s="109"/>
      <c r="H273" s="61"/>
      <c r="I273" s="61"/>
      <c r="J273" s="61"/>
      <c r="K273" s="113"/>
      <c r="L273" s="109"/>
      <c r="M273" s="110"/>
      <c r="N273" s="39"/>
      <c r="O273" s="89"/>
      <c r="P273" s="41"/>
      <c r="Q273" s="42">
        <f t="shared" si="34"/>
        <v>0</v>
      </c>
      <c r="R273" s="43"/>
      <c r="S273" s="44">
        <f t="shared" si="35"/>
        <v>0</v>
      </c>
      <c r="T273" s="44">
        <f t="shared" si="36"/>
        <v>0</v>
      </c>
      <c r="U273" s="45"/>
      <c r="V273" s="46"/>
      <c r="W273" s="27"/>
      <c r="X273" s="47"/>
      <c r="Y273" s="48">
        <f t="shared" si="37"/>
        <v>0</v>
      </c>
      <c r="Z273" s="117"/>
      <c r="AA273" s="67"/>
    </row>
    <row r="274" spans="1:27" s="54" customFormat="1" ht="13.2" hidden="1" outlineLevel="1">
      <c r="A274" s="68"/>
      <c r="B274" s="105"/>
      <c r="C274" s="106"/>
      <c r="D274" s="61"/>
      <c r="E274" s="61"/>
      <c r="F274" s="61"/>
      <c r="G274" s="109"/>
      <c r="H274" s="61"/>
      <c r="I274" s="61"/>
      <c r="J274" s="61"/>
      <c r="K274" s="113"/>
      <c r="L274" s="109"/>
      <c r="M274" s="110"/>
      <c r="N274" s="39"/>
      <c r="O274" s="89"/>
      <c r="P274" s="41"/>
      <c r="Q274" s="42">
        <f t="shared" si="34"/>
        <v>0</v>
      </c>
      <c r="R274" s="43"/>
      <c r="S274" s="44">
        <f t="shared" si="35"/>
        <v>0</v>
      </c>
      <c r="T274" s="44">
        <f t="shared" si="36"/>
        <v>0</v>
      </c>
      <c r="U274" s="45"/>
      <c r="V274" s="46"/>
      <c r="W274" s="27"/>
      <c r="X274" s="47"/>
      <c r="Y274" s="48">
        <f t="shared" si="37"/>
        <v>0</v>
      </c>
      <c r="Z274" s="117"/>
      <c r="AA274" s="67"/>
    </row>
    <row r="275" spans="1:27" s="54" customFormat="1" ht="13.2" hidden="1" outlineLevel="1">
      <c r="A275" s="68"/>
      <c r="B275" s="138"/>
      <c r="C275" s="106"/>
      <c r="D275" s="61"/>
      <c r="E275" s="61"/>
      <c r="F275" s="61"/>
      <c r="G275" s="109"/>
      <c r="H275" s="61"/>
      <c r="I275" s="61"/>
      <c r="J275" s="61"/>
      <c r="K275" s="113"/>
      <c r="L275" s="109"/>
      <c r="M275" s="110"/>
      <c r="N275" s="39"/>
      <c r="O275" s="89"/>
      <c r="P275" s="41"/>
      <c r="Q275" s="42">
        <f t="shared" si="34"/>
        <v>0</v>
      </c>
      <c r="R275" s="43"/>
      <c r="S275" s="44">
        <f t="shared" si="35"/>
        <v>0</v>
      </c>
      <c r="T275" s="44">
        <f t="shared" si="36"/>
        <v>0</v>
      </c>
      <c r="U275" s="45"/>
      <c r="V275" s="46"/>
      <c r="W275" s="27"/>
      <c r="X275" s="47"/>
      <c r="Y275" s="48">
        <f t="shared" si="37"/>
        <v>0</v>
      </c>
      <c r="Z275" s="137"/>
      <c r="AA275" s="135"/>
    </row>
    <row r="276" spans="1:27" s="54" customFormat="1" ht="13.2" hidden="1" outlineLevel="1">
      <c r="A276" s="68"/>
      <c r="B276" s="138"/>
      <c r="C276" s="127"/>
      <c r="D276" s="61"/>
      <c r="E276" s="61"/>
      <c r="F276" s="61"/>
      <c r="G276" s="109"/>
      <c r="H276" s="61"/>
      <c r="I276" s="61"/>
      <c r="J276" s="61"/>
      <c r="K276" s="113"/>
      <c r="L276" s="109"/>
      <c r="M276" s="110"/>
      <c r="N276" s="39"/>
      <c r="O276" s="89"/>
      <c r="P276" s="41"/>
      <c r="Q276" s="42">
        <f t="shared" si="34"/>
        <v>0</v>
      </c>
      <c r="R276" s="43"/>
      <c r="S276" s="44">
        <f t="shared" si="35"/>
        <v>0</v>
      </c>
      <c r="T276" s="44">
        <f t="shared" si="36"/>
        <v>0</v>
      </c>
      <c r="U276" s="45"/>
      <c r="V276" s="46"/>
      <c r="W276" s="27"/>
      <c r="X276" s="47"/>
      <c r="Y276" s="48">
        <f t="shared" si="37"/>
        <v>0</v>
      </c>
      <c r="Z276" s="119"/>
      <c r="AA276" s="118"/>
    </row>
    <row r="277" spans="1:27" s="54" customFormat="1" ht="13.2" hidden="1" outlineLevel="1">
      <c r="A277" s="68"/>
      <c r="B277" s="138"/>
      <c r="C277" s="106"/>
      <c r="D277" s="61"/>
      <c r="E277" s="61"/>
      <c r="F277" s="61"/>
      <c r="G277" s="109"/>
      <c r="H277" s="61"/>
      <c r="I277" s="61"/>
      <c r="J277" s="61"/>
      <c r="K277" s="113"/>
      <c r="L277" s="109"/>
      <c r="M277" s="110"/>
      <c r="N277" s="39"/>
      <c r="O277" s="89"/>
      <c r="P277" s="41"/>
      <c r="Q277" s="42">
        <f t="shared" si="34"/>
        <v>0</v>
      </c>
      <c r="R277" s="43"/>
      <c r="S277" s="44">
        <f t="shared" si="35"/>
        <v>0</v>
      </c>
      <c r="T277" s="44">
        <f t="shared" si="36"/>
        <v>0</v>
      </c>
      <c r="U277" s="45"/>
      <c r="V277" s="46"/>
      <c r="W277" s="27"/>
      <c r="X277" s="47"/>
      <c r="Y277" s="48">
        <f t="shared" si="37"/>
        <v>0</v>
      </c>
      <c r="Z277" s="111"/>
      <c r="AA277" s="67"/>
    </row>
    <row r="278" spans="1:27" s="54" customFormat="1" ht="13.2" hidden="1" outlineLevel="1">
      <c r="A278" s="68"/>
      <c r="B278" s="138"/>
      <c r="C278" s="127"/>
      <c r="D278" s="61"/>
      <c r="E278" s="61"/>
      <c r="F278" s="61"/>
      <c r="G278" s="109"/>
      <c r="H278" s="61"/>
      <c r="I278" s="61"/>
      <c r="J278" s="61"/>
      <c r="K278" s="113"/>
      <c r="L278" s="109"/>
      <c r="M278" s="110"/>
      <c r="N278" s="39"/>
      <c r="O278" s="89"/>
      <c r="P278" s="41"/>
      <c r="Q278" s="42">
        <f t="shared" si="34"/>
        <v>0</v>
      </c>
      <c r="R278" s="43"/>
      <c r="S278" s="44">
        <f t="shared" si="35"/>
        <v>0</v>
      </c>
      <c r="T278" s="44">
        <f t="shared" si="36"/>
        <v>0</v>
      </c>
      <c r="U278" s="45"/>
      <c r="V278" s="46"/>
      <c r="W278" s="27"/>
      <c r="X278" s="47"/>
      <c r="Y278" s="48">
        <f t="shared" si="37"/>
        <v>0</v>
      </c>
      <c r="Z278" s="119"/>
      <c r="AA278" s="118"/>
    </row>
    <row r="279" spans="1:27" s="54" customFormat="1" ht="13.2" hidden="1" outlineLevel="1">
      <c r="A279" s="68"/>
      <c r="B279" s="126"/>
      <c r="C279" s="127"/>
      <c r="D279" s="61"/>
      <c r="E279" s="61"/>
      <c r="F279" s="61"/>
      <c r="G279" s="109"/>
      <c r="H279" s="61"/>
      <c r="I279" s="61"/>
      <c r="J279" s="61"/>
      <c r="K279" s="113"/>
      <c r="L279" s="109"/>
      <c r="M279" s="110"/>
      <c r="N279" s="39"/>
      <c r="O279" s="89"/>
      <c r="P279" s="41"/>
      <c r="Q279" s="42">
        <f t="shared" si="34"/>
        <v>0</v>
      </c>
      <c r="R279" s="43"/>
      <c r="S279" s="44">
        <f t="shared" si="35"/>
        <v>0</v>
      </c>
      <c r="T279" s="44">
        <f t="shared" si="36"/>
        <v>0</v>
      </c>
      <c r="U279" s="45"/>
      <c r="V279" s="46"/>
      <c r="W279" s="27"/>
      <c r="X279" s="47"/>
      <c r="Y279" s="48">
        <f t="shared" si="37"/>
        <v>0</v>
      </c>
      <c r="Z279" s="119"/>
      <c r="AA279" s="118"/>
    </row>
    <row r="280" spans="1:27" s="54" customFormat="1" ht="13.2" hidden="1" outlineLevel="1">
      <c r="A280" s="68"/>
      <c r="B280" s="105"/>
      <c r="C280" s="106"/>
      <c r="D280" s="61"/>
      <c r="E280" s="61"/>
      <c r="F280" s="61"/>
      <c r="G280" s="109"/>
      <c r="H280" s="61"/>
      <c r="I280" s="61"/>
      <c r="J280" s="61"/>
      <c r="K280" s="113"/>
      <c r="L280" s="109"/>
      <c r="M280" s="110"/>
      <c r="N280" s="39"/>
      <c r="O280" s="89"/>
      <c r="P280" s="41"/>
      <c r="Q280" s="42">
        <f t="shared" ref="Q280:Q339" si="38">N280-((N280*O280)+P280)</f>
        <v>0</v>
      </c>
      <c r="R280" s="43"/>
      <c r="S280" s="44">
        <f t="shared" ref="S280:S339" si="39">(N280+R280)*19.6%</f>
        <v>0</v>
      </c>
      <c r="T280" s="44">
        <f t="shared" ref="T280:T339" si="40">S280+N280+R280</f>
        <v>0</v>
      </c>
      <c r="U280" s="45"/>
      <c r="V280" s="46"/>
      <c r="W280" s="27"/>
      <c r="X280" s="47"/>
      <c r="Y280" s="48">
        <f t="shared" ref="Y280:Y339" si="41">T280-V280</f>
        <v>0</v>
      </c>
      <c r="Z280" s="111"/>
      <c r="AA280" s="67"/>
    </row>
    <row r="281" spans="1:27" s="54" customFormat="1" ht="13.2" hidden="1" outlineLevel="1">
      <c r="A281" s="68"/>
      <c r="B281" s="126"/>
      <c r="C281" s="106"/>
      <c r="D281" s="61"/>
      <c r="E281" s="61"/>
      <c r="F281" s="61"/>
      <c r="G281" s="109"/>
      <c r="H281" s="61"/>
      <c r="I281" s="61"/>
      <c r="J281" s="61"/>
      <c r="K281" s="113"/>
      <c r="L281" s="109"/>
      <c r="M281" s="110"/>
      <c r="N281" s="39"/>
      <c r="O281" s="89"/>
      <c r="P281" s="41"/>
      <c r="Q281" s="42">
        <f t="shared" si="38"/>
        <v>0</v>
      </c>
      <c r="R281" s="43"/>
      <c r="S281" s="44">
        <f t="shared" si="39"/>
        <v>0</v>
      </c>
      <c r="T281" s="44">
        <f t="shared" si="40"/>
        <v>0</v>
      </c>
      <c r="U281" s="45"/>
      <c r="V281" s="46"/>
      <c r="W281" s="27"/>
      <c r="X281" s="47"/>
      <c r="Y281" s="48">
        <f t="shared" si="41"/>
        <v>0</v>
      </c>
      <c r="Z281" s="137"/>
      <c r="AA281" s="135"/>
    </row>
    <row r="282" spans="1:27" s="54" customFormat="1" ht="13.2" hidden="1" outlineLevel="1">
      <c r="A282" s="68"/>
      <c r="B282" s="105"/>
      <c r="C282" s="106"/>
      <c r="D282" s="61"/>
      <c r="E282" s="61"/>
      <c r="F282" s="61"/>
      <c r="G282" s="109"/>
      <c r="H282" s="61"/>
      <c r="I282" s="61"/>
      <c r="J282" s="61"/>
      <c r="K282" s="113"/>
      <c r="L282" s="109"/>
      <c r="M282" s="110"/>
      <c r="N282" s="39"/>
      <c r="O282" s="89"/>
      <c r="P282" s="41"/>
      <c r="Q282" s="42">
        <f t="shared" si="38"/>
        <v>0</v>
      </c>
      <c r="R282" s="43"/>
      <c r="S282" s="44">
        <f t="shared" si="39"/>
        <v>0</v>
      </c>
      <c r="T282" s="44">
        <f t="shared" si="40"/>
        <v>0</v>
      </c>
      <c r="U282" s="45"/>
      <c r="V282" s="46"/>
      <c r="W282" s="27"/>
      <c r="X282" s="47"/>
      <c r="Y282" s="48">
        <f t="shared" si="41"/>
        <v>0</v>
      </c>
      <c r="Z282" s="117"/>
      <c r="AA282" s="67"/>
    </row>
    <row r="283" spans="1:27" s="54" customFormat="1" ht="13.2" hidden="1" outlineLevel="1">
      <c r="A283" s="68"/>
      <c r="B283" s="126"/>
      <c r="C283" s="127"/>
      <c r="D283" s="61"/>
      <c r="E283" s="61"/>
      <c r="F283" s="61"/>
      <c r="G283" s="109"/>
      <c r="H283" s="61"/>
      <c r="I283" s="61"/>
      <c r="J283" s="61"/>
      <c r="K283" s="113"/>
      <c r="L283" s="109"/>
      <c r="M283" s="110"/>
      <c r="N283" s="39"/>
      <c r="O283" s="89"/>
      <c r="P283" s="41"/>
      <c r="Q283" s="42">
        <f t="shared" si="38"/>
        <v>0</v>
      </c>
      <c r="R283" s="43"/>
      <c r="S283" s="44">
        <f t="shared" si="39"/>
        <v>0</v>
      </c>
      <c r="T283" s="44">
        <f t="shared" si="40"/>
        <v>0</v>
      </c>
      <c r="U283" s="45"/>
      <c r="V283" s="46"/>
      <c r="W283" s="27"/>
      <c r="X283" s="47"/>
      <c r="Y283" s="48">
        <f t="shared" si="41"/>
        <v>0</v>
      </c>
      <c r="Z283" s="119"/>
      <c r="AA283" s="118"/>
    </row>
    <row r="284" spans="1:27" s="54" customFormat="1" ht="13.2" hidden="1" outlineLevel="1">
      <c r="A284" s="68"/>
      <c r="B284" s="126"/>
      <c r="C284" s="127"/>
      <c r="D284" s="61"/>
      <c r="E284" s="61"/>
      <c r="F284" s="61"/>
      <c r="G284" s="109"/>
      <c r="H284" s="61"/>
      <c r="I284" s="61"/>
      <c r="J284" s="61"/>
      <c r="K284" s="113"/>
      <c r="L284" s="109"/>
      <c r="M284" s="110"/>
      <c r="N284" s="39"/>
      <c r="O284" s="89"/>
      <c r="P284" s="41"/>
      <c r="Q284" s="42">
        <f t="shared" si="38"/>
        <v>0</v>
      </c>
      <c r="R284" s="43"/>
      <c r="S284" s="44">
        <f t="shared" si="39"/>
        <v>0</v>
      </c>
      <c r="T284" s="44">
        <f t="shared" si="40"/>
        <v>0</v>
      </c>
      <c r="U284" s="45"/>
      <c r="V284" s="46"/>
      <c r="W284" s="27"/>
      <c r="X284" s="47"/>
      <c r="Y284" s="48">
        <f t="shared" si="41"/>
        <v>0</v>
      </c>
      <c r="Z284" s="119"/>
      <c r="AA284" s="118"/>
    </row>
    <row r="285" spans="1:27" s="54" customFormat="1" ht="13.2" hidden="1" outlineLevel="1">
      <c r="A285" s="68"/>
      <c r="B285" s="126"/>
      <c r="C285" s="127"/>
      <c r="D285" s="61"/>
      <c r="E285" s="61"/>
      <c r="F285" s="61"/>
      <c r="G285" s="109"/>
      <c r="H285" s="61"/>
      <c r="I285" s="61"/>
      <c r="J285" s="61"/>
      <c r="K285" s="113"/>
      <c r="L285" s="109"/>
      <c r="M285" s="110"/>
      <c r="N285" s="39"/>
      <c r="O285" s="89"/>
      <c r="P285" s="41"/>
      <c r="Q285" s="42">
        <f t="shared" si="38"/>
        <v>0</v>
      </c>
      <c r="R285" s="43"/>
      <c r="S285" s="44">
        <f t="shared" si="39"/>
        <v>0</v>
      </c>
      <c r="T285" s="44">
        <f t="shared" si="40"/>
        <v>0</v>
      </c>
      <c r="U285" s="45"/>
      <c r="V285" s="46"/>
      <c r="W285" s="27"/>
      <c r="X285" s="47"/>
      <c r="Y285" s="48">
        <f t="shared" si="41"/>
        <v>0</v>
      </c>
      <c r="Z285" s="119"/>
      <c r="AA285" s="118"/>
    </row>
    <row r="286" spans="1:27" s="54" customFormat="1" ht="13.2" hidden="1" outlineLevel="1">
      <c r="A286" s="68"/>
      <c r="B286" s="126"/>
      <c r="C286" s="127"/>
      <c r="D286" s="61"/>
      <c r="E286" s="61"/>
      <c r="F286" s="61"/>
      <c r="G286" s="109"/>
      <c r="H286" s="61"/>
      <c r="I286" s="61"/>
      <c r="J286" s="61"/>
      <c r="K286" s="113"/>
      <c r="L286" s="109"/>
      <c r="M286" s="110"/>
      <c r="N286" s="39"/>
      <c r="O286" s="89"/>
      <c r="P286" s="41"/>
      <c r="Q286" s="42">
        <f t="shared" si="38"/>
        <v>0</v>
      </c>
      <c r="R286" s="43"/>
      <c r="S286" s="44">
        <f t="shared" si="39"/>
        <v>0</v>
      </c>
      <c r="T286" s="44">
        <f t="shared" si="40"/>
        <v>0</v>
      </c>
      <c r="U286" s="45"/>
      <c r="V286" s="46"/>
      <c r="W286" s="27"/>
      <c r="X286" s="47"/>
      <c r="Y286" s="48">
        <f t="shared" si="41"/>
        <v>0</v>
      </c>
      <c r="Z286" s="119"/>
      <c r="AA286" s="118"/>
    </row>
    <row r="287" spans="1:27" s="54" customFormat="1" ht="13.2" hidden="1" outlineLevel="1">
      <c r="A287" s="68"/>
      <c r="B287" s="126"/>
      <c r="C287" s="127"/>
      <c r="D287" s="61"/>
      <c r="E287" s="61"/>
      <c r="F287" s="61"/>
      <c r="G287" s="109"/>
      <c r="H287" s="61"/>
      <c r="I287" s="61"/>
      <c r="J287" s="61"/>
      <c r="K287" s="113"/>
      <c r="L287" s="109"/>
      <c r="M287" s="110"/>
      <c r="N287" s="39"/>
      <c r="O287" s="89"/>
      <c r="P287" s="41"/>
      <c r="Q287" s="42">
        <f t="shared" si="38"/>
        <v>0</v>
      </c>
      <c r="R287" s="43"/>
      <c r="S287" s="44">
        <f t="shared" si="39"/>
        <v>0</v>
      </c>
      <c r="T287" s="44">
        <f t="shared" si="40"/>
        <v>0</v>
      </c>
      <c r="U287" s="45"/>
      <c r="V287" s="46"/>
      <c r="W287" s="27"/>
      <c r="X287" s="47"/>
      <c r="Y287" s="48">
        <f t="shared" si="41"/>
        <v>0</v>
      </c>
      <c r="Z287" s="119"/>
      <c r="AA287" s="118"/>
    </row>
    <row r="288" spans="1:27" s="54" customFormat="1" ht="13.2" hidden="1" outlineLevel="1">
      <c r="A288" s="68"/>
      <c r="B288" s="126"/>
      <c r="C288" s="127"/>
      <c r="D288" s="61"/>
      <c r="E288" s="61"/>
      <c r="F288" s="61"/>
      <c r="G288" s="109"/>
      <c r="H288" s="61"/>
      <c r="I288" s="61"/>
      <c r="J288" s="61"/>
      <c r="K288" s="113"/>
      <c r="L288" s="109"/>
      <c r="M288" s="110"/>
      <c r="N288" s="39"/>
      <c r="O288" s="89"/>
      <c r="P288" s="41"/>
      <c r="Q288" s="42">
        <f t="shared" si="38"/>
        <v>0</v>
      </c>
      <c r="R288" s="43"/>
      <c r="S288" s="44">
        <f t="shared" si="39"/>
        <v>0</v>
      </c>
      <c r="T288" s="44">
        <f t="shared" si="40"/>
        <v>0</v>
      </c>
      <c r="U288" s="45"/>
      <c r="V288" s="46"/>
      <c r="W288" s="27"/>
      <c r="X288" s="47"/>
      <c r="Y288" s="48">
        <f t="shared" si="41"/>
        <v>0</v>
      </c>
      <c r="Z288" s="119"/>
      <c r="AA288" s="118"/>
    </row>
    <row r="289" spans="1:27" s="54" customFormat="1" ht="13.2" hidden="1" outlineLevel="1">
      <c r="A289" s="68"/>
      <c r="B289" s="126"/>
      <c r="C289" s="127"/>
      <c r="D289" s="61"/>
      <c r="E289" s="61"/>
      <c r="F289" s="61"/>
      <c r="G289" s="109"/>
      <c r="H289" s="61"/>
      <c r="I289" s="61"/>
      <c r="J289" s="61"/>
      <c r="K289" s="113"/>
      <c r="L289" s="109"/>
      <c r="M289" s="110"/>
      <c r="N289" s="39"/>
      <c r="O289" s="89"/>
      <c r="P289" s="41"/>
      <c r="Q289" s="42">
        <f t="shared" si="38"/>
        <v>0</v>
      </c>
      <c r="R289" s="43"/>
      <c r="S289" s="44">
        <f t="shared" si="39"/>
        <v>0</v>
      </c>
      <c r="T289" s="44">
        <f t="shared" si="40"/>
        <v>0</v>
      </c>
      <c r="U289" s="45"/>
      <c r="V289" s="46"/>
      <c r="W289" s="27"/>
      <c r="X289" s="47"/>
      <c r="Y289" s="48">
        <f t="shared" si="41"/>
        <v>0</v>
      </c>
      <c r="Z289" s="119"/>
      <c r="AA289" s="118"/>
    </row>
    <row r="290" spans="1:27" s="54" customFormat="1" ht="13.2" hidden="1" outlineLevel="1">
      <c r="A290" s="68"/>
      <c r="B290" s="126"/>
      <c r="C290" s="127"/>
      <c r="D290" s="61"/>
      <c r="E290" s="61"/>
      <c r="F290" s="61"/>
      <c r="G290" s="109"/>
      <c r="H290" s="61"/>
      <c r="I290" s="61"/>
      <c r="J290" s="61"/>
      <c r="K290" s="113"/>
      <c r="L290" s="109"/>
      <c r="M290" s="110"/>
      <c r="N290" s="39"/>
      <c r="O290" s="89"/>
      <c r="P290" s="41"/>
      <c r="Q290" s="42">
        <f t="shared" si="38"/>
        <v>0</v>
      </c>
      <c r="R290" s="43"/>
      <c r="S290" s="44">
        <f t="shared" si="39"/>
        <v>0</v>
      </c>
      <c r="T290" s="44">
        <f t="shared" si="40"/>
        <v>0</v>
      </c>
      <c r="U290" s="45"/>
      <c r="V290" s="46"/>
      <c r="W290" s="27"/>
      <c r="X290" s="47"/>
      <c r="Y290" s="48">
        <f t="shared" si="41"/>
        <v>0</v>
      </c>
      <c r="Z290" s="119"/>
      <c r="AA290" s="118"/>
    </row>
    <row r="291" spans="1:27" s="54" customFormat="1" ht="13.2" hidden="1" outlineLevel="1">
      <c r="A291" s="68"/>
      <c r="B291" s="126"/>
      <c r="C291" s="127"/>
      <c r="D291" s="61"/>
      <c r="E291" s="61"/>
      <c r="F291" s="61"/>
      <c r="G291" s="109"/>
      <c r="H291" s="61"/>
      <c r="I291" s="61"/>
      <c r="J291" s="61"/>
      <c r="K291" s="113"/>
      <c r="L291" s="109"/>
      <c r="M291" s="110"/>
      <c r="N291" s="39"/>
      <c r="O291" s="89"/>
      <c r="P291" s="41"/>
      <c r="Q291" s="42">
        <f t="shared" si="38"/>
        <v>0</v>
      </c>
      <c r="R291" s="43"/>
      <c r="S291" s="44">
        <f t="shared" si="39"/>
        <v>0</v>
      </c>
      <c r="T291" s="44">
        <f t="shared" si="40"/>
        <v>0</v>
      </c>
      <c r="U291" s="45"/>
      <c r="V291" s="46"/>
      <c r="W291" s="27"/>
      <c r="X291" s="47"/>
      <c r="Y291" s="48">
        <f t="shared" si="41"/>
        <v>0</v>
      </c>
      <c r="Z291" s="119"/>
      <c r="AA291" s="118"/>
    </row>
    <row r="292" spans="1:27" s="54" customFormat="1" ht="13.2" hidden="1" outlineLevel="1">
      <c r="A292" s="68"/>
      <c r="B292" s="126"/>
      <c r="C292" s="127"/>
      <c r="D292" s="61"/>
      <c r="E292" s="61"/>
      <c r="F292" s="61"/>
      <c r="G292" s="109"/>
      <c r="H292" s="61"/>
      <c r="I292" s="61"/>
      <c r="J292" s="61"/>
      <c r="K292" s="113"/>
      <c r="L292" s="109"/>
      <c r="M292" s="110"/>
      <c r="N292" s="39"/>
      <c r="O292" s="89"/>
      <c r="P292" s="41"/>
      <c r="Q292" s="42">
        <f t="shared" si="38"/>
        <v>0</v>
      </c>
      <c r="R292" s="43"/>
      <c r="S292" s="44">
        <f t="shared" si="39"/>
        <v>0</v>
      </c>
      <c r="T292" s="44">
        <f t="shared" si="40"/>
        <v>0</v>
      </c>
      <c r="U292" s="45"/>
      <c r="V292" s="46"/>
      <c r="W292" s="27"/>
      <c r="X292" s="47"/>
      <c r="Y292" s="48">
        <f t="shared" si="41"/>
        <v>0</v>
      </c>
      <c r="Z292" s="119"/>
      <c r="AA292" s="118"/>
    </row>
    <row r="293" spans="1:27" s="54" customFormat="1" ht="13.2" hidden="1" outlineLevel="1">
      <c r="A293" s="68"/>
      <c r="B293" s="126"/>
      <c r="C293" s="127"/>
      <c r="D293" s="61"/>
      <c r="E293" s="61"/>
      <c r="F293" s="61"/>
      <c r="G293" s="109"/>
      <c r="H293" s="61"/>
      <c r="I293" s="61"/>
      <c r="J293" s="61"/>
      <c r="K293" s="113"/>
      <c r="L293" s="109"/>
      <c r="M293" s="110"/>
      <c r="N293" s="39"/>
      <c r="O293" s="89"/>
      <c r="P293" s="41"/>
      <c r="Q293" s="42">
        <f t="shared" si="38"/>
        <v>0</v>
      </c>
      <c r="R293" s="43"/>
      <c r="S293" s="44">
        <f t="shared" si="39"/>
        <v>0</v>
      </c>
      <c r="T293" s="44">
        <f t="shared" si="40"/>
        <v>0</v>
      </c>
      <c r="U293" s="45"/>
      <c r="V293" s="46"/>
      <c r="W293" s="27"/>
      <c r="X293" s="47"/>
      <c r="Y293" s="48">
        <f t="shared" si="41"/>
        <v>0</v>
      </c>
      <c r="Z293" s="119"/>
      <c r="AA293" s="118"/>
    </row>
    <row r="294" spans="1:27" s="54" customFormat="1" ht="13.2" hidden="1" outlineLevel="1">
      <c r="A294" s="68"/>
      <c r="B294" s="126"/>
      <c r="C294" s="127"/>
      <c r="D294" s="61"/>
      <c r="E294" s="61"/>
      <c r="F294" s="61"/>
      <c r="G294" s="109"/>
      <c r="H294" s="61"/>
      <c r="I294" s="61"/>
      <c r="J294" s="61"/>
      <c r="K294" s="113"/>
      <c r="L294" s="109"/>
      <c r="M294" s="110"/>
      <c r="N294" s="39"/>
      <c r="O294" s="89"/>
      <c r="P294" s="41"/>
      <c r="Q294" s="42">
        <f t="shared" si="38"/>
        <v>0</v>
      </c>
      <c r="R294" s="43"/>
      <c r="S294" s="44">
        <f t="shared" si="39"/>
        <v>0</v>
      </c>
      <c r="T294" s="44">
        <f t="shared" si="40"/>
        <v>0</v>
      </c>
      <c r="U294" s="45"/>
      <c r="V294" s="46"/>
      <c r="W294" s="27"/>
      <c r="X294" s="47"/>
      <c r="Y294" s="48">
        <f t="shared" si="41"/>
        <v>0</v>
      </c>
      <c r="Z294" s="119"/>
      <c r="AA294" s="118"/>
    </row>
    <row r="295" spans="1:27" s="54" customFormat="1" ht="13.2" hidden="1" outlineLevel="1">
      <c r="A295" s="68"/>
      <c r="B295" s="126"/>
      <c r="C295" s="127"/>
      <c r="D295" s="61"/>
      <c r="E295" s="61"/>
      <c r="F295" s="61"/>
      <c r="G295" s="109"/>
      <c r="H295" s="61"/>
      <c r="I295" s="61"/>
      <c r="J295" s="61"/>
      <c r="K295" s="113"/>
      <c r="L295" s="109"/>
      <c r="M295" s="110"/>
      <c r="N295" s="39"/>
      <c r="O295" s="89"/>
      <c r="P295" s="41"/>
      <c r="Q295" s="42">
        <f t="shared" si="38"/>
        <v>0</v>
      </c>
      <c r="R295" s="43"/>
      <c r="S295" s="44">
        <f t="shared" si="39"/>
        <v>0</v>
      </c>
      <c r="T295" s="44">
        <f t="shared" si="40"/>
        <v>0</v>
      </c>
      <c r="U295" s="45"/>
      <c r="V295" s="46"/>
      <c r="W295" s="27"/>
      <c r="X295" s="47"/>
      <c r="Y295" s="48">
        <f t="shared" si="41"/>
        <v>0</v>
      </c>
      <c r="Z295" s="119"/>
      <c r="AA295" s="118"/>
    </row>
    <row r="296" spans="1:27" s="54" customFormat="1" ht="13.2" hidden="1" outlineLevel="1">
      <c r="A296" s="68"/>
      <c r="B296" s="126"/>
      <c r="C296" s="127"/>
      <c r="D296" s="61"/>
      <c r="E296" s="61"/>
      <c r="F296" s="61"/>
      <c r="G296" s="109"/>
      <c r="H296" s="61"/>
      <c r="I296" s="61"/>
      <c r="J296" s="61"/>
      <c r="K296" s="113"/>
      <c r="L296" s="109"/>
      <c r="M296" s="110"/>
      <c r="N296" s="39"/>
      <c r="O296" s="89"/>
      <c r="P296" s="41"/>
      <c r="Q296" s="42">
        <f t="shared" si="38"/>
        <v>0</v>
      </c>
      <c r="R296" s="43"/>
      <c r="S296" s="44">
        <f t="shared" si="39"/>
        <v>0</v>
      </c>
      <c r="T296" s="44">
        <f t="shared" si="40"/>
        <v>0</v>
      </c>
      <c r="U296" s="45"/>
      <c r="V296" s="46"/>
      <c r="W296" s="27"/>
      <c r="X296" s="47"/>
      <c r="Y296" s="48">
        <f t="shared" si="41"/>
        <v>0</v>
      </c>
      <c r="Z296" s="119"/>
      <c r="AA296" s="118"/>
    </row>
    <row r="297" spans="1:27" s="54" customFormat="1" ht="13.2" hidden="1" outlineLevel="1">
      <c r="A297" s="68"/>
      <c r="B297" s="126"/>
      <c r="C297" s="127"/>
      <c r="D297" s="61"/>
      <c r="E297" s="61"/>
      <c r="F297" s="61"/>
      <c r="G297" s="109"/>
      <c r="H297" s="61"/>
      <c r="I297" s="61"/>
      <c r="J297" s="61"/>
      <c r="K297" s="113"/>
      <c r="L297" s="109"/>
      <c r="M297" s="110"/>
      <c r="N297" s="39"/>
      <c r="O297" s="89"/>
      <c r="P297" s="41"/>
      <c r="Q297" s="42">
        <f t="shared" si="38"/>
        <v>0</v>
      </c>
      <c r="R297" s="43"/>
      <c r="S297" s="44">
        <f t="shared" si="39"/>
        <v>0</v>
      </c>
      <c r="T297" s="44">
        <f t="shared" si="40"/>
        <v>0</v>
      </c>
      <c r="U297" s="45"/>
      <c r="V297" s="46"/>
      <c r="W297" s="27"/>
      <c r="X297" s="47"/>
      <c r="Y297" s="48">
        <f t="shared" si="41"/>
        <v>0</v>
      </c>
      <c r="Z297" s="119"/>
      <c r="AA297" s="118"/>
    </row>
    <row r="298" spans="1:27" s="54" customFormat="1" ht="13.2" hidden="1" outlineLevel="1">
      <c r="A298" s="68"/>
      <c r="B298" s="126"/>
      <c r="C298" s="127"/>
      <c r="D298" s="61"/>
      <c r="E298" s="61"/>
      <c r="F298" s="61"/>
      <c r="G298" s="109"/>
      <c r="H298" s="61"/>
      <c r="I298" s="61"/>
      <c r="J298" s="61"/>
      <c r="K298" s="113"/>
      <c r="L298" s="109"/>
      <c r="M298" s="110"/>
      <c r="N298" s="39"/>
      <c r="O298" s="89"/>
      <c r="P298" s="41"/>
      <c r="Q298" s="42">
        <f t="shared" si="38"/>
        <v>0</v>
      </c>
      <c r="R298" s="43"/>
      <c r="S298" s="44">
        <f t="shared" si="39"/>
        <v>0</v>
      </c>
      <c r="T298" s="44">
        <f t="shared" si="40"/>
        <v>0</v>
      </c>
      <c r="U298" s="45"/>
      <c r="V298" s="46"/>
      <c r="W298" s="27"/>
      <c r="X298" s="47"/>
      <c r="Y298" s="48">
        <f t="shared" si="41"/>
        <v>0</v>
      </c>
      <c r="Z298" s="119"/>
      <c r="AA298" s="118"/>
    </row>
    <row r="299" spans="1:27" s="54" customFormat="1" ht="13.2" hidden="1" outlineLevel="1">
      <c r="A299" s="68"/>
      <c r="B299" s="126"/>
      <c r="C299" s="127"/>
      <c r="D299" s="61"/>
      <c r="E299" s="61"/>
      <c r="F299" s="61"/>
      <c r="G299" s="109"/>
      <c r="H299" s="61"/>
      <c r="I299" s="61"/>
      <c r="J299" s="61"/>
      <c r="K299" s="113"/>
      <c r="L299" s="109"/>
      <c r="M299" s="110"/>
      <c r="N299" s="39"/>
      <c r="O299" s="89"/>
      <c r="P299" s="41"/>
      <c r="Q299" s="42">
        <f t="shared" si="38"/>
        <v>0</v>
      </c>
      <c r="R299" s="43"/>
      <c r="S299" s="44">
        <f t="shared" si="39"/>
        <v>0</v>
      </c>
      <c r="T299" s="44">
        <f t="shared" si="40"/>
        <v>0</v>
      </c>
      <c r="U299" s="45"/>
      <c r="V299" s="46"/>
      <c r="W299" s="27"/>
      <c r="X299" s="47"/>
      <c r="Y299" s="48">
        <f t="shared" si="41"/>
        <v>0</v>
      </c>
      <c r="Z299" s="119"/>
      <c r="AA299" s="118"/>
    </row>
    <row r="300" spans="1:27" s="54" customFormat="1" ht="13.2" hidden="1" outlineLevel="1">
      <c r="A300" s="68"/>
      <c r="B300" s="126"/>
      <c r="C300" s="127"/>
      <c r="D300" s="61"/>
      <c r="E300" s="61"/>
      <c r="F300" s="61"/>
      <c r="G300" s="109"/>
      <c r="H300" s="61"/>
      <c r="I300" s="61"/>
      <c r="J300" s="61"/>
      <c r="K300" s="113"/>
      <c r="L300" s="109"/>
      <c r="M300" s="110"/>
      <c r="N300" s="39"/>
      <c r="O300" s="89"/>
      <c r="P300" s="41"/>
      <c r="Q300" s="42">
        <f t="shared" si="38"/>
        <v>0</v>
      </c>
      <c r="R300" s="43"/>
      <c r="S300" s="44">
        <f t="shared" si="39"/>
        <v>0</v>
      </c>
      <c r="T300" s="44">
        <f t="shared" si="40"/>
        <v>0</v>
      </c>
      <c r="U300" s="45"/>
      <c r="V300" s="46"/>
      <c r="W300" s="27"/>
      <c r="X300" s="47"/>
      <c r="Y300" s="48">
        <f t="shared" si="41"/>
        <v>0</v>
      </c>
      <c r="Z300" s="119"/>
      <c r="AA300" s="118"/>
    </row>
    <row r="301" spans="1:27" s="54" customFormat="1" ht="13.2" hidden="1" outlineLevel="1">
      <c r="A301" s="68"/>
      <c r="B301" s="126"/>
      <c r="C301" s="127"/>
      <c r="D301" s="61"/>
      <c r="E301" s="61"/>
      <c r="F301" s="61"/>
      <c r="G301" s="109"/>
      <c r="H301" s="61"/>
      <c r="I301" s="61"/>
      <c r="J301" s="61"/>
      <c r="K301" s="113"/>
      <c r="L301" s="109"/>
      <c r="M301" s="110"/>
      <c r="N301" s="39"/>
      <c r="O301" s="89"/>
      <c r="P301" s="41"/>
      <c r="Q301" s="42">
        <f t="shared" si="38"/>
        <v>0</v>
      </c>
      <c r="R301" s="43"/>
      <c r="S301" s="44">
        <f t="shared" si="39"/>
        <v>0</v>
      </c>
      <c r="T301" s="44">
        <f t="shared" si="40"/>
        <v>0</v>
      </c>
      <c r="U301" s="45"/>
      <c r="V301" s="46"/>
      <c r="W301" s="27"/>
      <c r="X301" s="47"/>
      <c r="Y301" s="48">
        <f t="shared" si="41"/>
        <v>0</v>
      </c>
      <c r="Z301" s="119"/>
      <c r="AA301" s="118"/>
    </row>
    <row r="302" spans="1:27" s="54" customFormat="1" ht="13.2" hidden="1" outlineLevel="1">
      <c r="A302" s="68"/>
      <c r="B302" s="126"/>
      <c r="C302" s="127"/>
      <c r="D302" s="61"/>
      <c r="E302" s="61"/>
      <c r="F302" s="61"/>
      <c r="G302" s="109"/>
      <c r="H302" s="61"/>
      <c r="I302" s="61"/>
      <c r="J302" s="61"/>
      <c r="K302" s="113"/>
      <c r="L302" s="109"/>
      <c r="M302" s="110"/>
      <c r="N302" s="39"/>
      <c r="O302" s="89"/>
      <c r="P302" s="41"/>
      <c r="Q302" s="42">
        <f t="shared" si="38"/>
        <v>0</v>
      </c>
      <c r="R302" s="43"/>
      <c r="S302" s="44">
        <f t="shared" si="39"/>
        <v>0</v>
      </c>
      <c r="T302" s="44">
        <f t="shared" si="40"/>
        <v>0</v>
      </c>
      <c r="U302" s="45"/>
      <c r="V302" s="46"/>
      <c r="W302" s="27"/>
      <c r="X302" s="47"/>
      <c r="Y302" s="48">
        <f t="shared" si="41"/>
        <v>0</v>
      </c>
      <c r="Z302" s="119"/>
      <c r="AA302" s="118"/>
    </row>
    <row r="303" spans="1:27" s="54" customFormat="1" ht="13.2" hidden="1" outlineLevel="1">
      <c r="A303" s="68"/>
      <c r="B303" s="126"/>
      <c r="C303" s="127"/>
      <c r="D303" s="61"/>
      <c r="E303" s="61"/>
      <c r="F303" s="61"/>
      <c r="G303" s="109"/>
      <c r="H303" s="61"/>
      <c r="I303" s="61"/>
      <c r="J303" s="61"/>
      <c r="K303" s="113"/>
      <c r="L303" s="109"/>
      <c r="M303" s="110"/>
      <c r="N303" s="39"/>
      <c r="O303" s="89"/>
      <c r="P303" s="41"/>
      <c r="Q303" s="42">
        <f t="shared" si="38"/>
        <v>0</v>
      </c>
      <c r="R303" s="43"/>
      <c r="S303" s="44">
        <f t="shared" si="39"/>
        <v>0</v>
      </c>
      <c r="T303" s="44">
        <f t="shared" si="40"/>
        <v>0</v>
      </c>
      <c r="U303" s="45"/>
      <c r="V303" s="46"/>
      <c r="W303" s="27"/>
      <c r="X303" s="47"/>
      <c r="Y303" s="48">
        <f t="shared" si="41"/>
        <v>0</v>
      </c>
      <c r="Z303" s="119"/>
      <c r="AA303" s="118"/>
    </row>
    <row r="304" spans="1:27" s="54" customFormat="1" ht="13.2" hidden="1" outlineLevel="1">
      <c r="A304" s="68"/>
      <c r="B304" s="126"/>
      <c r="C304" s="127"/>
      <c r="D304" s="61"/>
      <c r="E304" s="61"/>
      <c r="F304" s="61"/>
      <c r="G304" s="109"/>
      <c r="H304" s="61"/>
      <c r="I304" s="61"/>
      <c r="J304" s="61"/>
      <c r="K304" s="113"/>
      <c r="L304" s="109"/>
      <c r="M304" s="110"/>
      <c r="N304" s="39"/>
      <c r="O304" s="89"/>
      <c r="P304" s="41"/>
      <c r="Q304" s="42">
        <f t="shared" si="38"/>
        <v>0</v>
      </c>
      <c r="R304" s="43"/>
      <c r="S304" s="44">
        <f t="shared" si="39"/>
        <v>0</v>
      </c>
      <c r="T304" s="44">
        <f t="shared" si="40"/>
        <v>0</v>
      </c>
      <c r="U304" s="45"/>
      <c r="V304" s="46"/>
      <c r="W304" s="27"/>
      <c r="X304" s="47"/>
      <c r="Y304" s="48">
        <f t="shared" si="41"/>
        <v>0</v>
      </c>
      <c r="Z304" s="119"/>
      <c r="AA304" s="118"/>
    </row>
    <row r="305" spans="1:27" s="54" customFormat="1" ht="13.2" hidden="1" outlineLevel="1">
      <c r="A305" s="68"/>
      <c r="B305" s="126"/>
      <c r="C305" s="127"/>
      <c r="D305" s="61"/>
      <c r="E305" s="61"/>
      <c r="F305" s="61"/>
      <c r="G305" s="109"/>
      <c r="H305" s="61"/>
      <c r="I305" s="61"/>
      <c r="J305" s="61"/>
      <c r="K305" s="113"/>
      <c r="L305" s="109"/>
      <c r="M305" s="110"/>
      <c r="N305" s="39"/>
      <c r="O305" s="89"/>
      <c r="P305" s="41"/>
      <c r="Q305" s="42">
        <f t="shared" si="38"/>
        <v>0</v>
      </c>
      <c r="R305" s="43"/>
      <c r="S305" s="44">
        <f t="shared" si="39"/>
        <v>0</v>
      </c>
      <c r="T305" s="44">
        <f t="shared" si="40"/>
        <v>0</v>
      </c>
      <c r="U305" s="45"/>
      <c r="V305" s="46"/>
      <c r="W305" s="27"/>
      <c r="X305" s="47"/>
      <c r="Y305" s="48">
        <f t="shared" si="41"/>
        <v>0</v>
      </c>
      <c r="Z305" s="119"/>
      <c r="AA305" s="118"/>
    </row>
    <row r="306" spans="1:27" s="54" customFormat="1" ht="13.2" hidden="1" outlineLevel="1">
      <c r="A306" s="68"/>
      <c r="B306" s="126"/>
      <c r="C306" s="127"/>
      <c r="D306" s="61"/>
      <c r="E306" s="61"/>
      <c r="F306" s="61"/>
      <c r="G306" s="109"/>
      <c r="H306" s="61"/>
      <c r="I306" s="61"/>
      <c r="J306" s="61"/>
      <c r="K306" s="113"/>
      <c r="L306" s="109"/>
      <c r="M306" s="110"/>
      <c r="N306" s="39"/>
      <c r="O306" s="89"/>
      <c r="P306" s="41"/>
      <c r="Q306" s="42">
        <f t="shared" si="38"/>
        <v>0</v>
      </c>
      <c r="R306" s="43"/>
      <c r="S306" s="44">
        <f t="shared" si="39"/>
        <v>0</v>
      </c>
      <c r="T306" s="44">
        <f t="shared" si="40"/>
        <v>0</v>
      </c>
      <c r="U306" s="45"/>
      <c r="V306" s="46"/>
      <c r="W306" s="27"/>
      <c r="X306" s="47"/>
      <c r="Y306" s="48">
        <f t="shared" si="41"/>
        <v>0</v>
      </c>
      <c r="Z306" s="119"/>
      <c r="AA306" s="118"/>
    </row>
    <row r="307" spans="1:27" s="54" customFormat="1" ht="13.2" hidden="1" outlineLevel="1">
      <c r="A307" s="68"/>
      <c r="B307" s="126"/>
      <c r="C307" s="127"/>
      <c r="D307" s="61"/>
      <c r="E307" s="61"/>
      <c r="F307" s="61"/>
      <c r="G307" s="109"/>
      <c r="H307" s="61"/>
      <c r="I307" s="61"/>
      <c r="J307" s="61"/>
      <c r="K307" s="113"/>
      <c r="L307" s="109"/>
      <c r="M307" s="110"/>
      <c r="N307" s="39"/>
      <c r="O307" s="89"/>
      <c r="P307" s="41"/>
      <c r="Q307" s="42">
        <f t="shared" si="38"/>
        <v>0</v>
      </c>
      <c r="R307" s="43"/>
      <c r="S307" s="44">
        <f t="shared" si="39"/>
        <v>0</v>
      </c>
      <c r="T307" s="44">
        <f t="shared" si="40"/>
        <v>0</v>
      </c>
      <c r="U307" s="45"/>
      <c r="V307" s="46"/>
      <c r="W307" s="27"/>
      <c r="X307" s="47"/>
      <c r="Y307" s="48">
        <f t="shared" si="41"/>
        <v>0</v>
      </c>
      <c r="Z307" s="119"/>
      <c r="AA307" s="118"/>
    </row>
    <row r="308" spans="1:27" s="54" customFormat="1" ht="13.2" hidden="1" outlineLevel="1">
      <c r="A308" s="68"/>
      <c r="B308" s="126"/>
      <c r="C308" s="127"/>
      <c r="D308" s="61"/>
      <c r="E308" s="61"/>
      <c r="F308" s="61"/>
      <c r="G308" s="109"/>
      <c r="H308" s="61"/>
      <c r="I308" s="61"/>
      <c r="J308" s="61"/>
      <c r="K308" s="113"/>
      <c r="L308" s="109"/>
      <c r="M308" s="110"/>
      <c r="N308" s="39"/>
      <c r="O308" s="89"/>
      <c r="P308" s="41"/>
      <c r="Q308" s="42">
        <f t="shared" si="38"/>
        <v>0</v>
      </c>
      <c r="R308" s="43"/>
      <c r="S308" s="44">
        <f t="shared" si="39"/>
        <v>0</v>
      </c>
      <c r="T308" s="44">
        <f t="shared" si="40"/>
        <v>0</v>
      </c>
      <c r="U308" s="45"/>
      <c r="V308" s="46"/>
      <c r="W308" s="27"/>
      <c r="X308" s="47"/>
      <c r="Y308" s="48">
        <f t="shared" si="41"/>
        <v>0</v>
      </c>
      <c r="Z308" s="119"/>
      <c r="AA308" s="118"/>
    </row>
    <row r="309" spans="1:27" s="54" customFormat="1" ht="13.2" hidden="1" outlineLevel="1">
      <c r="A309" s="68"/>
      <c r="B309" s="126"/>
      <c r="C309" s="127"/>
      <c r="D309" s="61"/>
      <c r="E309" s="61"/>
      <c r="F309" s="61"/>
      <c r="G309" s="109"/>
      <c r="H309" s="61"/>
      <c r="I309" s="61"/>
      <c r="J309" s="61"/>
      <c r="K309" s="113"/>
      <c r="L309" s="109"/>
      <c r="M309" s="110"/>
      <c r="N309" s="39"/>
      <c r="O309" s="89"/>
      <c r="P309" s="41"/>
      <c r="Q309" s="42">
        <f t="shared" si="38"/>
        <v>0</v>
      </c>
      <c r="R309" s="43"/>
      <c r="S309" s="44">
        <f t="shared" si="39"/>
        <v>0</v>
      </c>
      <c r="T309" s="44">
        <f t="shared" si="40"/>
        <v>0</v>
      </c>
      <c r="U309" s="45"/>
      <c r="V309" s="46"/>
      <c r="W309" s="27"/>
      <c r="X309" s="47"/>
      <c r="Y309" s="48">
        <f t="shared" si="41"/>
        <v>0</v>
      </c>
      <c r="Z309" s="119"/>
      <c r="AA309" s="118"/>
    </row>
    <row r="310" spans="1:27" s="54" customFormat="1" ht="13.2" hidden="1" outlineLevel="1">
      <c r="A310" s="68"/>
      <c r="B310" s="126"/>
      <c r="C310" s="127"/>
      <c r="D310" s="61"/>
      <c r="E310" s="61"/>
      <c r="F310" s="61"/>
      <c r="G310" s="109"/>
      <c r="H310" s="61"/>
      <c r="I310" s="61"/>
      <c r="J310" s="61"/>
      <c r="K310" s="113"/>
      <c r="L310" s="109"/>
      <c r="M310" s="110"/>
      <c r="N310" s="39"/>
      <c r="O310" s="89"/>
      <c r="P310" s="41"/>
      <c r="Q310" s="42">
        <f t="shared" si="38"/>
        <v>0</v>
      </c>
      <c r="R310" s="43"/>
      <c r="S310" s="44">
        <f t="shared" si="39"/>
        <v>0</v>
      </c>
      <c r="T310" s="44">
        <f t="shared" si="40"/>
        <v>0</v>
      </c>
      <c r="U310" s="45"/>
      <c r="V310" s="46"/>
      <c r="W310" s="27"/>
      <c r="X310" s="47"/>
      <c r="Y310" s="48">
        <f t="shared" si="41"/>
        <v>0</v>
      </c>
      <c r="Z310" s="119"/>
      <c r="AA310" s="118"/>
    </row>
    <row r="311" spans="1:27" s="54" customFormat="1" ht="13.2" hidden="1" outlineLevel="1">
      <c r="A311" s="68"/>
      <c r="B311" s="126"/>
      <c r="C311" s="127"/>
      <c r="D311" s="61"/>
      <c r="E311" s="61"/>
      <c r="F311" s="61"/>
      <c r="G311" s="109"/>
      <c r="H311" s="61"/>
      <c r="I311" s="61"/>
      <c r="J311" s="61"/>
      <c r="K311" s="113"/>
      <c r="L311" s="109"/>
      <c r="M311" s="110"/>
      <c r="N311" s="39"/>
      <c r="O311" s="89"/>
      <c r="P311" s="41"/>
      <c r="Q311" s="42">
        <f t="shared" si="38"/>
        <v>0</v>
      </c>
      <c r="R311" s="43"/>
      <c r="S311" s="44">
        <f t="shared" si="39"/>
        <v>0</v>
      </c>
      <c r="T311" s="44">
        <f t="shared" si="40"/>
        <v>0</v>
      </c>
      <c r="U311" s="45"/>
      <c r="V311" s="46"/>
      <c r="W311" s="27"/>
      <c r="X311" s="47"/>
      <c r="Y311" s="48">
        <f t="shared" si="41"/>
        <v>0</v>
      </c>
      <c r="Z311" s="119"/>
      <c r="AA311" s="118"/>
    </row>
    <row r="312" spans="1:27" s="54" customFormat="1" ht="13.2" hidden="1" outlineLevel="1">
      <c r="A312" s="68"/>
      <c r="B312" s="126"/>
      <c r="C312" s="127"/>
      <c r="D312" s="61"/>
      <c r="E312" s="61"/>
      <c r="F312" s="61"/>
      <c r="G312" s="109"/>
      <c r="H312" s="61"/>
      <c r="I312" s="61"/>
      <c r="J312" s="61"/>
      <c r="K312" s="113"/>
      <c r="L312" s="109"/>
      <c r="M312" s="110"/>
      <c r="N312" s="39"/>
      <c r="O312" s="89"/>
      <c r="P312" s="41"/>
      <c r="Q312" s="42">
        <f t="shared" si="38"/>
        <v>0</v>
      </c>
      <c r="R312" s="43"/>
      <c r="S312" s="44">
        <f t="shared" si="39"/>
        <v>0</v>
      </c>
      <c r="T312" s="44">
        <f t="shared" si="40"/>
        <v>0</v>
      </c>
      <c r="U312" s="45"/>
      <c r="V312" s="46"/>
      <c r="W312" s="27"/>
      <c r="X312" s="47"/>
      <c r="Y312" s="48">
        <f t="shared" si="41"/>
        <v>0</v>
      </c>
      <c r="Z312" s="119"/>
      <c r="AA312" s="118"/>
    </row>
    <row r="313" spans="1:27" s="54" customFormat="1" ht="13.2" hidden="1" outlineLevel="1">
      <c r="A313" s="68"/>
      <c r="B313" s="126"/>
      <c r="C313" s="127"/>
      <c r="D313" s="61"/>
      <c r="E313" s="61"/>
      <c r="F313" s="61"/>
      <c r="G313" s="109"/>
      <c r="H313" s="61"/>
      <c r="I313" s="61"/>
      <c r="J313" s="61"/>
      <c r="K313" s="113"/>
      <c r="L313" s="109"/>
      <c r="M313" s="110"/>
      <c r="N313" s="39"/>
      <c r="O313" s="89"/>
      <c r="P313" s="41"/>
      <c r="Q313" s="42">
        <f t="shared" si="38"/>
        <v>0</v>
      </c>
      <c r="R313" s="43"/>
      <c r="S313" s="44">
        <f t="shared" si="39"/>
        <v>0</v>
      </c>
      <c r="T313" s="44">
        <f t="shared" si="40"/>
        <v>0</v>
      </c>
      <c r="U313" s="45"/>
      <c r="V313" s="46"/>
      <c r="W313" s="27"/>
      <c r="X313" s="47"/>
      <c r="Y313" s="48">
        <f t="shared" si="41"/>
        <v>0</v>
      </c>
      <c r="Z313" s="119"/>
      <c r="AA313" s="118"/>
    </row>
    <row r="314" spans="1:27" s="54" customFormat="1" ht="13.2" hidden="1" outlineLevel="1">
      <c r="A314" s="68"/>
      <c r="B314" s="126"/>
      <c r="C314" s="127"/>
      <c r="D314" s="61"/>
      <c r="E314" s="61"/>
      <c r="F314" s="61"/>
      <c r="G314" s="109"/>
      <c r="H314" s="61"/>
      <c r="I314" s="61"/>
      <c r="J314" s="61"/>
      <c r="K314" s="113"/>
      <c r="L314" s="109"/>
      <c r="M314" s="110"/>
      <c r="N314" s="39"/>
      <c r="O314" s="89"/>
      <c r="P314" s="41"/>
      <c r="Q314" s="42">
        <f t="shared" si="38"/>
        <v>0</v>
      </c>
      <c r="R314" s="43"/>
      <c r="S314" s="44">
        <f t="shared" si="39"/>
        <v>0</v>
      </c>
      <c r="T314" s="44">
        <f t="shared" si="40"/>
        <v>0</v>
      </c>
      <c r="U314" s="45"/>
      <c r="V314" s="46"/>
      <c r="W314" s="27"/>
      <c r="X314" s="47"/>
      <c r="Y314" s="48">
        <f t="shared" si="41"/>
        <v>0</v>
      </c>
      <c r="Z314" s="119"/>
      <c r="AA314" s="118"/>
    </row>
    <row r="315" spans="1:27" s="54" customFormat="1" ht="13.2" hidden="1" outlineLevel="1">
      <c r="A315" s="68"/>
      <c r="B315" s="126"/>
      <c r="C315" s="127"/>
      <c r="D315" s="61"/>
      <c r="E315" s="61"/>
      <c r="F315" s="61"/>
      <c r="G315" s="109"/>
      <c r="H315" s="61"/>
      <c r="I315" s="61"/>
      <c r="J315" s="61"/>
      <c r="K315" s="113"/>
      <c r="L315" s="109"/>
      <c r="M315" s="110"/>
      <c r="N315" s="39"/>
      <c r="O315" s="89"/>
      <c r="P315" s="41"/>
      <c r="Q315" s="42">
        <f t="shared" si="38"/>
        <v>0</v>
      </c>
      <c r="R315" s="43"/>
      <c r="S315" s="44">
        <f t="shared" si="39"/>
        <v>0</v>
      </c>
      <c r="T315" s="44">
        <f t="shared" si="40"/>
        <v>0</v>
      </c>
      <c r="U315" s="45"/>
      <c r="V315" s="46"/>
      <c r="W315" s="27"/>
      <c r="X315" s="47"/>
      <c r="Y315" s="48">
        <f t="shared" si="41"/>
        <v>0</v>
      </c>
      <c r="Z315" s="119"/>
      <c r="AA315" s="118"/>
    </row>
    <row r="316" spans="1:27" s="54" customFormat="1" ht="13.2" hidden="1" outlineLevel="1">
      <c r="A316" s="68"/>
      <c r="B316" s="126"/>
      <c r="C316" s="127"/>
      <c r="D316" s="61"/>
      <c r="E316" s="61"/>
      <c r="F316" s="61"/>
      <c r="G316" s="109"/>
      <c r="H316" s="61"/>
      <c r="I316" s="61"/>
      <c r="J316" s="61"/>
      <c r="K316" s="113"/>
      <c r="L316" s="109"/>
      <c r="M316" s="110"/>
      <c r="N316" s="39"/>
      <c r="O316" s="89"/>
      <c r="P316" s="41"/>
      <c r="Q316" s="42">
        <f t="shared" si="38"/>
        <v>0</v>
      </c>
      <c r="R316" s="43"/>
      <c r="S316" s="44">
        <f t="shared" si="39"/>
        <v>0</v>
      </c>
      <c r="T316" s="44">
        <f t="shared" si="40"/>
        <v>0</v>
      </c>
      <c r="U316" s="45"/>
      <c r="V316" s="46"/>
      <c r="W316" s="27"/>
      <c r="X316" s="47"/>
      <c r="Y316" s="48">
        <f t="shared" si="41"/>
        <v>0</v>
      </c>
      <c r="Z316" s="119"/>
      <c r="AA316" s="118"/>
    </row>
    <row r="317" spans="1:27" s="54" customFormat="1" ht="13.2" hidden="1" outlineLevel="1">
      <c r="A317" s="68"/>
      <c r="B317" s="126"/>
      <c r="C317" s="127"/>
      <c r="D317" s="61"/>
      <c r="E317" s="61"/>
      <c r="F317" s="61"/>
      <c r="G317" s="109"/>
      <c r="H317" s="61"/>
      <c r="I317" s="61"/>
      <c r="J317" s="61"/>
      <c r="K317" s="113"/>
      <c r="L317" s="109"/>
      <c r="M317" s="110"/>
      <c r="N317" s="39"/>
      <c r="O317" s="89"/>
      <c r="P317" s="41"/>
      <c r="Q317" s="42">
        <f t="shared" si="38"/>
        <v>0</v>
      </c>
      <c r="R317" s="43"/>
      <c r="S317" s="44">
        <f t="shared" si="39"/>
        <v>0</v>
      </c>
      <c r="T317" s="44">
        <f t="shared" si="40"/>
        <v>0</v>
      </c>
      <c r="U317" s="45"/>
      <c r="V317" s="46"/>
      <c r="W317" s="27"/>
      <c r="X317" s="47"/>
      <c r="Y317" s="48">
        <f t="shared" si="41"/>
        <v>0</v>
      </c>
      <c r="Z317" s="119"/>
      <c r="AA317" s="118"/>
    </row>
    <row r="318" spans="1:27" s="54" customFormat="1" ht="13.2" hidden="1" outlineLevel="1">
      <c r="A318" s="68"/>
      <c r="B318" s="126"/>
      <c r="C318" s="127"/>
      <c r="D318" s="61"/>
      <c r="E318" s="61"/>
      <c r="F318" s="61"/>
      <c r="G318" s="109"/>
      <c r="H318" s="61"/>
      <c r="I318" s="61"/>
      <c r="J318" s="61"/>
      <c r="K318" s="113"/>
      <c r="L318" s="109"/>
      <c r="M318" s="110"/>
      <c r="N318" s="39"/>
      <c r="O318" s="89"/>
      <c r="P318" s="41"/>
      <c r="Q318" s="42">
        <f t="shared" si="38"/>
        <v>0</v>
      </c>
      <c r="R318" s="43"/>
      <c r="S318" s="44">
        <f t="shared" si="39"/>
        <v>0</v>
      </c>
      <c r="T318" s="44">
        <f t="shared" si="40"/>
        <v>0</v>
      </c>
      <c r="U318" s="45"/>
      <c r="V318" s="46"/>
      <c r="W318" s="27"/>
      <c r="X318" s="47"/>
      <c r="Y318" s="48">
        <f t="shared" si="41"/>
        <v>0</v>
      </c>
      <c r="Z318" s="119"/>
      <c r="AA318" s="118"/>
    </row>
    <row r="319" spans="1:27" s="54" customFormat="1" ht="13.2" hidden="1" outlineLevel="1">
      <c r="A319" s="68"/>
      <c r="B319" s="126"/>
      <c r="C319" s="127"/>
      <c r="D319" s="61"/>
      <c r="E319" s="61"/>
      <c r="F319" s="61"/>
      <c r="G319" s="109"/>
      <c r="H319" s="61"/>
      <c r="I319" s="61"/>
      <c r="J319" s="61"/>
      <c r="K319" s="113"/>
      <c r="L319" s="109"/>
      <c r="M319" s="110"/>
      <c r="N319" s="39"/>
      <c r="O319" s="89"/>
      <c r="P319" s="41"/>
      <c r="Q319" s="42">
        <f t="shared" si="38"/>
        <v>0</v>
      </c>
      <c r="R319" s="43"/>
      <c r="S319" s="44">
        <f t="shared" si="39"/>
        <v>0</v>
      </c>
      <c r="T319" s="44">
        <f t="shared" si="40"/>
        <v>0</v>
      </c>
      <c r="U319" s="45"/>
      <c r="V319" s="46"/>
      <c r="W319" s="27"/>
      <c r="X319" s="47"/>
      <c r="Y319" s="48">
        <f t="shared" si="41"/>
        <v>0</v>
      </c>
      <c r="Z319" s="119"/>
      <c r="AA319" s="118"/>
    </row>
    <row r="320" spans="1:27" s="54" customFormat="1" ht="13.2" hidden="1" outlineLevel="1">
      <c r="A320" s="68"/>
      <c r="B320" s="105"/>
      <c r="C320" s="106"/>
      <c r="D320" s="61"/>
      <c r="E320" s="61"/>
      <c r="F320" s="61"/>
      <c r="G320" s="109"/>
      <c r="H320" s="61"/>
      <c r="I320" s="61"/>
      <c r="J320" s="61"/>
      <c r="K320" s="113"/>
      <c r="L320" s="109"/>
      <c r="M320" s="110"/>
      <c r="N320" s="39"/>
      <c r="O320" s="89"/>
      <c r="P320" s="41"/>
      <c r="Q320" s="42">
        <f t="shared" si="38"/>
        <v>0</v>
      </c>
      <c r="R320" s="43"/>
      <c r="S320" s="44">
        <f t="shared" si="39"/>
        <v>0</v>
      </c>
      <c r="T320" s="44">
        <f t="shared" si="40"/>
        <v>0</v>
      </c>
      <c r="U320" s="45"/>
      <c r="V320" s="46"/>
      <c r="W320" s="27"/>
      <c r="X320" s="47"/>
      <c r="Y320" s="48">
        <f t="shared" si="41"/>
        <v>0</v>
      </c>
      <c r="Z320" s="111"/>
      <c r="AA320" s="67"/>
    </row>
    <row r="321" spans="1:27" s="54" customFormat="1" ht="13.2" hidden="1" outlineLevel="1">
      <c r="A321" s="68"/>
      <c r="B321" s="126"/>
      <c r="C321" s="127"/>
      <c r="D321" s="61"/>
      <c r="E321" s="61"/>
      <c r="F321" s="61"/>
      <c r="G321" s="109"/>
      <c r="H321" s="61"/>
      <c r="I321" s="61"/>
      <c r="J321" s="61"/>
      <c r="K321" s="113"/>
      <c r="L321" s="109"/>
      <c r="M321" s="110"/>
      <c r="N321" s="39"/>
      <c r="O321" s="89"/>
      <c r="P321" s="41"/>
      <c r="Q321" s="42">
        <f t="shared" si="38"/>
        <v>0</v>
      </c>
      <c r="R321" s="43"/>
      <c r="S321" s="44">
        <f t="shared" si="39"/>
        <v>0</v>
      </c>
      <c r="T321" s="44">
        <f t="shared" si="40"/>
        <v>0</v>
      </c>
      <c r="U321" s="45"/>
      <c r="V321" s="46"/>
      <c r="W321" s="27"/>
      <c r="X321" s="47"/>
      <c r="Y321" s="48">
        <f t="shared" si="41"/>
        <v>0</v>
      </c>
      <c r="Z321" s="119"/>
      <c r="AA321" s="136"/>
    </row>
    <row r="322" spans="1:27" s="54" customFormat="1" ht="13.2" hidden="1" outlineLevel="1">
      <c r="A322" s="68"/>
      <c r="B322" s="126"/>
      <c r="C322" s="127"/>
      <c r="D322" s="61"/>
      <c r="E322" s="61"/>
      <c r="F322" s="61"/>
      <c r="G322" s="109"/>
      <c r="H322" s="61"/>
      <c r="I322" s="61"/>
      <c r="J322" s="61"/>
      <c r="K322" s="113"/>
      <c r="L322" s="109"/>
      <c r="M322" s="110"/>
      <c r="N322" s="39"/>
      <c r="O322" s="89"/>
      <c r="P322" s="41"/>
      <c r="Q322" s="42">
        <f t="shared" si="38"/>
        <v>0</v>
      </c>
      <c r="R322" s="43"/>
      <c r="S322" s="44">
        <f t="shared" si="39"/>
        <v>0</v>
      </c>
      <c r="T322" s="44">
        <f t="shared" si="40"/>
        <v>0</v>
      </c>
      <c r="U322" s="45"/>
      <c r="V322" s="46"/>
      <c r="W322" s="27"/>
      <c r="X322" s="47"/>
      <c r="Y322" s="48">
        <f t="shared" si="41"/>
        <v>0</v>
      </c>
      <c r="Z322" s="119"/>
      <c r="AA322" s="118"/>
    </row>
    <row r="323" spans="1:27" s="56" customFormat="1" ht="13.2" hidden="1" outlineLevel="1">
      <c r="A323" s="68"/>
      <c r="B323" s="105"/>
      <c r="C323" s="106"/>
      <c r="D323" s="61"/>
      <c r="E323" s="61"/>
      <c r="F323" s="61"/>
      <c r="G323" s="109"/>
      <c r="H323" s="61"/>
      <c r="I323" s="61"/>
      <c r="J323" s="61"/>
      <c r="K323" s="113"/>
      <c r="L323" s="109"/>
      <c r="M323" s="110"/>
      <c r="N323" s="39"/>
      <c r="O323" s="89"/>
      <c r="P323" s="41"/>
      <c r="Q323" s="42">
        <f t="shared" si="38"/>
        <v>0</v>
      </c>
      <c r="R323" s="43"/>
      <c r="S323" s="44">
        <f t="shared" si="39"/>
        <v>0</v>
      </c>
      <c r="T323" s="44">
        <f t="shared" si="40"/>
        <v>0</v>
      </c>
      <c r="U323" s="45"/>
      <c r="V323" s="46"/>
      <c r="W323" s="27"/>
      <c r="X323" s="47"/>
      <c r="Y323" s="48">
        <f t="shared" si="41"/>
        <v>0</v>
      </c>
      <c r="Z323" s="111"/>
      <c r="AA323" s="67"/>
    </row>
    <row r="324" spans="1:27" s="54" customFormat="1" ht="13.2" hidden="1" outlineLevel="1">
      <c r="A324" s="68"/>
      <c r="B324" s="126"/>
      <c r="C324" s="106"/>
      <c r="D324" s="61"/>
      <c r="E324" s="61"/>
      <c r="F324" s="61"/>
      <c r="G324" s="109"/>
      <c r="H324" s="61"/>
      <c r="I324" s="61"/>
      <c r="J324" s="61"/>
      <c r="K324" s="113"/>
      <c r="L324" s="109"/>
      <c r="M324" s="110"/>
      <c r="N324" s="39"/>
      <c r="O324" s="89"/>
      <c r="P324" s="41"/>
      <c r="Q324" s="42">
        <f t="shared" si="38"/>
        <v>0</v>
      </c>
      <c r="R324" s="43"/>
      <c r="S324" s="44">
        <f t="shared" si="39"/>
        <v>0</v>
      </c>
      <c r="T324" s="44">
        <f t="shared" si="40"/>
        <v>0</v>
      </c>
      <c r="U324" s="45"/>
      <c r="V324" s="46"/>
      <c r="W324" s="27"/>
      <c r="X324" s="47"/>
      <c r="Y324" s="48">
        <f t="shared" si="41"/>
        <v>0</v>
      </c>
      <c r="Z324" s="137"/>
      <c r="AA324" s="135"/>
    </row>
    <row r="325" spans="1:27" s="54" customFormat="1" ht="13.2" hidden="1" outlineLevel="1">
      <c r="A325" s="68"/>
      <c r="B325" s="105"/>
      <c r="C325" s="106"/>
      <c r="D325" s="61"/>
      <c r="E325" s="61"/>
      <c r="F325" s="61"/>
      <c r="G325" s="109"/>
      <c r="H325" s="61"/>
      <c r="I325" s="61"/>
      <c r="J325" s="61"/>
      <c r="K325" s="113"/>
      <c r="L325" s="109"/>
      <c r="M325" s="110"/>
      <c r="N325" s="39"/>
      <c r="O325" s="89"/>
      <c r="P325" s="41"/>
      <c r="Q325" s="42">
        <f t="shared" si="38"/>
        <v>0</v>
      </c>
      <c r="R325" s="43"/>
      <c r="S325" s="44">
        <f t="shared" si="39"/>
        <v>0</v>
      </c>
      <c r="T325" s="44">
        <f t="shared" si="40"/>
        <v>0</v>
      </c>
      <c r="U325" s="45"/>
      <c r="V325" s="46"/>
      <c r="W325" s="27"/>
      <c r="X325" s="47"/>
      <c r="Y325" s="48">
        <f t="shared" si="41"/>
        <v>0</v>
      </c>
      <c r="Z325" s="111"/>
      <c r="AA325" s="67"/>
    </row>
    <row r="326" spans="1:27" s="54" customFormat="1" ht="13.2" hidden="1" outlineLevel="1">
      <c r="A326" s="68"/>
      <c r="B326" s="105"/>
      <c r="C326" s="106"/>
      <c r="D326" s="61"/>
      <c r="E326" s="61"/>
      <c r="F326" s="61"/>
      <c r="G326" s="109"/>
      <c r="H326" s="61"/>
      <c r="I326" s="61"/>
      <c r="J326" s="61"/>
      <c r="K326" s="113"/>
      <c r="L326" s="109"/>
      <c r="M326" s="110"/>
      <c r="N326" s="39"/>
      <c r="O326" s="89"/>
      <c r="P326" s="41"/>
      <c r="Q326" s="42">
        <f t="shared" si="38"/>
        <v>0</v>
      </c>
      <c r="R326" s="43"/>
      <c r="S326" s="44">
        <f t="shared" si="39"/>
        <v>0</v>
      </c>
      <c r="T326" s="44">
        <f t="shared" si="40"/>
        <v>0</v>
      </c>
      <c r="U326" s="45"/>
      <c r="V326" s="46"/>
      <c r="W326" s="27"/>
      <c r="X326" s="47"/>
      <c r="Y326" s="48">
        <f t="shared" si="41"/>
        <v>0</v>
      </c>
      <c r="Z326" s="117"/>
      <c r="AA326" s="67"/>
    </row>
    <row r="327" spans="1:27" s="54" customFormat="1" ht="13.2" hidden="1" outlineLevel="1">
      <c r="A327" s="68"/>
      <c r="B327" s="105"/>
      <c r="C327" s="106"/>
      <c r="D327" s="61"/>
      <c r="E327" s="61"/>
      <c r="F327" s="61"/>
      <c r="G327" s="109"/>
      <c r="H327" s="61"/>
      <c r="I327" s="61"/>
      <c r="J327" s="61"/>
      <c r="K327" s="113"/>
      <c r="L327" s="109"/>
      <c r="M327" s="110"/>
      <c r="N327" s="39"/>
      <c r="O327" s="89"/>
      <c r="P327" s="41"/>
      <c r="Q327" s="42">
        <f t="shared" si="38"/>
        <v>0</v>
      </c>
      <c r="R327" s="43"/>
      <c r="S327" s="44">
        <f t="shared" si="39"/>
        <v>0</v>
      </c>
      <c r="T327" s="44">
        <f t="shared" si="40"/>
        <v>0</v>
      </c>
      <c r="U327" s="45"/>
      <c r="V327" s="46"/>
      <c r="W327" s="27"/>
      <c r="X327" s="47"/>
      <c r="Y327" s="48">
        <f t="shared" si="41"/>
        <v>0</v>
      </c>
      <c r="Z327" s="117"/>
      <c r="AA327" s="67"/>
    </row>
    <row r="328" spans="1:27" s="56" customFormat="1" ht="13.2" hidden="1" outlineLevel="1">
      <c r="A328" s="68"/>
      <c r="B328" s="105"/>
      <c r="C328" s="106"/>
      <c r="D328" s="61"/>
      <c r="E328" s="61"/>
      <c r="F328" s="61"/>
      <c r="G328" s="109"/>
      <c r="H328" s="61"/>
      <c r="I328" s="61"/>
      <c r="J328" s="61"/>
      <c r="K328" s="113"/>
      <c r="L328" s="109"/>
      <c r="M328" s="110"/>
      <c r="N328" s="39"/>
      <c r="O328" s="89"/>
      <c r="P328" s="41"/>
      <c r="Q328" s="42">
        <f t="shared" si="38"/>
        <v>0</v>
      </c>
      <c r="R328" s="43"/>
      <c r="S328" s="44">
        <f t="shared" si="39"/>
        <v>0</v>
      </c>
      <c r="T328" s="44">
        <f t="shared" si="40"/>
        <v>0</v>
      </c>
      <c r="U328" s="45"/>
      <c r="V328" s="46"/>
      <c r="W328" s="27"/>
      <c r="X328" s="47"/>
      <c r="Y328" s="48">
        <f t="shared" si="41"/>
        <v>0</v>
      </c>
      <c r="Z328" s="124"/>
      <c r="AA328" s="124"/>
    </row>
    <row r="329" spans="1:27" s="54" customFormat="1" ht="13.2" hidden="1" outlineLevel="1">
      <c r="A329" s="68"/>
      <c r="B329" s="105"/>
      <c r="C329" s="106"/>
      <c r="D329" s="61"/>
      <c r="E329" s="61"/>
      <c r="F329" s="61"/>
      <c r="G329" s="109"/>
      <c r="H329" s="61"/>
      <c r="I329" s="61"/>
      <c r="J329" s="61"/>
      <c r="K329" s="113"/>
      <c r="L329" s="109"/>
      <c r="M329" s="110"/>
      <c r="N329" s="39"/>
      <c r="O329" s="89"/>
      <c r="P329" s="41"/>
      <c r="Q329" s="42">
        <f t="shared" si="38"/>
        <v>0</v>
      </c>
      <c r="R329" s="43"/>
      <c r="S329" s="44">
        <f t="shared" si="39"/>
        <v>0</v>
      </c>
      <c r="T329" s="44">
        <f t="shared" si="40"/>
        <v>0</v>
      </c>
      <c r="U329" s="45"/>
      <c r="V329" s="46"/>
      <c r="W329" s="27"/>
      <c r="X329" s="47"/>
      <c r="Y329" s="48">
        <f t="shared" si="41"/>
        <v>0</v>
      </c>
      <c r="Z329" s="117"/>
      <c r="AA329" s="67"/>
    </row>
    <row r="330" spans="1:27" s="54" customFormat="1" ht="13.2" hidden="1" outlineLevel="1">
      <c r="A330" s="68"/>
      <c r="B330" s="126"/>
      <c r="C330" s="127"/>
      <c r="D330" s="61"/>
      <c r="E330" s="61"/>
      <c r="F330" s="61"/>
      <c r="G330" s="109"/>
      <c r="H330" s="61"/>
      <c r="I330" s="61"/>
      <c r="J330" s="61"/>
      <c r="K330" s="113"/>
      <c r="L330" s="109"/>
      <c r="M330" s="110"/>
      <c r="N330" s="39"/>
      <c r="O330" s="89"/>
      <c r="P330" s="41"/>
      <c r="Q330" s="42">
        <f t="shared" si="38"/>
        <v>0</v>
      </c>
      <c r="R330" s="43"/>
      <c r="S330" s="44">
        <f t="shared" si="39"/>
        <v>0</v>
      </c>
      <c r="T330" s="44">
        <f t="shared" si="40"/>
        <v>0</v>
      </c>
      <c r="U330" s="45"/>
      <c r="V330" s="46"/>
      <c r="W330" s="27"/>
      <c r="X330" s="47"/>
      <c r="Y330" s="48">
        <f t="shared" si="41"/>
        <v>0</v>
      </c>
      <c r="Z330" s="119"/>
      <c r="AA330" s="118"/>
    </row>
    <row r="331" spans="1:27" s="56" customFormat="1" ht="13.2" hidden="1" outlineLevel="1">
      <c r="A331" s="68"/>
      <c r="B331" s="105"/>
      <c r="C331" s="106"/>
      <c r="D331" s="61"/>
      <c r="E331" s="61"/>
      <c r="F331" s="61"/>
      <c r="G331" s="109"/>
      <c r="H331" s="61"/>
      <c r="I331" s="61"/>
      <c r="J331" s="61"/>
      <c r="K331" s="113"/>
      <c r="L331" s="109"/>
      <c r="M331" s="110"/>
      <c r="N331" s="39"/>
      <c r="O331" s="89"/>
      <c r="P331" s="41"/>
      <c r="Q331" s="42">
        <f t="shared" si="38"/>
        <v>0</v>
      </c>
      <c r="R331" s="43"/>
      <c r="S331" s="44">
        <f t="shared" si="39"/>
        <v>0</v>
      </c>
      <c r="T331" s="44">
        <f t="shared" si="40"/>
        <v>0</v>
      </c>
      <c r="U331" s="45"/>
      <c r="V331" s="46"/>
      <c r="W331" s="27"/>
      <c r="X331" s="47"/>
      <c r="Y331" s="48">
        <f t="shared" si="41"/>
        <v>0</v>
      </c>
      <c r="Z331" s="111"/>
      <c r="AA331" s="67"/>
    </row>
    <row r="332" spans="1:27" s="54" customFormat="1" ht="13.2" hidden="1" outlineLevel="1">
      <c r="A332" s="68"/>
      <c r="B332" s="126"/>
      <c r="C332" s="106"/>
      <c r="D332" s="61"/>
      <c r="E332" s="61"/>
      <c r="F332" s="61"/>
      <c r="G332" s="109"/>
      <c r="H332" s="61"/>
      <c r="I332" s="61"/>
      <c r="J332" s="61"/>
      <c r="K332" s="113"/>
      <c r="L332" s="109"/>
      <c r="M332" s="110"/>
      <c r="N332" s="39"/>
      <c r="O332" s="89"/>
      <c r="P332" s="41"/>
      <c r="Q332" s="42">
        <f t="shared" si="38"/>
        <v>0</v>
      </c>
      <c r="R332" s="43"/>
      <c r="S332" s="44">
        <f t="shared" si="39"/>
        <v>0</v>
      </c>
      <c r="T332" s="44">
        <f t="shared" si="40"/>
        <v>0</v>
      </c>
      <c r="U332" s="45"/>
      <c r="V332" s="46"/>
      <c r="W332" s="27"/>
      <c r="X332" s="47"/>
      <c r="Y332" s="48">
        <f t="shared" si="41"/>
        <v>0</v>
      </c>
      <c r="Z332" s="137"/>
      <c r="AA332" s="135"/>
    </row>
    <row r="333" spans="1:27" s="54" customFormat="1" ht="13.2" hidden="1" outlineLevel="1">
      <c r="A333" s="68"/>
      <c r="B333" s="126"/>
      <c r="C333" s="127"/>
      <c r="D333" s="61"/>
      <c r="E333" s="61"/>
      <c r="F333" s="61"/>
      <c r="G333" s="109"/>
      <c r="H333" s="61"/>
      <c r="I333" s="61"/>
      <c r="J333" s="61"/>
      <c r="K333" s="113"/>
      <c r="L333" s="109"/>
      <c r="M333" s="110"/>
      <c r="N333" s="39"/>
      <c r="O333" s="89"/>
      <c r="P333" s="41"/>
      <c r="Q333" s="42">
        <f t="shared" si="38"/>
        <v>0</v>
      </c>
      <c r="R333" s="43"/>
      <c r="S333" s="44">
        <f t="shared" si="39"/>
        <v>0</v>
      </c>
      <c r="T333" s="44">
        <f t="shared" si="40"/>
        <v>0</v>
      </c>
      <c r="U333" s="45"/>
      <c r="V333" s="46"/>
      <c r="W333" s="27"/>
      <c r="X333" s="47"/>
      <c r="Y333" s="48">
        <f t="shared" si="41"/>
        <v>0</v>
      </c>
      <c r="Z333" s="119"/>
      <c r="AA333" s="136"/>
    </row>
    <row r="334" spans="1:27" s="54" customFormat="1" ht="13.2" hidden="1" outlineLevel="1">
      <c r="A334" s="68"/>
      <c r="B334" s="105"/>
      <c r="C334" s="106"/>
      <c r="D334" s="61"/>
      <c r="E334" s="61"/>
      <c r="F334" s="61"/>
      <c r="G334" s="109"/>
      <c r="H334" s="61"/>
      <c r="I334" s="61"/>
      <c r="J334" s="61"/>
      <c r="K334" s="113"/>
      <c r="L334" s="109"/>
      <c r="M334" s="110"/>
      <c r="N334" s="39"/>
      <c r="O334" s="89"/>
      <c r="P334" s="41"/>
      <c r="Q334" s="42">
        <f t="shared" si="38"/>
        <v>0</v>
      </c>
      <c r="R334" s="43"/>
      <c r="S334" s="44">
        <f t="shared" si="39"/>
        <v>0</v>
      </c>
      <c r="T334" s="44">
        <f t="shared" si="40"/>
        <v>0</v>
      </c>
      <c r="U334" s="45"/>
      <c r="V334" s="46"/>
      <c r="W334" s="27"/>
      <c r="X334" s="47"/>
      <c r="Y334" s="48">
        <f t="shared" si="41"/>
        <v>0</v>
      </c>
      <c r="Z334" s="119"/>
      <c r="AA334" s="118"/>
    </row>
    <row r="335" spans="1:27" s="54" customFormat="1" ht="13.2" hidden="1" outlineLevel="1">
      <c r="A335" s="68"/>
      <c r="B335" s="105"/>
      <c r="C335" s="106"/>
      <c r="D335" s="61"/>
      <c r="E335" s="61"/>
      <c r="F335" s="61"/>
      <c r="G335" s="109"/>
      <c r="H335" s="61"/>
      <c r="I335" s="61"/>
      <c r="J335" s="61"/>
      <c r="K335" s="113"/>
      <c r="L335" s="109"/>
      <c r="M335" s="110"/>
      <c r="N335" s="39"/>
      <c r="O335" s="89"/>
      <c r="P335" s="41"/>
      <c r="Q335" s="42">
        <f t="shared" si="38"/>
        <v>0</v>
      </c>
      <c r="R335" s="43"/>
      <c r="S335" s="44">
        <f t="shared" si="39"/>
        <v>0</v>
      </c>
      <c r="T335" s="44">
        <f t="shared" si="40"/>
        <v>0</v>
      </c>
      <c r="U335" s="45"/>
      <c r="V335" s="46"/>
      <c r="W335" s="27"/>
      <c r="X335" s="47"/>
      <c r="Y335" s="48">
        <f t="shared" si="41"/>
        <v>0</v>
      </c>
      <c r="Z335" s="117"/>
      <c r="AA335" s="67"/>
    </row>
    <row r="336" spans="1:27" s="54" customFormat="1" ht="13.2" hidden="1" outlineLevel="1">
      <c r="A336" s="68"/>
      <c r="B336" s="126"/>
      <c r="C336" s="127"/>
      <c r="D336" s="61"/>
      <c r="E336" s="61"/>
      <c r="F336" s="61"/>
      <c r="G336" s="109"/>
      <c r="H336" s="61"/>
      <c r="I336" s="61"/>
      <c r="J336" s="61"/>
      <c r="K336" s="113"/>
      <c r="L336" s="109"/>
      <c r="M336" s="110"/>
      <c r="N336" s="39"/>
      <c r="O336" s="89"/>
      <c r="P336" s="41"/>
      <c r="Q336" s="42">
        <f t="shared" si="38"/>
        <v>0</v>
      </c>
      <c r="R336" s="43"/>
      <c r="S336" s="44">
        <f t="shared" si="39"/>
        <v>0</v>
      </c>
      <c r="T336" s="44">
        <f t="shared" si="40"/>
        <v>0</v>
      </c>
      <c r="U336" s="45"/>
      <c r="V336" s="46"/>
      <c r="W336" s="27"/>
      <c r="X336" s="47"/>
      <c r="Y336" s="48">
        <f t="shared" si="41"/>
        <v>0</v>
      </c>
      <c r="Z336" s="119"/>
      <c r="AA336" s="118"/>
    </row>
    <row r="337" spans="1:28" s="54" customFormat="1" ht="13.2" hidden="1" outlineLevel="1">
      <c r="A337" s="68"/>
      <c r="B337" s="126"/>
      <c r="C337" s="127"/>
      <c r="D337" s="61"/>
      <c r="E337" s="61"/>
      <c r="F337" s="61"/>
      <c r="G337" s="109"/>
      <c r="H337" s="61"/>
      <c r="I337" s="61"/>
      <c r="J337" s="61"/>
      <c r="K337" s="113"/>
      <c r="L337" s="109"/>
      <c r="M337" s="110"/>
      <c r="N337" s="39"/>
      <c r="O337" s="89"/>
      <c r="P337" s="41"/>
      <c r="Q337" s="42">
        <f t="shared" si="38"/>
        <v>0</v>
      </c>
      <c r="R337" s="43"/>
      <c r="S337" s="44">
        <f t="shared" si="39"/>
        <v>0</v>
      </c>
      <c r="T337" s="44">
        <f t="shared" si="40"/>
        <v>0</v>
      </c>
      <c r="U337" s="45"/>
      <c r="V337" s="46"/>
      <c r="W337" s="27"/>
      <c r="X337" s="47"/>
      <c r="Y337" s="48">
        <f t="shared" si="41"/>
        <v>0</v>
      </c>
      <c r="Z337" s="119"/>
      <c r="AA337" s="118"/>
    </row>
    <row r="338" spans="1:28" s="54" customFormat="1" ht="13.2" hidden="1" outlineLevel="1">
      <c r="A338" s="68"/>
      <c r="B338" s="126"/>
      <c r="C338" s="127"/>
      <c r="D338" s="61"/>
      <c r="E338" s="61"/>
      <c r="F338" s="61"/>
      <c r="G338" s="109"/>
      <c r="H338" s="61"/>
      <c r="I338" s="61"/>
      <c r="J338" s="61"/>
      <c r="K338" s="113"/>
      <c r="L338" s="109"/>
      <c r="M338" s="110"/>
      <c r="N338" s="39"/>
      <c r="O338" s="89"/>
      <c r="P338" s="41"/>
      <c r="Q338" s="42">
        <f t="shared" si="38"/>
        <v>0</v>
      </c>
      <c r="R338" s="43"/>
      <c r="S338" s="44">
        <f t="shared" si="39"/>
        <v>0</v>
      </c>
      <c r="T338" s="44">
        <f t="shared" si="40"/>
        <v>0</v>
      </c>
      <c r="U338" s="45"/>
      <c r="V338" s="46"/>
      <c r="W338" s="27"/>
      <c r="X338" s="47"/>
      <c r="Y338" s="48">
        <f t="shared" si="41"/>
        <v>0</v>
      </c>
      <c r="Z338" s="119"/>
      <c r="AA338" s="118"/>
    </row>
    <row r="339" spans="1:28" s="54" customFormat="1" ht="13.2" collapsed="1">
      <c r="A339" s="68"/>
      <c r="B339" s="126"/>
      <c r="C339" s="127"/>
      <c r="D339" s="61"/>
      <c r="E339" s="61"/>
      <c r="F339" s="61"/>
      <c r="G339" s="109"/>
      <c r="H339" s="61"/>
      <c r="I339" s="61"/>
      <c r="J339" s="61"/>
      <c r="K339" s="113"/>
      <c r="L339" s="109"/>
      <c r="M339" s="110"/>
      <c r="N339" s="39"/>
      <c r="O339" s="89"/>
      <c r="P339" s="41"/>
      <c r="Q339" s="42">
        <f t="shared" si="38"/>
        <v>0</v>
      </c>
      <c r="R339" s="43"/>
      <c r="S339" s="44">
        <f t="shared" si="39"/>
        <v>0</v>
      </c>
      <c r="T339" s="44">
        <f t="shared" si="40"/>
        <v>0</v>
      </c>
      <c r="U339" s="45"/>
      <c r="V339" s="46"/>
      <c r="W339" s="27"/>
      <c r="X339" s="47"/>
      <c r="Y339" s="48">
        <f t="shared" si="41"/>
        <v>0</v>
      </c>
      <c r="Z339" s="137"/>
      <c r="AA339" s="118"/>
    </row>
    <row r="340" spans="1:28" ht="23.4" customHeight="1">
      <c r="A340" s="170" t="s">
        <v>155</v>
      </c>
      <c r="B340" s="170"/>
      <c r="C340" s="170"/>
      <c r="D340" s="171"/>
      <c r="E340" s="171"/>
      <c r="F340" s="171"/>
      <c r="G340" s="172"/>
      <c r="H340" s="173">
        <f>SUM(H3:H154)</f>
        <v>829.22428342857143</v>
      </c>
      <c r="I340" s="173"/>
      <c r="J340" s="173"/>
      <c r="K340" s="173"/>
      <c r="L340" s="172"/>
      <c r="M340" s="174"/>
      <c r="N340" s="173">
        <f>SUM(N3:N339)</f>
        <v>1217045.8</v>
      </c>
      <c r="O340" s="173"/>
      <c r="P340" s="173">
        <f t="shared" ref="P340:Y340" si="42">SUM(P3:P339)</f>
        <v>0</v>
      </c>
      <c r="Q340" s="173">
        <f t="shared" si="42"/>
        <v>982033.79199999967</v>
      </c>
      <c r="R340" s="173">
        <f t="shared" si="42"/>
        <v>46432.80000000001</v>
      </c>
      <c r="S340" s="173">
        <f t="shared" si="42"/>
        <v>242554.21162000005</v>
      </c>
      <c r="T340" s="173">
        <f t="shared" si="42"/>
        <v>1506032.8116199998</v>
      </c>
      <c r="U340" s="173"/>
      <c r="V340" s="173">
        <f t="shared" si="42"/>
        <v>820517.8899999999</v>
      </c>
      <c r="W340" s="173"/>
      <c r="X340" s="173"/>
      <c r="Y340" s="173">
        <f t="shared" si="42"/>
        <v>685514.92161999969</v>
      </c>
      <c r="Z340" s="175"/>
      <c r="AA340" s="176"/>
    </row>
    <row r="341" spans="1:28" ht="27.6" customHeight="1" collapsed="1">
      <c r="A341" s="170" t="s">
        <v>156</v>
      </c>
      <c r="B341" s="170"/>
      <c r="C341" s="170"/>
      <c r="D341" s="171"/>
      <c r="E341" s="171"/>
      <c r="F341" s="171"/>
      <c r="G341" s="172"/>
      <c r="H341" s="171"/>
      <c r="I341" s="171"/>
      <c r="J341" s="171"/>
      <c r="K341" s="177"/>
      <c r="L341" s="172"/>
      <c r="M341" s="174"/>
      <c r="N341" s="173">
        <f>SUM(N3:N154)+[1]CA!F57</f>
        <v>1048439.3</v>
      </c>
      <c r="O341" s="178"/>
      <c r="P341" s="179"/>
      <c r="Q341" s="180"/>
      <c r="R341" s="173"/>
      <c r="S341" s="173"/>
      <c r="T341" s="173"/>
      <c r="U341" s="181"/>
      <c r="V341" s="173"/>
      <c r="W341" s="173"/>
      <c r="X341" s="173"/>
      <c r="Y341" s="173"/>
      <c r="Z341" s="175"/>
      <c r="AA341" s="176"/>
    </row>
    <row r="342" spans="1:28" s="147" customFormat="1" ht="13.2">
      <c r="A342" s="141"/>
      <c r="B342" s="141"/>
      <c r="C342" s="141"/>
      <c r="D342" s="142"/>
      <c r="E342" s="142"/>
      <c r="F342" s="142"/>
      <c r="G342" s="143"/>
      <c r="H342" s="142"/>
      <c r="I342" s="142"/>
      <c r="J342" s="142"/>
      <c r="K342" s="144"/>
      <c r="L342" s="143"/>
      <c r="M342" s="145"/>
      <c r="N342" s="141"/>
      <c r="O342" s="146"/>
      <c r="P342" s="141"/>
      <c r="Q342" s="141"/>
      <c r="R342" s="141"/>
      <c r="U342" s="148"/>
      <c r="V342" s="149"/>
      <c r="W342" s="149"/>
      <c r="X342" s="149"/>
      <c r="Y342" s="149"/>
      <c r="AA342" s="150"/>
      <c r="AB342" s="149"/>
    </row>
    <row r="343" spans="1:28" ht="13.2">
      <c r="A343" s="141"/>
      <c r="B343" s="141"/>
      <c r="C343" s="141"/>
      <c r="D343" s="142"/>
      <c r="E343" s="142"/>
      <c r="F343" s="142"/>
      <c r="G343" s="143"/>
      <c r="H343" s="142"/>
      <c r="I343" s="142"/>
      <c r="J343" s="142"/>
      <c r="K343" s="144"/>
      <c r="L343" s="143"/>
      <c r="M343" s="145"/>
      <c r="N343" s="151" t="s">
        <v>160</v>
      </c>
      <c r="O343" s="146"/>
      <c r="P343" s="141"/>
      <c r="Q343" s="141"/>
      <c r="R343" s="141"/>
      <c r="AA343" s="150"/>
    </row>
    <row r="344" spans="1:28" ht="13.2">
      <c r="A344" s="165" t="s">
        <v>157</v>
      </c>
      <c r="B344" s="165"/>
      <c r="C344" s="166">
        <f>SUMPRODUCT(($B3:$B339&lt;&gt;"")*($Y3:$Y339=0)*($V3:$V339))</f>
        <v>364659.12</v>
      </c>
      <c r="D344" s="164" t="s">
        <v>161</v>
      </c>
      <c r="E344" s="142"/>
      <c r="F344" s="142"/>
      <c r="G344" s="143"/>
      <c r="H344" s="142"/>
      <c r="I344" s="142"/>
      <c r="J344" s="142"/>
      <c r="K344" s="144"/>
      <c r="L344" s="143"/>
      <c r="M344" s="145"/>
      <c r="N344" s="153">
        <v>820517.89</v>
      </c>
      <c r="O344" s="146"/>
      <c r="P344" s="141"/>
      <c r="Q344" s="141"/>
      <c r="R344" s="141"/>
      <c r="V344" s="153"/>
      <c r="AA344" s="150"/>
    </row>
    <row r="345" spans="1:28" ht="13.2">
      <c r="A345" s="165" t="s">
        <v>158</v>
      </c>
      <c r="B345" s="165"/>
      <c r="C345" s="166">
        <f>SUMPRODUCT((B3:B339&lt;&gt;"")*(Y3:Y339&gt;0)*(V3:V339))</f>
        <v>261380.96</v>
      </c>
      <c r="D345" s="164" t="s">
        <v>161</v>
      </c>
      <c r="E345" s="142"/>
      <c r="F345" s="142"/>
      <c r="G345" s="143"/>
      <c r="H345" s="142"/>
      <c r="I345" s="142"/>
      <c r="J345" s="142"/>
      <c r="K345" s="144"/>
      <c r="L345" s="143"/>
      <c r="M345" s="145"/>
      <c r="N345" s="153">
        <v>360585.67</v>
      </c>
      <c r="O345" s="146"/>
      <c r="P345" s="141"/>
      <c r="Q345" s="141"/>
      <c r="R345" s="141"/>
      <c r="U345" s="153"/>
      <c r="V345" s="153"/>
      <c r="AA345" s="150"/>
    </row>
    <row r="346" spans="1:28" ht="13.2">
      <c r="A346" s="165" t="s">
        <v>159</v>
      </c>
      <c r="B346" s="165"/>
      <c r="C346" s="165">
        <f>SUMIF($B3:$B339,"",$Y3:$Y339)</f>
        <v>324929.24384000018</v>
      </c>
      <c r="D346" s="142" t="s">
        <v>35</v>
      </c>
      <c r="E346" s="142"/>
      <c r="F346" s="142"/>
      <c r="G346" s="143"/>
      <c r="H346" s="142"/>
      <c r="I346" s="142"/>
      <c r="J346" s="142"/>
      <c r="K346" s="144"/>
      <c r="L346" s="143"/>
      <c r="M346" s="145"/>
      <c r="N346" s="153">
        <v>324929.24</v>
      </c>
      <c r="O346" s="146"/>
      <c r="P346" s="141"/>
      <c r="Q346" s="141"/>
      <c r="R346" s="141"/>
      <c r="U346" s="153"/>
      <c r="V346" s="153"/>
      <c r="AA346" s="150"/>
    </row>
    <row r="347" spans="1:28" ht="13.2">
      <c r="A347" s="165" t="s">
        <v>163</v>
      </c>
      <c r="B347" s="165"/>
      <c r="C347" s="167">
        <f>SUM(C344:C346)</f>
        <v>950969.3238400002</v>
      </c>
      <c r="D347" s="142"/>
      <c r="E347" s="142"/>
      <c r="F347" s="142"/>
      <c r="G347" s="143"/>
      <c r="H347" s="142"/>
      <c r="I347" s="142"/>
      <c r="J347" s="142"/>
      <c r="K347" s="144"/>
      <c r="L347" s="143"/>
      <c r="M347" s="145"/>
      <c r="N347" s="154">
        <f>SUM(N344:N346)</f>
        <v>1506032.8</v>
      </c>
      <c r="O347" s="146"/>
      <c r="P347" s="141"/>
      <c r="Q347" s="141"/>
      <c r="R347" s="141"/>
      <c r="U347" s="154"/>
      <c r="V347" s="154"/>
      <c r="AA347" s="150"/>
    </row>
    <row r="348" spans="1:28" ht="13.2">
      <c r="A348" s="168" t="s">
        <v>162</v>
      </c>
      <c r="B348" s="168"/>
      <c r="C348" s="169">
        <f>T340</f>
        <v>1506032.8116199998</v>
      </c>
      <c r="D348" s="142"/>
      <c r="E348" s="142"/>
      <c r="F348" s="142"/>
      <c r="G348" s="143"/>
      <c r="H348" s="142"/>
      <c r="I348" s="142"/>
      <c r="J348" s="142"/>
      <c r="K348" s="144"/>
      <c r="L348" s="143"/>
      <c r="M348" s="145"/>
      <c r="N348" s="153"/>
      <c r="O348" s="146"/>
      <c r="P348" s="141"/>
      <c r="Q348" s="141"/>
      <c r="R348" s="141"/>
      <c r="T348" s="153"/>
      <c r="U348" s="153"/>
      <c r="V348" s="153"/>
      <c r="AA348" s="150"/>
    </row>
    <row r="349" spans="1:28" ht="13.2">
      <c r="A349" s="141"/>
      <c r="B349" s="141"/>
      <c r="C349" s="141"/>
      <c r="D349" s="142"/>
      <c r="E349" s="142"/>
      <c r="F349" s="142"/>
      <c r="G349" s="143"/>
      <c r="H349" s="142"/>
      <c r="I349" s="142"/>
      <c r="J349" s="142"/>
      <c r="K349" s="144"/>
      <c r="L349" s="143"/>
      <c r="M349" s="145"/>
      <c r="N349" s="153"/>
      <c r="O349" s="146"/>
      <c r="P349" s="141"/>
      <c r="Q349" s="141"/>
      <c r="R349" s="141"/>
      <c r="T349" s="153"/>
      <c r="U349" s="153"/>
      <c r="V349" s="153"/>
      <c r="AA349" s="150"/>
    </row>
    <row r="350" spans="1:28" ht="13.2">
      <c r="A350" s="141"/>
      <c r="B350" s="141"/>
      <c r="C350" s="141"/>
      <c r="D350" s="142"/>
      <c r="E350" s="142"/>
      <c r="F350" s="142"/>
      <c r="G350" s="143"/>
      <c r="H350" s="142"/>
      <c r="I350" s="142"/>
      <c r="J350" s="142"/>
      <c r="K350" s="144"/>
      <c r="L350" s="143"/>
      <c r="M350" s="145"/>
      <c r="N350" s="141"/>
      <c r="O350" s="146"/>
      <c r="P350" s="141"/>
      <c r="Q350" s="141"/>
      <c r="R350" s="141"/>
      <c r="AA350" s="150"/>
    </row>
    <row r="351" spans="1:28" ht="13.2">
      <c r="A351" s="141"/>
      <c r="B351" s="141"/>
      <c r="C351" s="141"/>
      <c r="D351" s="142"/>
      <c r="E351" s="142"/>
      <c r="F351" s="142"/>
      <c r="G351" s="143"/>
      <c r="H351" s="142"/>
      <c r="I351" s="142"/>
      <c r="J351" s="142"/>
      <c r="K351" s="144"/>
      <c r="L351" s="143"/>
      <c r="M351" s="145"/>
      <c r="N351" s="141"/>
      <c r="O351" s="146"/>
      <c r="P351" s="141"/>
      <c r="Q351" s="141"/>
      <c r="R351" s="141"/>
      <c r="AA351" s="150"/>
    </row>
    <row r="352" spans="1:28" ht="13.2">
      <c r="A352" s="141"/>
      <c r="B352" s="141"/>
      <c r="C352" s="141"/>
      <c r="D352" s="142"/>
      <c r="E352" s="142"/>
      <c r="F352" s="142"/>
      <c r="G352" s="143"/>
      <c r="H352" s="142"/>
      <c r="I352" s="142"/>
      <c r="J352" s="142"/>
      <c r="K352" s="144"/>
      <c r="L352" s="143"/>
      <c r="M352" s="145"/>
      <c r="N352" s="141"/>
      <c r="O352" s="146"/>
      <c r="P352" s="141"/>
      <c r="Q352" s="141"/>
      <c r="R352" s="141"/>
      <c r="AA352" s="150"/>
    </row>
    <row r="353" spans="1:27" ht="13.2">
      <c r="A353" s="141"/>
      <c r="B353" s="141"/>
      <c r="C353" s="141"/>
      <c r="D353" s="142"/>
      <c r="E353" s="142"/>
      <c r="F353" s="142"/>
      <c r="G353" s="143"/>
      <c r="H353" s="142"/>
      <c r="I353" s="142"/>
      <c r="J353" s="142"/>
      <c r="K353" s="144"/>
      <c r="L353" s="143"/>
      <c r="M353" s="145"/>
      <c r="N353" s="141"/>
      <c r="O353" s="146"/>
      <c r="P353" s="141"/>
      <c r="Q353" s="141"/>
      <c r="R353" s="141"/>
      <c r="AA353" s="150"/>
    </row>
    <row r="354" spans="1:27" ht="13.2">
      <c r="A354" s="141"/>
      <c r="B354" s="141"/>
      <c r="C354" s="141"/>
      <c r="D354" s="142"/>
      <c r="E354" s="142"/>
      <c r="F354" s="142"/>
      <c r="G354" s="143"/>
      <c r="H354" s="142"/>
      <c r="I354" s="142"/>
      <c r="J354" s="142"/>
      <c r="K354" s="144"/>
      <c r="L354" s="143"/>
      <c r="M354" s="145"/>
      <c r="N354" s="141"/>
      <c r="O354" s="146"/>
      <c r="P354" s="141"/>
      <c r="Q354" s="141"/>
      <c r="R354" s="141"/>
      <c r="AA354" s="150"/>
    </row>
    <row r="355" spans="1:27" ht="13.2">
      <c r="A355" s="141"/>
      <c r="B355" s="141"/>
      <c r="C355" s="141"/>
      <c r="D355" s="142"/>
      <c r="E355" s="142"/>
      <c r="F355" s="142"/>
      <c r="G355" s="143"/>
      <c r="H355" s="142"/>
      <c r="I355" s="142"/>
      <c r="J355" s="142"/>
      <c r="K355" s="144"/>
      <c r="L355" s="143"/>
      <c r="M355" s="145"/>
      <c r="N355" s="141"/>
      <c r="O355" s="146"/>
      <c r="P355" s="141"/>
      <c r="Q355" s="141"/>
      <c r="R355" s="141"/>
      <c r="AA355" s="150"/>
    </row>
    <row r="356" spans="1:27" ht="13.2">
      <c r="A356" s="141"/>
      <c r="B356" s="141"/>
      <c r="C356" s="141"/>
      <c r="D356" s="142"/>
      <c r="E356" s="142"/>
      <c r="F356" s="142"/>
      <c r="G356" s="143"/>
      <c r="H356" s="142"/>
      <c r="I356" s="142"/>
      <c r="J356" s="142"/>
      <c r="K356" s="144"/>
      <c r="L356" s="143"/>
      <c r="M356" s="145"/>
      <c r="N356" s="141"/>
      <c r="O356" s="146"/>
      <c r="P356" s="141"/>
      <c r="Q356" s="141"/>
      <c r="R356" s="141"/>
      <c r="AA356" s="150"/>
    </row>
    <row r="357" spans="1:27" ht="13.2">
      <c r="A357" s="141"/>
      <c r="B357" s="141"/>
      <c r="C357" s="141"/>
      <c r="D357" s="142"/>
      <c r="E357" s="142"/>
      <c r="F357" s="142"/>
      <c r="G357" s="143"/>
      <c r="H357" s="142"/>
      <c r="I357" s="142"/>
      <c r="J357" s="142"/>
      <c r="K357" s="144"/>
      <c r="L357" s="143"/>
      <c r="M357" s="145"/>
      <c r="N357" s="155"/>
      <c r="O357" s="146"/>
      <c r="P357" s="141"/>
      <c r="Q357" s="141"/>
      <c r="R357" s="141"/>
      <c r="AA357" s="150"/>
    </row>
    <row r="358" spans="1:27" ht="13.2">
      <c r="A358" s="141"/>
      <c r="B358" s="141"/>
      <c r="C358" s="141"/>
      <c r="D358" s="142"/>
      <c r="E358" s="142"/>
      <c r="F358" s="142"/>
      <c r="G358" s="143"/>
      <c r="H358" s="142"/>
      <c r="I358" s="142"/>
      <c r="J358" s="142"/>
      <c r="K358" s="144"/>
      <c r="L358" s="143"/>
      <c r="M358" s="145"/>
      <c r="N358" s="141"/>
      <c r="O358" s="146"/>
      <c r="P358" s="141"/>
      <c r="Q358" s="141"/>
      <c r="R358" s="141"/>
      <c r="AA358" s="150"/>
    </row>
    <row r="359" spans="1:27" ht="13.2">
      <c r="A359" s="141"/>
      <c r="B359" s="141"/>
      <c r="C359" s="141"/>
      <c r="D359" s="142"/>
      <c r="E359" s="142"/>
      <c r="F359" s="142"/>
      <c r="G359" s="143"/>
      <c r="H359" s="142"/>
      <c r="I359" s="142"/>
      <c r="J359" s="142"/>
      <c r="K359" s="144"/>
      <c r="L359" s="143"/>
      <c r="M359" s="145"/>
      <c r="N359" s="141"/>
      <c r="O359" s="146"/>
      <c r="P359" s="141"/>
      <c r="Q359" s="141"/>
      <c r="R359" s="141"/>
      <c r="AA359" s="150"/>
    </row>
    <row r="360" spans="1:27" ht="13.2">
      <c r="A360" s="141"/>
      <c r="B360" s="141"/>
      <c r="C360" s="141"/>
      <c r="D360" s="142"/>
      <c r="E360" s="142"/>
      <c r="F360" s="142"/>
      <c r="G360" s="143"/>
      <c r="H360" s="142"/>
      <c r="I360" s="142"/>
      <c r="J360" s="142"/>
      <c r="K360" s="144"/>
      <c r="L360" s="143"/>
      <c r="M360" s="145"/>
      <c r="N360" s="141"/>
      <c r="O360" s="146"/>
      <c r="P360" s="141"/>
      <c r="Q360" s="141"/>
      <c r="R360" s="141"/>
      <c r="AA360" s="150"/>
    </row>
    <row r="361" spans="1:27" ht="13.2">
      <c r="A361" s="141"/>
      <c r="B361" s="141"/>
      <c r="C361" s="141"/>
      <c r="D361" s="142"/>
      <c r="E361" s="142"/>
      <c r="F361" s="142"/>
      <c r="G361" s="143"/>
      <c r="H361" s="142"/>
      <c r="I361" s="142"/>
      <c r="J361" s="142"/>
      <c r="K361" s="144"/>
      <c r="L361" s="143"/>
      <c r="M361" s="145"/>
      <c r="N361" s="141"/>
      <c r="O361" s="146"/>
      <c r="P361" s="141"/>
      <c r="Q361" s="141"/>
      <c r="R361" s="141"/>
      <c r="AA361" s="150"/>
    </row>
    <row r="362" spans="1:27" ht="13.2">
      <c r="A362" s="141"/>
      <c r="B362" s="141"/>
      <c r="C362" s="141"/>
      <c r="D362" s="142"/>
      <c r="E362" s="142"/>
      <c r="F362" s="142"/>
      <c r="G362" s="143"/>
      <c r="H362" s="142"/>
      <c r="I362" s="142"/>
      <c r="J362" s="142"/>
      <c r="K362" s="144"/>
      <c r="L362" s="143"/>
      <c r="M362" s="145"/>
      <c r="N362" s="141"/>
      <c r="O362" s="146"/>
      <c r="P362" s="141"/>
      <c r="Q362" s="141"/>
      <c r="R362" s="141"/>
      <c r="AA362" s="150"/>
    </row>
    <row r="363" spans="1:27" ht="13.2">
      <c r="A363" s="141"/>
      <c r="B363" s="141"/>
      <c r="C363" s="141"/>
      <c r="D363" s="142"/>
      <c r="E363" s="142"/>
      <c r="F363" s="142"/>
      <c r="G363" s="143"/>
      <c r="H363" s="142"/>
      <c r="I363" s="142"/>
      <c r="J363" s="142"/>
      <c r="K363" s="144"/>
      <c r="L363" s="143"/>
      <c r="M363" s="145"/>
      <c r="N363" s="141"/>
      <c r="O363" s="146"/>
      <c r="P363" s="141"/>
      <c r="Q363" s="141"/>
      <c r="R363" s="141"/>
      <c r="AA363" s="150"/>
    </row>
  </sheetData>
  <sheetProtection formatCells="0" insertRows="0" deleteRows="0" sort="0" autoFilter="0"/>
  <autoFilter ref="A2:AC153"/>
  <sortState ref="A3:AF150">
    <sortCondition ref="C3:C150"/>
  </sortState>
  <mergeCells count="2">
    <mergeCell ref="A340:C340"/>
    <mergeCell ref="A341:C341"/>
  </mergeCells>
  <conditionalFormatting sqref="A3:AA100 A103:AA339">
    <cfRule type="expression" dxfId="15" priority="15" stopIfTrue="1">
      <formula>AND($B3&lt;&gt;"",$Y3&gt;1)</formula>
    </cfRule>
    <cfRule type="expression" dxfId="14" priority="16" stopIfTrue="1">
      <formula>$Y3&lt;=1</formula>
    </cfRule>
  </conditionalFormatting>
  <conditionalFormatting sqref="A101:G101 I101:J101 L101:AA101">
    <cfRule type="expression" dxfId="13" priority="13" stopIfTrue="1">
      <formula>AND($B101&lt;&gt;"",$Y101&gt;1)</formula>
    </cfRule>
    <cfRule type="expression" dxfId="12" priority="14" stopIfTrue="1">
      <formula>$Y101&lt;=1</formula>
    </cfRule>
  </conditionalFormatting>
  <conditionalFormatting sqref="H101">
    <cfRule type="expression" dxfId="11" priority="11" stopIfTrue="1">
      <formula>AND($B101&lt;&gt;"",$Y101&gt;1)</formula>
    </cfRule>
    <cfRule type="expression" dxfId="10" priority="12" stopIfTrue="1">
      <formula>$Y101&lt;=1</formula>
    </cfRule>
  </conditionalFormatting>
  <conditionalFormatting sqref="K101">
    <cfRule type="expression" dxfId="9" priority="9" stopIfTrue="1">
      <formula>AND($B101&lt;&gt;"",$Y101&gt;1)</formula>
    </cfRule>
    <cfRule type="expression" dxfId="8" priority="10" stopIfTrue="1">
      <formula>$Y101&lt;=1</formula>
    </cfRule>
  </conditionalFormatting>
  <conditionalFormatting sqref="C102:F102 H102:AA102">
    <cfRule type="expression" dxfId="7" priority="7" stopIfTrue="1">
      <formula>AND($B102&lt;&gt;"",$Y102&gt;1)</formula>
    </cfRule>
    <cfRule type="expression" dxfId="6" priority="8" stopIfTrue="1">
      <formula>$Y102&lt;=1</formula>
    </cfRule>
  </conditionalFormatting>
  <conditionalFormatting sqref="A102:B102">
    <cfRule type="expression" dxfId="5" priority="5" stopIfTrue="1">
      <formula>AND($B102&lt;&gt;"",$Y102&gt;1)</formula>
    </cfRule>
    <cfRule type="expression" dxfId="4" priority="6" stopIfTrue="1">
      <formula>$Y102&lt;=1</formula>
    </cfRule>
  </conditionalFormatting>
  <conditionalFormatting sqref="G102">
    <cfRule type="expression" dxfId="3" priority="3" stopIfTrue="1">
      <formula>AND($B102&lt;&gt;"",$Y102&gt;1)</formula>
    </cfRule>
    <cfRule type="expression" dxfId="2" priority="4" stopIfTrue="1">
      <formula>$Y102&lt;=1</formula>
    </cfRule>
  </conditionalFormatting>
  <conditionalFormatting sqref="E101">
    <cfRule type="expression" dxfId="1" priority="1" stopIfTrue="1">
      <formula>AND($B101&lt;&gt;"",$Y101&gt;1)</formula>
    </cfRule>
    <cfRule type="expression" dxfId="0" priority="2" stopIfTrue="1">
      <formula>$Y101&lt;=1</formula>
    </cfRule>
  </conditionalFormatting>
  <dataValidations count="2">
    <dataValidation type="date" allowBlank="1" showInputMessage="1" showErrorMessage="1" errorTitle="Erreur mois+année" error="Taper un mois et une année sur l'exercice sans indiquer le jour" sqref="D3:D339">
      <formula1>41182</formula1>
      <formula2>41640</formula2>
    </dataValidation>
    <dataValidation type="date" allowBlank="1" showInputMessage="1" showErrorMessage="1" errorTitle="Date erronée" error="Cette date ne correspond pas à l'exercice" sqref="A3:A339">
      <formula1>41182</formula1>
      <formula2>41640</formula2>
    </dataValidation>
  </dataValidations>
  <printOptions horizontalCentered="1"/>
  <pageMargins left="0.23622047244094491" right="0.27559055118110237" top="0.31496062992125984" bottom="0.31496062992125984" header="0.15748031496062992" footer="0.15748031496062992"/>
  <pageSetup paperSize="8" fitToHeight="0" orientation="landscape" cellComments="asDisplayed" r:id="rId1"/>
  <headerFooter alignWithMargins="0">
    <oddHeader>&amp;R&amp;D</oddHeader>
    <oddFooter>&amp;R&amp;P/&amp;N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16</vt:i4>
      </vt:variant>
    </vt:vector>
  </HeadingPairs>
  <TitlesOfParts>
    <vt:vector size="17" baseType="lpstr">
      <vt:lpstr>BD</vt:lpstr>
      <vt:lpstr>CLIENT</vt:lpstr>
      <vt:lpstr>CODE1</vt:lpstr>
      <vt:lpstr>Comm.__sous_traitance</vt:lpstr>
      <vt:lpstr>COMMEN__TAIRE</vt:lpstr>
      <vt:lpstr>DATE</vt:lpstr>
      <vt:lpstr>FRAIS_H.T.</vt:lpstr>
      <vt:lpstr>HONOS_HT</vt:lpstr>
      <vt:lpstr>BD!Impression_des_titres</vt:lpstr>
      <vt:lpstr>LIBELLE</vt:lpstr>
      <vt:lpstr>Marge_brute</vt:lpstr>
      <vt:lpstr>N__fact.</vt:lpstr>
      <vt:lpstr>REGLEE</vt:lpstr>
      <vt:lpstr>RESTE_DU</vt:lpstr>
      <vt:lpstr>T.T.C.</vt:lpstr>
      <vt:lpstr>T.V.A.</vt:lpstr>
      <vt:lpstr>BD!Zone_d_impression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khellat</dc:creator>
  <cp:lastModifiedBy>khellat</cp:lastModifiedBy>
  <cp:lastPrinted>2013-06-14T23:43:34Z</cp:lastPrinted>
  <dcterms:created xsi:type="dcterms:W3CDTF">2013-06-14T23:06:00Z</dcterms:created>
  <dcterms:modified xsi:type="dcterms:W3CDTF">2013-06-14T23:47:10Z</dcterms:modified>
</cp:coreProperties>
</file>