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35" windowWidth="15480" windowHeight="7935" activeTab="2"/>
  </bookViews>
  <sheets>
    <sheet name="bdd" sheetId="1" r:id="rId1"/>
    <sheet name="tab1EFF2" sheetId="5" r:id="rId2"/>
    <sheet name="tab1ClassMedMod" sheetId="4" r:id="rId3"/>
  </sheets>
  <externalReferences>
    <externalReference r:id="rId4"/>
    <externalReference r:id="rId5"/>
  </externalReferences>
  <calcPr calcId="125725"/>
</workbook>
</file>

<file path=xl/calcChain.xml><?xml version="1.0" encoding="utf-8"?>
<calcChain xmlns="http://schemas.openxmlformats.org/spreadsheetml/2006/main">
  <c r="O6" i="1"/>
  <c r="P6"/>
  <c r="Q6"/>
  <c r="R6"/>
  <c r="O7"/>
  <c r="P7"/>
  <c r="Q7"/>
  <c r="R7"/>
  <c r="O8"/>
  <c r="P8"/>
  <c r="Q8"/>
  <c r="R8"/>
  <c r="O9"/>
  <c r="P9"/>
  <c r="Q9"/>
  <c r="R9"/>
  <c r="O10"/>
  <c r="P10"/>
  <c r="Q10"/>
  <c r="R10"/>
  <c r="O11"/>
  <c r="P11"/>
  <c r="Q11"/>
  <c r="R11"/>
  <c r="O12"/>
  <c r="P12"/>
  <c r="Q12"/>
  <c r="R12"/>
  <c r="O13"/>
  <c r="P13"/>
  <c r="Q13"/>
  <c r="R13"/>
  <c r="O14"/>
  <c r="P14"/>
  <c r="Q14"/>
  <c r="R14"/>
  <c r="O15"/>
  <c r="P15"/>
  <c r="Q15"/>
  <c r="R15"/>
  <c r="R5"/>
  <c r="P5"/>
  <c r="Q5"/>
  <c r="O5"/>
  <c r="P16"/>
  <c r="D17" i="4" s="1"/>
  <c r="K7" i="1"/>
  <c r="L7"/>
  <c r="M7"/>
  <c r="N7"/>
  <c r="K8"/>
  <c r="L8"/>
  <c r="M8"/>
  <c r="N8"/>
  <c r="K9"/>
  <c r="L9"/>
  <c r="M9"/>
  <c r="N9"/>
  <c r="K10"/>
  <c r="L10"/>
  <c r="M10"/>
  <c r="N10"/>
  <c r="K11"/>
  <c r="L11"/>
  <c r="M11"/>
  <c r="N11"/>
  <c r="K12"/>
  <c r="L12"/>
  <c r="M12"/>
  <c r="N12"/>
  <c r="K13"/>
  <c r="L13"/>
  <c r="M13"/>
  <c r="N13"/>
  <c r="K14"/>
  <c r="L14"/>
  <c r="M14"/>
  <c r="N14"/>
  <c r="K15"/>
  <c r="L15"/>
  <c r="M15"/>
  <c r="N15"/>
  <c r="L6"/>
  <c r="M6"/>
  <c r="N6"/>
  <c r="K6"/>
  <c r="L5"/>
  <c r="M5"/>
  <c r="N5"/>
  <c r="K5"/>
  <c r="D9" i="4"/>
  <c r="D8" s="1"/>
  <c r="E9"/>
  <c r="E8" s="1"/>
  <c r="F9"/>
  <c r="F8" s="1"/>
  <c r="C9"/>
  <c r="C8" s="1"/>
  <c r="Q16" i="1" l="1"/>
  <c r="E17" i="4" s="1"/>
  <c r="D21" i="5"/>
  <c r="D22" s="1"/>
  <c r="D23" s="1"/>
  <c r="D24" s="1"/>
  <c r="D25" s="1"/>
  <c r="D26" s="1"/>
  <c r="D27" s="1"/>
  <c r="D28" s="1"/>
  <c r="D29" s="1"/>
  <c r="D30" s="1"/>
  <c r="D31" s="1"/>
  <c r="C21"/>
  <c r="C22" s="1"/>
  <c r="C23" s="1"/>
  <c r="C24" s="1"/>
  <c r="C25" s="1"/>
  <c r="C26" s="1"/>
  <c r="C27" s="1"/>
  <c r="C28" s="1"/>
  <c r="C29" s="1"/>
  <c r="C30" s="1"/>
  <c r="C31" s="1"/>
  <c r="D6"/>
  <c r="D7" s="1"/>
  <c r="D8" s="1"/>
  <c r="D9" s="1"/>
  <c r="D10" s="1"/>
  <c r="D11" s="1"/>
  <c r="D12" s="1"/>
  <c r="D13" s="1"/>
  <c r="D14" s="1"/>
  <c r="D15" s="1"/>
  <c r="C6"/>
  <c r="C7" s="1"/>
  <c r="C8" s="1"/>
  <c r="C9" s="1"/>
  <c r="C10" s="1"/>
  <c r="C11" s="1"/>
  <c r="C12" s="1"/>
  <c r="C13" s="1"/>
  <c r="C14" s="1"/>
  <c r="C15" s="1"/>
  <c r="D5"/>
  <c r="C5"/>
  <c r="F18" i="4"/>
  <c r="E18"/>
  <c r="D18"/>
  <c r="C18"/>
  <c r="C30" i="1"/>
  <c r="B30"/>
  <c r="D29"/>
  <c r="E29" s="1"/>
  <c r="D28"/>
  <c r="F28" s="1"/>
  <c r="D27"/>
  <c r="F27" s="1"/>
  <c r="F26"/>
  <c r="D26"/>
  <c r="E26" s="1"/>
  <c r="D25"/>
  <c r="E25" s="1"/>
  <c r="D24"/>
  <c r="F24" s="1"/>
  <c r="D23"/>
  <c r="F23" s="1"/>
  <c r="E16"/>
  <c r="D16"/>
  <c r="C16"/>
  <c r="B16"/>
  <c r="H15"/>
  <c r="G15"/>
  <c r="F15"/>
  <c r="H14"/>
  <c r="G14" s="1"/>
  <c r="F14"/>
  <c r="H13"/>
  <c r="G13" s="1"/>
  <c r="H12"/>
  <c r="F12" s="1"/>
  <c r="H11"/>
  <c r="F11" s="1"/>
  <c r="H10"/>
  <c r="G10"/>
  <c r="F10"/>
  <c r="H9"/>
  <c r="G9" s="1"/>
  <c r="H8"/>
  <c r="F8" s="1"/>
  <c r="G8"/>
  <c r="H7"/>
  <c r="F7" s="1"/>
  <c r="H6"/>
  <c r="G6" s="1"/>
  <c r="H5"/>
  <c r="G5" s="1"/>
  <c r="R16" l="1"/>
  <c r="F17" i="4" s="1"/>
  <c r="O16" i="1"/>
  <c r="C17" i="4" s="1"/>
  <c r="G11" i="1"/>
  <c r="F6"/>
  <c r="G7"/>
  <c r="F25"/>
  <c r="G12"/>
  <c r="F29"/>
  <c r="F30" s="1"/>
  <c r="G16"/>
  <c r="E24"/>
  <c r="E28"/>
  <c r="F5"/>
  <c r="F9"/>
  <c r="F13"/>
  <c r="E23"/>
  <c r="E27"/>
  <c r="F16" l="1"/>
  <c r="E30"/>
</calcChain>
</file>

<file path=xl/sharedStrings.xml><?xml version="1.0" encoding="utf-8"?>
<sst xmlns="http://schemas.openxmlformats.org/spreadsheetml/2006/main" count="84" uniqueCount="40">
  <si>
    <t>Tableau 1: Nombre et taille des exploitations agricoles en France métropolitaine</t>
  </si>
  <si>
    <t>Exploitation</t>
  </si>
  <si>
    <t>SAU</t>
  </si>
  <si>
    <t>Ni x Xi 1988</t>
  </si>
  <si>
    <t>Ni x Xi 2000</t>
  </si>
  <si>
    <t>centre de classe</t>
  </si>
  <si>
    <t>[0;5[</t>
  </si>
  <si>
    <t>[5;20[</t>
  </si>
  <si>
    <t>[20;35[</t>
  </si>
  <si>
    <t>[35;50[</t>
  </si>
  <si>
    <t>[50;75[</t>
  </si>
  <si>
    <t>[75;100[</t>
  </si>
  <si>
    <t>[100;125[</t>
  </si>
  <si>
    <t>[125;150[</t>
  </si>
  <si>
    <t>[150;200[</t>
  </si>
  <si>
    <t>[200;300[</t>
  </si>
  <si>
    <t>[300;+[</t>
  </si>
  <si>
    <t>total</t>
  </si>
  <si>
    <t>Tableau 2: Age( au 31/12) des exploitants agricoles en France métropolitaine</t>
  </si>
  <si>
    <t>[0;30[</t>
  </si>
  <si>
    <t>[30;39]</t>
  </si>
  <si>
    <t>[40;49]</t>
  </si>
  <si>
    <t>[50;54]</t>
  </si>
  <si>
    <t>[55;59]</t>
  </si>
  <si>
    <t>[60;64]</t>
  </si>
  <si>
    <t>[65;+[</t>
  </si>
  <si>
    <r>
      <rPr>
        <sz val="11"/>
        <color theme="1"/>
        <rFont val="Calibri"/>
        <family val="2"/>
        <scheme val="minor"/>
      </rPr>
      <t xml:space="preserve">             </t>
    </r>
    <r>
      <rPr>
        <u/>
        <sz val="11"/>
        <color theme="1"/>
        <rFont val="Calibri"/>
        <family val="2"/>
        <scheme val="minor"/>
      </rPr>
      <t xml:space="preserve"> Médianes, Classes médianes / Modes, Classes modales</t>
    </r>
  </si>
  <si>
    <t>classe modale</t>
  </si>
  <si>
    <t>mode</t>
  </si>
  <si>
    <t>Classe médiane</t>
  </si>
  <si>
    <t>Médiane</t>
  </si>
  <si>
    <t>Effectifs cumulés croissants (ECC) et fréquences cumulées croissantes (FCC) de la SAU en 1988 et 2000</t>
  </si>
  <si>
    <t>ECC</t>
  </si>
  <si>
    <t>SAU (Ha)</t>
  </si>
  <si>
    <t>FCC</t>
  </si>
  <si>
    <t>Effectifs cumuleés</t>
  </si>
  <si>
    <t>effectifs de la classe la plus importante</t>
  </si>
  <si>
    <t>classe ayant le plus grand effectif</t>
  </si>
  <si>
    <t>classe contenant la mediane</t>
  </si>
  <si>
    <t>effectif de la classe centrale (n'est pas égale à la mediane)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</si>
</sst>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5">
    <xf numFmtId="0" fontId="0" fillId="0" borderId="0" xfId="0"/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/>
    <xf numFmtId="0" fontId="0" fillId="2" borderId="2" xfId="0" applyFill="1" applyBorder="1"/>
    <xf numFmtId="0" fontId="0" fillId="2" borderId="3" xfId="0" applyFill="1" applyBorder="1"/>
    <xf numFmtId="0" fontId="0" fillId="0" borderId="2" xfId="0" applyBorder="1" applyAlignment="1">
      <alignment horizontal="center"/>
    </xf>
    <xf numFmtId="0" fontId="0" fillId="3" borderId="2" xfId="0" applyFill="1" applyBorder="1"/>
    <xf numFmtId="0" fontId="0" fillId="4" borderId="2" xfId="0" applyFill="1" applyBorder="1"/>
    <xf numFmtId="0" fontId="0" fillId="0" borderId="0" xfId="0" applyNumberFormat="1"/>
    <xf numFmtId="0" fontId="0" fillId="0" borderId="4" xfId="0" applyBorder="1"/>
    <xf numFmtId="0" fontId="0" fillId="3" borderId="4" xfId="0" applyFill="1" applyBorder="1"/>
    <xf numFmtId="0" fontId="0" fillId="4" borderId="4" xfId="0" applyFill="1" applyBorder="1"/>
    <xf numFmtId="0" fontId="0" fillId="0" borderId="5" xfId="0" applyFill="1" applyBorder="1"/>
    <xf numFmtId="0" fontId="0" fillId="3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0" borderId="0" xfId="0" applyFill="1" applyBorder="1"/>
    <xf numFmtId="0" fontId="0" fillId="0" borderId="0" xfId="0" applyBorder="1"/>
    <xf numFmtId="0" fontId="1" fillId="0" borderId="0" xfId="0" applyFont="1"/>
    <xf numFmtId="0" fontId="1" fillId="0" borderId="0" xfId="0" applyFont="1" applyAlignment="1">
      <alignment horizontal="left"/>
    </xf>
    <xf numFmtId="0" fontId="0" fillId="5" borderId="2" xfId="0" applyFill="1" applyBorder="1"/>
    <xf numFmtId="0" fontId="0" fillId="5" borderId="4" xfId="0" applyFill="1" applyBorder="1"/>
    <xf numFmtId="0" fontId="0" fillId="0" borderId="6" xfId="0" applyFill="1" applyBorder="1"/>
    <xf numFmtId="0" fontId="0" fillId="5" borderId="6" xfId="0" applyFill="1" applyBorder="1"/>
    <xf numFmtId="0" fontId="0" fillId="4" borderId="6" xfId="0" applyFill="1" applyBorder="1"/>
    <xf numFmtId="0" fontId="2" fillId="0" borderId="0" xfId="0" applyFont="1"/>
    <xf numFmtId="0" fontId="0" fillId="0" borderId="9" xfId="0" applyBorder="1"/>
    <xf numFmtId="0" fontId="0" fillId="0" borderId="12" xfId="0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6" borderId="16" xfId="0" applyFill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10" xfId="0" applyBorder="1"/>
    <xf numFmtId="0" fontId="0" fillId="0" borderId="23" xfId="0" applyBorder="1" applyAlignment="1">
      <alignment wrapText="1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6" borderId="28" xfId="0" applyFill="1" applyBorder="1"/>
    <xf numFmtId="0" fontId="0" fillId="6" borderId="29" xfId="0" applyFill="1" applyBorder="1"/>
    <xf numFmtId="0" fontId="0" fillId="6" borderId="30" xfId="0" applyFill="1" applyBorder="1"/>
    <xf numFmtId="164" fontId="0" fillId="0" borderId="24" xfId="0" applyNumberFormat="1" applyBorder="1"/>
    <xf numFmtId="164" fontId="0" fillId="0" borderId="25" xfId="0" applyNumberFormat="1" applyBorder="1"/>
    <xf numFmtId="0" fontId="0" fillId="0" borderId="31" xfId="0" applyBorder="1"/>
    <xf numFmtId="164" fontId="0" fillId="0" borderId="32" xfId="0" applyNumberFormat="1" applyBorder="1"/>
    <xf numFmtId="164" fontId="0" fillId="0" borderId="33" xfId="0" applyNumberFormat="1" applyBorder="1"/>
    <xf numFmtId="164" fontId="0" fillId="0" borderId="27" xfId="0" applyNumberFormat="1" applyBorder="1"/>
    <xf numFmtId="164" fontId="0" fillId="0" borderId="30" xfId="0" applyNumberFormat="1" applyBorder="1"/>
    <xf numFmtId="0" fontId="2" fillId="0" borderId="0" xfId="0" applyFont="1" applyAlignment="1">
      <alignment horizontal="left"/>
    </xf>
    <xf numFmtId="0" fontId="0" fillId="6" borderId="34" xfId="0" applyFill="1" applyBorder="1"/>
    <xf numFmtId="0" fontId="0" fillId="6" borderId="19" xfId="0" applyFill="1" applyBorder="1"/>
    <xf numFmtId="0" fontId="0" fillId="6" borderId="27" xfId="0" applyFill="1" applyBorder="1"/>
    <xf numFmtId="0" fontId="0" fillId="0" borderId="0" xfId="0" applyBorder="1" applyAlignment="1"/>
    <xf numFmtId="0" fontId="0" fillId="0" borderId="32" xfId="0" applyBorder="1"/>
    <xf numFmtId="0" fontId="0" fillId="0" borderId="33" xfId="0" applyBorder="1"/>
    <xf numFmtId="164" fontId="0" fillId="0" borderId="0" xfId="0" applyNumberFormat="1" applyBorder="1"/>
    <xf numFmtId="0" fontId="0" fillId="0" borderId="30" xfId="0" applyBorder="1"/>
    <xf numFmtId="0" fontId="1" fillId="0" borderId="0" xfId="0" applyFont="1" applyBorder="1" applyAlignment="1">
      <alignment horizontal="left"/>
    </xf>
    <xf numFmtId="0" fontId="0" fillId="2" borderId="2" xfId="0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6" borderId="35" xfId="0" applyFill="1" applyBorder="1" applyAlignment="1">
      <alignment horizontal="center"/>
    </xf>
    <xf numFmtId="0" fontId="0" fillId="6" borderId="3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6" borderId="37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3" borderId="38" xfId="0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mille/Downloads/Copie%20de%20Xl0000002%20inf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exce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entation"/>
      <sheetName val="tab1pres"/>
      <sheetName val="base de données"/>
      <sheetName val="tab1EFF+Freq"/>
      <sheetName val="tab2 Eff+freq"/>
      <sheetName val="tab1moy"/>
      <sheetName val="tab1ET"/>
      <sheetName val="tab1ClassModMod"/>
      <sheetName val="tab1ClassMedMed"/>
      <sheetName val="National"/>
      <sheetName val="Feuil6"/>
      <sheetName val="Feuil7"/>
      <sheetName val="Feuil8"/>
    </sheetNames>
    <sheetDataSet>
      <sheetData sheetId="0"/>
      <sheetData sheetId="1"/>
      <sheetData sheetId="2">
        <row r="4">
          <cell r="D4">
            <v>519032</v>
          </cell>
          <cell r="E4">
            <v>361844</v>
          </cell>
        </row>
        <row r="5">
          <cell r="D5">
            <v>3238212</v>
          </cell>
          <cell r="E5">
            <v>1463994</v>
          </cell>
        </row>
        <row r="6">
          <cell r="D6">
            <v>4780303</v>
          </cell>
          <cell r="E6">
            <v>2048067</v>
          </cell>
        </row>
        <row r="7">
          <cell r="D7">
            <v>4567762</v>
          </cell>
          <cell r="E7">
            <v>2618077</v>
          </cell>
        </row>
        <row r="8">
          <cell r="D8">
            <v>5406159</v>
          </cell>
          <cell r="E8">
            <v>4631108</v>
          </cell>
        </row>
        <row r="9">
          <cell r="D9">
            <v>3302752</v>
          </cell>
          <cell r="E9">
            <v>4030872</v>
          </cell>
        </row>
        <row r="10">
          <cell r="D10">
            <v>2055769</v>
          </cell>
          <cell r="E10">
            <v>3242724</v>
          </cell>
        </row>
        <row r="11">
          <cell r="D11">
            <v>1312275</v>
          </cell>
          <cell r="E11">
            <v>2349389</v>
          </cell>
        </row>
        <row r="12">
          <cell r="D12">
            <v>1485585</v>
          </cell>
          <cell r="E12">
            <v>3063261</v>
          </cell>
        </row>
        <row r="13">
          <cell r="D13">
            <v>1145509</v>
          </cell>
          <cell r="E13">
            <v>2564668</v>
          </cell>
        </row>
        <row r="14">
          <cell r="D14">
            <v>772440</v>
          </cell>
          <cell r="E14">
            <v>1482309</v>
          </cell>
        </row>
      </sheetData>
      <sheetData sheetId="3">
        <row r="11">
          <cell r="B11" t="str">
            <v>[125;150[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esentation"/>
      <sheetName val="base de données"/>
      <sheetName val="tab1pres"/>
      <sheetName val="tab1EFF"/>
      <sheetName val="tab1EFF2"/>
      <sheetName val="tab1moy"/>
      <sheetName val="tab1ClassMedMod"/>
      <sheetName val="Feuil6"/>
      <sheetName val="Feuil8"/>
      <sheetName val="tab2pres"/>
    </sheetNames>
    <sheetDataSet>
      <sheetData sheetId="0"/>
      <sheetData sheetId="1">
        <row r="5">
          <cell r="A5" t="str">
            <v>[0;5[</v>
          </cell>
          <cell r="B5">
            <v>278252</v>
          </cell>
          <cell r="C5">
            <v>193358</v>
          </cell>
          <cell r="D5">
            <v>519032</v>
          </cell>
          <cell r="E5">
            <v>361844</v>
          </cell>
        </row>
        <row r="6">
          <cell r="B6">
            <v>278473</v>
          </cell>
          <cell r="C6">
            <v>131753</v>
          </cell>
          <cell r="D6">
            <v>3238212</v>
          </cell>
          <cell r="E6">
            <v>1463994</v>
          </cell>
        </row>
        <row r="7">
          <cell r="B7">
            <v>178249</v>
          </cell>
          <cell r="C7">
            <v>75644</v>
          </cell>
          <cell r="D7">
            <v>4780303</v>
          </cell>
          <cell r="E7">
            <v>2048067</v>
          </cell>
        </row>
        <row r="8">
          <cell r="B8">
            <v>109806</v>
          </cell>
          <cell r="C8">
            <v>62162</v>
          </cell>
          <cell r="D8">
            <v>4567762</v>
          </cell>
          <cell r="E8">
            <v>2618077</v>
          </cell>
        </row>
        <row r="9">
          <cell r="B9">
            <v>89625</v>
          </cell>
          <cell r="C9">
            <v>75463</v>
          </cell>
          <cell r="D9">
            <v>5406159</v>
          </cell>
          <cell r="E9">
            <v>4631108</v>
          </cell>
        </row>
        <row r="10">
          <cell r="B10">
            <v>38636</v>
          </cell>
          <cell r="C10">
            <v>46680</v>
          </cell>
          <cell r="D10">
            <v>3302752</v>
          </cell>
          <cell r="E10">
            <v>4030872</v>
          </cell>
        </row>
        <row r="11">
          <cell r="B11">
            <v>18676</v>
          </cell>
          <cell r="C11">
            <v>29161</v>
          </cell>
          <cell r="D11">
            <v>2055769</v>
          </cell>
          <cell r="E11">
            <v>3242724</v>
          </cell>
        </row>
        <row r="12">
          <cell r="B12">
            <v>9658</v>
          </cell>
          <cell r="C12">
            <v>17229</v>
          </cell>
          <cell r="D12">
            <v>1312275</v>
          </cell>
          <cell r="E12">
            <v>2349389</v>
          </cell>
        </row>
        <row r="13">
          <cell r="B13">
            <v>8744</v>
          </cell>
          <cell r="C13">
            <v>17908</v>
          </cell>
          <cell r="D13">
            <v>1485585</v>
          </cell>
          <cell r="E13">
            <v>3063261</v>
          </cell>
        </row>
        <row r="14">
          <cell r="B14">
            <v>4865</v>
          </cell>
          <cell r="C14">
            <v>10827</v>
          </cell>
          <cell r="D14">
            <v>1145509</v>
          </cell>
          <cell r="E14">
            <v>2564668</v>
          </cell>
        </row>
        <row r="15">
          <cell r="B15">
            <v>1771</v>
          </cell>
          <cell r="C15">
            <v>3622</v>
          </cell>
          <cell r="D15">
            <v>772440</v>
          </cell>
          <cell r="E15">
            <v>1482309</v>
          </cell>
        </row>
        <row r="16">
          <cell r="D16">
            <v>28585798</v>
          </cell>
          <cell r="E16">
            <v>27856313</v>
          </cell>
        </row>
      </sheetData>
      <sheetData sheetId="2"/>
      <sheetData sheetId="3"/>
      <sheetData sheetId="4">
        <row r="5">
          <cell r="B5" t="str">
            <v>[0;5[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1"/>
  <sheetViews>
    <sheetView workbookViewId="0">
      <selection activeCell="L19" sqref="L19"/>
    </sheetView>
  </sheetViews>
  <sheetFormatPr baseColWidth="10" defaultRowHeight="15"/>
  <sheetData>
    <row r="1" spans="1:18">
      <c r="A1" s="63" t="s">
        <v>0</v>
      </c>
      <c r="B1" s="63"/>
      <c r="C1" s="63"/>
      <c r="D1" s="63"/>
      <c r="E1" s="63"/>
      <c r="F1" s="1"/>
      <c r="G1" s="1"/>
      <c r="H1" s="1"/>
    </row>
    <row r="2" spans="1:18">
      <c r="A2" s="2"/>
      <c r="B2" s="2"/>
      <c r="C2" s="2"/>
      <c r="D2" s="2"/>
      <c r="E2" s="3"/>
      <c r="F2" s="1"/>
      <c r="G2" s="1"/>
      <c r="H2" s="1"/>
      <c r="K2" t="s">
        <v>35</v>
      </c>
    </row>
    <row r="3" spans="1:18">
      <c r="A3" s="4"/>
      <c r="B3" s="64" t="s">
        <v>1</v>
      </c>
      <c r="C3" s="64"/>
      <c r="D3" s="64" t="s">
        <v>2</v>
      </c>
      <c r="E3" s="64"/>
      <c r="J3" s="4"/>
      <c r="K3" s="64" t="s">
        <v>1</v>
      </c>
      <c r="L3" s="64"/>
      <c r="M3" s="64" t="s">
        <v>2</v>
      </c>
      <c r="N3" s="64"/>
    </row>
    <row r="4" spans="1:18">
      <c r="A4" s="4"/>
      <c r="B4" s="5">
        <v>1988</v>
      </c>
      <c r="C4" s="5">
        <v>2000</v>
      </c>
      <c r="D4" s="5">
        <v>1988</v>
      </c>
      <c r="E4" s="6">
        <v>2000</v>
      </c>
      <c r="F4" s="7" t="s">
        <v>3</v>
      </c>
      <c r="G4" s="7" t="s">
        <v>4</v>
      </c>
      <c r="H4" s="7" t="s">
        <v>5</v>
      </c>
      <c r="J4" s="4"/>
      <c r="K4" s="5">
        <v>1988</v>
      </c>
      <c r="L4" s="5">
        <v>2000</v>
      </c>
      <c r="M4" s="5">
        <v>1988</v>
      </c>
      <c r="N4" s="6">
        <v>2000</v>
      </c>
    </row>
    <row r="5" spans="1:18">
      <c r="A5" s="4" t="s">
        <v>6</v>
      </c>
      <c r="B5" s="8">
        <v>278252</v>
      </c>
      <c r="C5" s="9">
        <v>193358</v>
      </c>
      <c r="D5" s="8">
        <v>519032</v>
      </c>
      <c r="E5" s="9">
        <v>361844</v>
      </c>
      <c r="F5">
        <f>H5*D5</f>
        <v>1297580</v>
      </c>
      <c r="G5">
        <f>E5*H5</f>
        <v>904610</v>
      </c>
      <c r="H5" s="10">
        <f>5/2</f>
        <v>2.5</v>
      </c>
      <c r="J5" s="4" t="s">
        <v>6</v>
      </c>
      <c r="K5" s="8">
        <f>B5</f>
        <v>278252</v>
      </c>
      <c r="L5" s="8">
        <f t="shared" ref="L5:N5" si="0">C5</f>
        <v>193358</v>
      </c>
      <c r="M5" s="8">
        <f t="shared" si="0"/>
        <v>519032</v>
      </c>
      <c r="N5" s="8">
        <f t="shared" si="0"/>
        <v>361844</v>
      </c>
      <c r="O5" s="74">
        <f>IF((K$15/2)&gt;bdd!K5,1,0)</f>
        <v>1</v>
      </c>
      <c r="P5" s="74">
        <f>IF((L$15/2)&gt;bdd!L5,1,0)</f>
        <v>1</v>
      </c>
      <c r="Q5" s="74">
        <f>IF((M$15/2)&gt;bdd!M5,1,0)</f>
        <v>1</v>
      </c>
      <c r="R5" s="74">
        <f>IF((N$15/2)&gt;bdd!N5,1,0)</f>
        <v>1</v>
      </c>
    </row>
    <row r="6" spans="1:18">
      <c r="A6" s="4" t="s">
        <v>7</v>
      </c>
      <c r="B6" s="8">
        <v>278473</v>
      </c>
      <c r="C6" s="9">
        <v>131753</v>
      </c>
      <c r="D6" s="8">
        <v>3238212</v>
      </c>
      <c r="E6" s="9">
        <v>1463994</v>
      </c>
      <c r="F6">
        <f t="shared" ref="F6:F15" si="1">H6*D6</f>
        <v>40477650</v>
      </c>
      <c r="G6">
        <f t="shared" ref="G6:G15" si="2">E6*H6</f>
        <v>18299925</v>
      </c>
      <c r="H6">
        <f>(5+20)/2</f>
        <v>12.5</v>
      </c>
      <c r="J6" s="4" t="s">
        <v>7</v>
      </c>
      <c r="K6" s="8">
        <f>K5+B6</f>
        <v>556725</v>
      </c>
      <c r="L6" s="8">
        <f t="shared" ref="L6:N6" si="3">L5+C6</f>
        <v>325111</v>
      </c>
      <c r="M6" s="8">
        <f t="shared" si="3"/>
        <v>3757244</v>
      </c>
      <c r="N6" s="8">
        <f t="shared" si="3"/>
        <v>1825838</v>
      </c>
      <c r="O6" s="74">
        <f>IF((K$15/2)&gt;bdd!K6,1,0)</f>
        <v>0</v>
      </c>
      <c r="P6" s="74">
        <f>IF((L$15/2)&gt;bdd!L6,1,0)</f>
        <v>1</v>
      </c>
      <c r="Q6" s="74">
        <f>IF((M$15/2)&gt;bdd!M6,1,0)</f>
        <v>1</v>
      </c>
      <c r="R6" s="74">
        <f>IF((N$15/2)&gt;bdd!N6,1,0)</f>
        <v>1</v>
      </c>
    </row>
    <row r="7" spans="1:18">
      <c r="A7" s="4" t="s">
        <v>8</v>
      </c>
      <c r="B7" s="8">
        <v>178249</v>
      </c>
      <c r="C7" s="9">
        <v>75644</v>
      </c>
      <c r="D7" s="8">
        <v>4780303</v>
      </c>
      <c r="E7" s="9">
        <v>2048067</v>
      </c>
      <c r="F7">
        <f t="shared" si="1"/>
        <v>131458332.5</v>
      </c>
      <c r="G7">
        <f t="shared" si="2"/>
        <v>56321842.5</v>
      </c>
      <c r="H7">
        <f>(35+20)/2</f>
        <v>27.5</v>
      </c>
      <c r="J7" s="4" t="s">
        <v>8</v>
      </c>
      <c r="K7" s="8">
        <f t="shared" ref="K7:K15" si="4">K6+B7</f>
        <v>734974</v>
      </c>
      <c r="L7" s="8">
        <f t="shared" ref="L7:L15" si="5">L6+C7</f>
        <v>400755</v>
      </c>
      <c r="M7" s="8">
        <f t="shared" ref="M7:M15" si="6">M6+D7</f>
        <v>8537547</v>
      </c>
      <c r="N7" s="8">
        <f t="shared" ref="N7:N15" si="7">N6+E7</f>
        <v>3873905</v>
      </c>
      <c r="O7" s="74">
        <f>IF((K$15/2)&gt;bdd!K7,1,0)</f>
        <v>0</v>
      </c>
      <c r="P7" s="74">
        <f>IF((L$15/2)&gt;bdd!L7,1,0)</f>
        <v>0</v>
      </c>
      <c r="Q7" s="74">
        <f>IF((M$15/2)&gt;bdd!M7,1,0)</f>
        <v>1</v>
      </c>
      <c r="R7" s="74">
        <f>IF((N$15/2)&gt;bdd!N7,1,0)</f>
        <v>1</v>
      </c>
    </row>
    <row r="8" spans="1:18">
      <c r="A8" s="4" t="s">
        <v>9</v>
      </c>
      <c r="B8" s="8">
        <v>109806</v>
      </c>
      <c r="C8" s="9">
        <v>62162</v>
      </c>
      <c r="D8" s="8">
        <v>4567762</v>
      </c>
      <c r="E8" s="9">
        <v>2618077</v>
      </c>
      <c r="F8">
        <f t="shared" si="1"/>
        <v>194129885</v>
      </c>
      <c r="G8">
        <f t="shared" si="2"/>
        <v>111268272.5</v>
      </c>
      <c r="H8">
        <f>(35+50)/2</f>
        <v>42.5</v>
      </c>
      <c r="J8" s="4" t="s">
        <v>9</v>
      </c>
      <c r="K8" s="8">
        <f t="shared" si="4"/>
        <v>844780</v>
      </c>
      <c r="L8" s="8">
        <f t="shared" si="5"/>
        <v>462917</v>
      </c>
      <c r="M8" s="8">
        <f t="shared" si="6"/>
        <v>13105309</v>
      </c>
      <c r="N8" s="8">
        <f t="shared" si="7"/>
        <v>6491982</v>
      </c>
      <c r="O8" s="74">
        <f>IF((K$15/2)&gt;bdd!K8,1,0)</f>
        <v>0</v>
      </c>
      <c r="P8" s="74">
        <f>IF((L$15/2)&gt;bdd!L8,1,0)</f>
        <v>0</v>
      </c>
      <c r="Q8" s="74">
        <f>IF((M$15/2)&gt;bdd!M8,1,0)</f>
        <v>1</v>
      </c>
      <c r="R8" s="74">
        <f>IF((N$15/2)&gt;bdd!N8,1,0)</f>
        <v>1</v>
      </c>
    </row>
    <row r="9" spans="1:18">
      <c r="A9" s="4" t="s">
        <v>10</v>
      </c>
      <c r="B9" s="8">
        <v>89625</v>
      </c>
      <c r="C9" s="9">
        <v>75463</v>
      </c>
      <c r="D9" s="8">
        <v>5406159</v>
      </c>
      <c r="E9" s="9">
        <v>4631108</v>
      </c>
      <c r="F9">
        <f t="shared" si="1"/>
        <v>337884937.5</v>
      </c>
      <c r="G9">
        <f t="shared" si="2"/>
        <v>289444250</v>
      </c>
      <c r="H9">
        <f>(50+75)/2</f>
        <v>62.5</v>
      </c>
      <c r="J9" s="4" t="s">
        <v>10</v>
      </c>
      <c r="K9" s="8">
        <f t="shared" si="4"/>
        <v>934405</v>
      </c>
      <c r="L9" s="8">
        <f t="shared" si="5"/>
        <v>538380</v>
      </c>
      <c r="M9" s="8">
        <f t="shared" si="6"/>
        <v>18511468</v>
      </c>
      <c r="N9" s="8">
        <f t="shared" si="7"/>
        <v>11123090</v>
      </c>
      <c r="O9" s="74">
        <f>IF((K$15/2)&gt;bdd!K9,1,0)</f>
        <v>0</v>
      </c>
      <c r="P9" s="74">
        <f>IF((L$15/2)&gt;bdd!L9,1,0)</f>
        <v>0</v>
      </c>
      <c r="Q9" s="74">
        <f>IF((M$15/2)&gt;bdd!M9,1,0)</f>
        <v>0</v>
      </c>
      <c r="R9" s="74">
        <f>IF((N$15/2)&gt;bdd!N9,1,0)</f>
        <v>1</v>
      </c>
    </row>
    <row r="10" spans="1:18">
      <c r="A10" s="4" t="s">
        <v>11</v>
      </c>
      <c r="B10" s="8">
        <v>38636</v>
      </c>
      <c r="C10" s="9">
        <v>46680</v>
      </c>
      <c r="D10" s="8">
        <v>3302752</v>
      </c>
      <c r="E10" s="9">
        <v>4030872</v>
      </c>
      <c r="F10">
        <f t="shared" si="1"/>
        <v>288990800</v>
      </c>
      <c r="G10">
        <f t="shared" si="2"/>
        <v>352701300</v>
      </c>
      <c r="H10">
        <f>(75+100)/2</f>
        <v>87.5</v>
      </c>
      <c r="J10" s="4" t="s">
        <v>11</v>
      </c>
      <c r="K10" s="8">
        <f t="shared" si="4"/>
        <v>973041</v>
      </c>
      <c r="L10" s="8">
        <f t="shared" si="5"/>
        <v>585060</v>
      </c>
      <c r="M10" s="8">
        <f t="shared" si="6"/>
        <v>21814220</v>
      </c>
      <c r="N10" s="8">
        <f t="shared" si="7"/>
        <v>15153962</v>
      </c>
      <c r="O10" s="74">
        <f>IF((K$15/2)&gt;bdd!K10,1,0)</f>
        <v>0</v>
      </c>
      <c r="P10" s="74">
        <f>IF((L$15/2)&gt;bdd!L10,1,0)</f>
        <v>0</v>
      </c>
      <c r="Q10" s="74">
        <f>IF((M$15/2)&gt;bdd!M10,1,0)</f>
        <v>0</v>
      </c>
      <c r="R10" s="74">
        <f>IF((N$15/2)&gt;bdd!N10,1,0)</f>
        <v>0</v>
      </c>
    </row>
    <row r="11" spans="1:18">
      <c r="A11" s="4" t="s">
        <v>12</v>
      </c>
      <c r="B11" s="8">
        <v>18676</v>
      </c>
      <c r="C11" s="9">
        <v>29161</v>
      </c>
      <c r="D11" s="8">
        <v>2055769</v>
      </c>
      <c r="E11" s="9">
        <v>3242724</v>
      </c>
      <c r="F11">
        <f t="shared" si="1"/>
        <v>231274012.5</v>
      </c>
      <c r="G11">
        <f t="shared" si="2"/>
        <v>364806450</v>
      </c>
      <c r="H11">
        <f>(100+125)/2</f>
        <v>112.5</v>
      </c>
      <c r="J11" s="4" t="s">
        <v>12</v>
      </c>
      <c r="K11" s="8">
        <f t="shared" si="4"/>
        <v>991717</v>
      </c>
      <c r="L11" s="8">
        <f t="shared" si="5"/>
        <v>614221</v>
      </c>
      <c r="M11" s="8">
        <f t="shared" si="6"/>
        <v>23869989</v>
      </c>
      <c r="N11" s="8">
        <f t="shared" si="7"/>
        <v>18396686</v>
      </c>
      <c r="O11" s="74">
        <f>IF((K$15/2)&gt;bdd!K11,1,0)</f>
        <v>0</v>
      </c>
      <c r="P11" s="74">
        <f>IF((L$15/2)&gt;bdd!L11,1,0)</f>
        <v>0</v>
      </c>
      <c r="Q11" s="74">
        <f>IF((M$15/2)&gt;bdd!M11,1,0)</f>
        <v>0</v>
      </c>
      <c r="R11" s="74">
        <f>IF((N$15/2)&gt;bdd!N11,1,0)</f>
        <v>0</v>
      </c>
    </row>
    <row r="12" spans="1:18">
      <c r="A12" s="4" t="s">
        <v>13</v>
      </c>
      <c r="B12" s="8">
        <v>9658</v>
      </c>
      <c r="C12" s="9">
        <v>17229</v>
      </c>
      <c r="D12" s="8">
        <v>1312275</v>
      </c>
      <c r="E12" s="9">
        <v>2349389</v>
      </c>
      <c r="F12">
        <f t="shared" si="1"/>
        <v>180437812.5</v>
      </c>
      <c r="G12">
        <f t="shared" si="2"/>
        <v>323040987.5</v>
      </c>
      <c r="H12">
        <f>(125+150)/2</f>
        <v>137.5</v>
      </c>
      <c r="J12" s="4" t="s">
        <v>13</v>
      </c>
      <c r="K12" s="8">
        <f t="shared" si="4"/>
        <v>1001375</v>
      </c>
      <c r="L12" s="8">
        <f t="shared" si="5"/>
        <v>631450</v>
      </c>
      <c r="M12" s="8">
        <f t="shared" si="6"/>
        <v>25182264</v>
      </c>
      <c r="N12" s="8">
        <f t="shared" si="7"/>
        <v>20746075</v>
      </c>
      <c r="O12" s="74">
        <f>IF((K$15/2)&gt;bdd!K12,1,0)</f>
        <v>0</v>
      </c>
      <c r="P12" s="74">
        <f>IF((L$15/2)&gt;bdd!L12,1,0)</f>
        <v>0</v>
      </c>
      <c r="Q12" s="74">
        <f>IF((M$15/2)&gt;bdd!M12,1,0)</f>
        <v>0</v>
      </c>
      <c r="R12" s="74">
        <f>IF((N$15/2)&gt;bdd!N12,1,0)</f>
        <v>0</v>
      </c>
    </row>
    <row r="13" spans="1:18">
      <c r="A13" s="4" t="s">
        <v>14</v>
      </c>
      <c r="B13" s="8">
        <v>8744</v>
      </c>
      <c r="C13" s="9">
        <v>17908</v>
      </c>
      <c r="D13" s="8">
        <v>1485585</v>
      </c>
      <c r="E13" s="9">
        <v>3063261</v>
      </c>
      <c r="F13">
        <f t="shared" si="1"/>
        <v>259977375</v>
      </c>
      <c r="G13">
        <f t="shared" si="2"/>
        <v>536070675</v>
      </c>
      <c r="H13">
        <f>(150+200)/2</f>
        <v>175</v>
      </c>
      <c r="J13" s="4" t="s">
        <v>14</v>
      </c>
      <c r="K13" s="8">
        <f t="shared" si="4"/>
        <v>1010119</v>
      </c>
      <c r="L13" s="8">
        <f t="shared" si="5"/>
        <v>649358</v>
      </c>
      <c r="M13" s="8">
        <f t="shared" si="6"/>
        <v>26667849</v>
      </c>
      <c r="N13" s="8">
        <f t="shared" si="7"/>
        <v>23809336</v>
      </c>
      <c r="O13" s="74">
        <f>IF((K$15/2)&gt;bdd!K13,1,0)</f>
        <v>0</v>
      </c>
      <c r="P13" s="74">
        <f>IF((L$15/2)&gt;bdd!L13,1,0)</f>
        <v>0</v>
      </c>
      <c r="Q13" s="74">
        <f>IF((M$15/2)&gt;bdd!M13,1,0)</f>
        <v>0</v>
      </c>
      <c r="R13" s="74">
        <f>IF((N$15/2)&gt;bdd!N13,1,0)</f>
        <v>0</v>
      </c>
    </row>
    <row r="14" spans="1:18">
      <c r="A14" s="4" t="s">
        <v>15</v>
      </c>
      <c r="B14" s="8">
        <v>4865</v>
      </c>
      <c r="C14" s="9">
        <v>10827</v>
      </c>
      <c r="D14" s="8">
        <v>1145509</v>
      </c>
      <c r="E14" s="9">
        <v>2564668</v>
      </c>
      <c r="F14">
        <f t="shared" si="1"/>
        <v>286377250</v>
      </c>
      <c r="G14">
        <f t="shared" si="2"/>
        <v>641167000</v>
      </c>
      <c r="H14">
        <f>(200+300)/2</f>
        <v>250</v>
      </c>
      <c r="J14" s="4" t="s">
        <v>15</v>
      </c>
      <c r="K14" s="8">
        <f t="shared" si="4"/>
        <v>1014984</v>
      </c>
      <c r="L14" s="8">
        <f t="shared" si="5"/>
        <v>660185</v>
      </c>
      <c r="M14" s="8">
        <f t="shared" si="6"/>
        <v>27813358</v>
      </c>
      <c r="N14" s="8">
        <f t="shared" si="7"/>
        <v>26374004</v>
      </c>
      <c r="O14" s="74">
        <f>IF((K$15/2)&gt;bdd!K14,1,0)</f>
        <v>0</v>
      </c>
      <c r="P14" s="74">
        <f>IF((L$15/2)&gt;bdd!L14,1,0)</f>
        <v>0</v>
      </c>
      <c r="Q14" s="74">
        <f>IF((M$15/2)&gt;bdd!M14,1,0)</f>
        <v>0</v>
      </c>
      <c r="R14" s="74">
        <f>IF((N$15/2)&gt;bdd!N14,1,0)</f>
        <v>0</v>
      </c>
    </row>
    <row r="15" spans="1:18" ht="15.75" thickBot="1">
      <c r="A15" s="11" t="s">
        <v>16</v>
      </c>
      <c r="B15" s="12">
        <v>1771</v>
      </c>
      <c r="C15" s="13">
        <v>3622</v>
      </c>
      <c r="D15" s="12">
        <v>772440</v>
      </c>
      <c r="E15" s="13">
        <v>1482309</v>
      </c>
      <c r="F15">
        <f t="shared" si="1"/>
        <v>270354000</v>
      </c>
      <c r="G15">
        <f t="shared" si="2"/>
        <v>518808150</v>
      </c>
      <c r="H15">
        <f>(300+400)/2</f>
        <v>350</v>
      </c>
      <c r="J15" s="4" t="s">
        <v>16</v>
      </c>
      <c r="K15" s="8">
        <f t="shared" si="4"/>
        <v>1016755</v>
      </c>
      <c r="L15" s="8">
        <f t="shared" si="5"/>
        <v>663807</v>
      </c>
      <c r="M15" s="8">
        <f t="shared" si="6"/>
        <v>28585798</v>
      </c>
      <c r="N15" s="8">
        <f t="shared" si="7"/>
        <v>27856313</v>
      </c>
      <c r="O15" s="74">
        <f>IF((K$15/2)&gt;bdd!K15,1,0)</f>
        <v>0</v>
      </c>
      <c r="P15" s="74">
        <f>IF((L$15/2)&gt;bdd!L15,1,0)</f>
        <v>0</v>
      </c>
      <c r="Q15" s="74">
        <f>IF((M$15/2)&gt;bdd!M15,1,0)</f>
        <v>0</v>
      </c>
      <c r="R15" s="74">
        <f>IF((N$15/2)&gt;bdd!N15,1,0)</f>
        <v>0</v>
      </c>
    </row>
    <row r="16" spans="1:18" ht="16.5" thickTop="1" thickBot="1">
      <c r="A16" s="14" t="s">
        <v>17</v>
      </c>
      <c r="B16" s="15">
        <f t="shared" ref="B16:G16" si="8">SUM(B5:B15)</f>
        <v>1016755</v>
      </c>
      <c r="C16" s="16">
        <f t="shared" si="8"/>
        <v>663807</v>
      </c>
      <c r="D16" s="15">
        <f t="shared" si="8"/>
        <v>28585798</v>
      </c>
      <c r="E16" s="17">
        <f t="shared" si="8"/>
        <v>27856313</v>
      </c>
      <c r="F16" s="18">
        <f t="shared" si="8"/>
        <v>2222659635</v>
      </c>
      <c r="G16" s="18">
        <f t="shared" si="8"/>
        <v>3212833462.5</v>
      </c>
      <c r="J16" s="18"/>
      <c r="K16" s="18"/>
      <c r="L16" s="18"/>
      <c r="M16" s="18"/>
      <c r="N16" s="18"/>
      <c r="O16">
        <f>MATCH(0,O5:O15,0)</f>
        <v>2</v>
      </c>
      <c r="P16">
        <f>MATCH(0,P5:P15,0)</f>
        <v>3</v>
      </c>
      <c r="Q16">
        <f>MATCH(0,Q5:Q15,0)</f>
        <v>5</v>
      </c>
      <c r="R16">
        <f>MATCH(0,R5:R15,0)</f>
        <v>6</v>
      </c>
    </row>
    <row r="17" spans="1:8" ht="15.75" thickTop="1">
      <c r="A17" s="18"/>
      <c r="B17" s="19"/>
      <c r="C17" s="19"/>
      <c r="D17" s="19"/>
      <c r="E17" s="19"/>
      <c r="F17" s="18"/>
      <c r="G17" s="18"/>
    </row>
    <row r="18" spans="1:8">
      <c r="A18" s="18"/>
      <c r="B18" s="19"/>
      <c r="C18" s="19"/>
      <c r="D18" s="19"/>
      <c r="E18" s="19"/>
      <c r="F18" s="18"/>
      <c r="G18" s="18"/>
    </row>
    <row r="20" spans="1:8">
      <c r="A20" s="65" t="s">
        <v>18</v>
      </c>
      <c r="B20" s="65"/>
      <c r="C20" s="65"/>
      <c r="D20" s="65"/>
      <c r="E20" s="65"/>
      <c r="F20" s="65"/>
      <c r="G20" s="20"/>
      <c r="H20" s="20"/>
    </row>
    <row r="21" spans="1:8">
      <c r="A21" s="21"/>
      <c r="B21" s="21"/>
      <c r="C21" s="21"/>
      <c r="D21" s="21"/>
      <c r="E21" s="21"/>
      <c r="F21" s="21"/>
      <c r="G21" s="20"/>
      <c r="H21" s="20"/>
    </row>
    <row r="22" spans="1:8">
      <c r="A22" s="4"/>
      <c r="B22" s="5">
        <v>1988</v>
      </c>
      <c r="C22" s="6">
        <v>2000</v>
      </c>
      <c r="D22" s="7" t="s">
        <v>5</v>
      </c>
      <c r="E22" s="7" t="s">
        <v>3</v>
      </c>
      <c r="F22" s="7" t="s">
        <v>4</v>
      </c>
    </row>
    <row r="23" spans="1:8">
      <c r="A23" s="4" t="s">
        <v>19</v>
      </c>
      <c r="B23" s="22">
        <v>81479</v>
      </c>
      <c r="C23" s="9">
        <v>41389</v>
      </c>
      <c r="D23">
        <f>30/2</f>
        <v>15</v>
      </c>
      <c r="E23">
        <f>D23*B23</f>
        <v>1222185</v>
      </c>
      <c r="F23">
        <f>D23*C23</f>
        <v>620835</v>
      </c>
    </row>
    <row r="24" spans="1:8">
      <c r="A24" s="4" t="s">
        <v>20</v>
      </c>
      <c r="B24" s="22">
        <v>181840</v>
      </c>
      <c r="C24" s="9">
        <v>157766</v>
      </c>
      <c r="D24">
        <f>(30+39)/2</f>
        <v>34.5</v>
      </c>
      <c r="E24">
        <f>D24*B24</f>
        <v>6273480</v>
      </c>
      <c r="F24">
        <f>D24*C24</f>
        <v>5442927</v>
      </c>
    </row>
    <row r="25" spans="1:8">
      <c r="A25" s="4" t="s">
        <v>21</v>
      </c>
      <c r="B25" s="22">
        <v>200113</v>
      </c>
      <c r="C25" s="9">
        <v>206454</v>
      </c>
      <c r="D25">
        <f>(40+49)/2</f>
        <v>44.5</v>
      </c>
      <c r="E25">
        <f>D25*B25</f>
        <v>8905028.5</v>
      </c>
      <c r="F25">
        <f>D25*C25</f>
        <v>9187203</v>
      </c>
    </row>
    <row r="26" spans="1:8">
      <c r="A26" s="4" t="s">
        <v>22</v>
      </c>
      <c r="B26" s="22">
        <v>149799</v>
      </c>
      <c r="C26" s="9">
        <v>120342</v>
      </c>
      <c r="D26">
        <f>(50+54)/2</f>
        <v>52</v>
      </c>
      <c r="E26">
        <f>D26*B26</f>
        <v>7789548</v>
      </c>
      <c r="F26">
        <f>D26*C26</f>
        <v>6257784</v>
      </c>
    </row>
    <row r="27" spans="1:8">
      <c r="A27" s="4" t="s">
        <v>23</v>
      </c>
      <c r="B27" s="22">
        <v>193483</v>
      </c>
      <c r="C27" s="9">
        <v>81739</v>
      </c>
      <c r="D27">
        <f>(55+59)/2</f>
        <v>57</v>
      </c>
      <c r="E27">
        <f>D27*B27</f>
        <v>11028531</v>
      </c>
      <c r="F27">
        <f>D27*C27</f>
        <v>4659123</v>
      </c>
    </row>
    <row r="28" spans="1:8">
      <c r="A28" s="4" t="s">
        <v>24</v>
      </c>
      <c r="B28" s="22">
        <v>142545</v>
      </c>
      <c r="C28" s="9">
        <v>52009</v>
      </c>
      <c r="D28">
        <f>(60+64)/2</f>
        <v>62</v>
      </c>
      <c r="E28">
        <f>D28*B28</f>
        <v>8837790</v>
      </c>
      <c r="F28">
        <f>D28*C28</f>
        <v>3224558</v>
      </c>
    </row>
    <row r="29" spans="1:8" ht="15.75" thickBot="1">
      <c r="A29" s="11" t="s">
        <v>25</v>
      </c>
      <c r="B29" s="23">
        <v>139472</v>
      </c>
      <c r="C29" s="13">
        <v>104254</v>
      </c>
      <c r="D29">
        <f>(65+70)/2</f>
        <v>67.5</v>
      </c>
      <c r="E29">
        <f>D29*B29</f>
        <v>9414360</v>
      </c>
      <c r="F29">
        <f>D29*C29</f>
        <v>7037145</v>
      </c>
    </row>
    <row r="30" spans="1:8" ht="16.5" thickTop="1" thickBot="1">
      <c r="A30" s="24" t="s">
        <v>17</v>
      </c>
      <c r="B30" s="25">
        <f>SUM(B23:B29)</f>
        <v>1088731</v>
      </c>
      <c r="C30" s="26">
        <f>SUM(C23:C29)</f>
        <v>763953</v>
      </c>
      <c r="E30">
        <f>SUM(E23:E29)</f>
        <v>53470922.5</v>
      </c>
      <c r="F30">
        <f>SUM(F23:F29)</f>
        <v>36429575</v>
      </c>
    </row>
    <row r="31" spans="1:8" ht="15.75" thickTop="1"/>
  </sheetData>
  <mergeCells count="6">
    <mergeCell ref="M3:N3"/>
    <mergeCell ref="A1:E1"/>
    <mergeCell ref="B3:C3"/>
    <mergeCell ref="D3:E3"/>
    <mergeCell ref="A20:F20"/>
    <mergeCell ref="K3:L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B1:R36"/>
  <sheetViews>
    <sheetView topLeftCell="A10" workbookViewId="0">
      <selection activeCell="F22" sqref="F22"/>
    </sheetView>
  </sheetViews>
  <sheetFormatPr baseColWidth="10" defaultRowHeight="15"/>
  <cols>
    <col min="1" max="1" width="2.85546875" customWidth="1"/>
    <col min="2" max="2" width="10" customWidth="1"/>
    <col min="7" max="7" width="5.5703125" customWidth="1"/>
    <col min="8" max="8" width="10" customWidth="1"/>
  </cols>
  <sheetData>
    <row r="1" spans="2:18">
      <c r="C1" s="54" t="s">
        <v>31</v>
      </c>
    </row>
    <row r="2" spans="2:18" ht="15.75" thickBot="1">
      <c r="M2" s="19"/>
      <c r="N2" s="19"/>
      <c r="O2" s="19"/>
      <c r="P2" s="19"/>
      <c r="Q2" s="19"/>
      <c r="R2" s="19"/>
    </row>
    <row r="3" spans="2:18">
      <c r="B3" s="55" t="s">
        <v>32</v>
      </c>
      <c r="C3" s="66" t="s">
        <v>33</v>
      </c>
      <c r="D3" s="67"/>
      <c r="M3" s="19"/>
      <c r="N3" s="19"/>
      <c r="O3" s="19"/>
      <c r="P3" s="19"/>
      <c r="Q3" s="19"/>
      <c r="R3" s="19"/>
    </row>
    <row r="4" spans="2:18" ht="15.75" thickBot="1">
      <c r="B4" s="56"/>
      <c r="C4" s="57">
        <v>1988</v>
      </c>
      <c r="D4" s="46">
        <v>2000</v>
      </c>
      <c r="M4" s="19"/>
      <c r="N4" s="19"/>
      <c r="O4" s="19"/>
      <c r="P4" s="19"/>
      <c r="Q4" s="58"/>
      <c r="R4" s="58"/>
    </row>
    <row r="5" spans="2:18">
      <c r="B5" s="34" t="s">
        <v>6</v>
      </c>
      <c r="C5" s="40">
        <f>'[1]base de données'!D4</f>
        <v>519032</v>
      </c>
      <c r="D5" s="41">
        <f>'[1]base de données'!E4</f>
        <v>361844</v>
      </c>
      <c r="M5" s="19"/>
      <c r="N5" s="68"/>
      <c r="O5" s="68"/>
      <c r="P5" s="19"/>
      <c r="Q5" s="19"/>
      <c r="R5" s="19"/>
    </row>
    <row r="6" spans="2:18">
      <c r="B6" s="49" t="s">
        <v>7</v>
      </c>
      <c r="C6" s="59">
        <f>C5+'[1]base de données'!D5</f>
        <v>3757244</v>
      </c>
      <c r="D6" s="60">
        <f>D5+'[1]base de données'!E5</f>
        <v>1825838</v>
      </c>
      <c r="M6" s="19"/>
      <c r="N6" s="19"/>
      <c r="O6" s="19"/>
      <c r="P6" s="19"/>
      <c r="Q6" s="19"/>
      <c r="R6" s="19"/>
    </row>
    <row r="7" spans="2:18">
      <c r="B7" s="49" t="s">
        <v>8</v>
      </c>
      <c r="C7" s="59">
        <f>C6+'[1]base de données'!D6</f>
        <v>8537547</v>
      </c>
      <c r="D7" s="60">
        <f>D6+'[1]base de données'!E6</f>
        <v>3873905</v>
      </c>
      <c r="M7" s="19"/>
      <c r="N7" s="61"/>
      <c r="O7" s="61"/>
      <c r="P7" s="19"/>
      <c r="Q7" s="19"/>
      <c r="R7" s="19"/>
    </row>
    <row r="8" spans="2:18">
      <c r="B8" s="49" t="s">
        <v>9</v>
      </c>
      <c r="C8" s="59">
        <f>C7+'[1]base de données'!D7</f>
        <v>13105309</v>
      </c>
      <c r="D8" s="60">
        <f>D7+'[1]base de données'!E7</f>
        <v>6491982</v>
      </c>
      <c r="M8" s="19"/>
      <c r="N8" s="61"/>
      <c r="O8" s="61"/>
      <c r="P8" s="19"/>
      <c r="Q8" s="19"/>
      <c r="R8" s="19"/>
    </row>
    <row r="9" spans="2:18">
      <c r="B9" s="49" t="s">
        <v>10</v>
      </c>
      <c r="C9" s="59">
        <f>C8+'[1]base de données'!D8</f>
        <v>18511468</v>
      </c>
      <c r="D9" s="60">
        <f>D8+'[1]base de données'!E8</f>
        <v>11123090</v>
      </c>
      <c r="M9" s="19"/>
      <c r="N9" s="61"/>
      <c r="O9" s="61"/>
      <c r="P9" s="19"/>
      <c r="Q9" s="19"/>
      <c r="R9" s="19"/>
    </row>
    <row r="10" spans="2:18">
      <c r="B10" s="49" t="s">
        <v>11</v>
      </c>
      <c r="C10" s="59">
        <f>C9+'[1]base de données'!D9</f>
        <v>21814220</v>
      </c>
      <c r="D10" s="60">
        <f>D9+'[1]base de données'!E9</f>
        <v>15153962</v>
      </c>
      <c r="M10" s="19"/>
      <c r="N10" s="61"/>
      <c r="O10" s="61"/>
      <c r="P10" s="19"/>
      <c r="Q10" s="19"/>
      <c r="R10" s="19"/>
    </row>
    <row r="11" spans="2:18">
      <c r="B11" s="49" t="s">
        <v>12</v>
      </c>
      <c r="C11" s="59">
        <f>C10+'[1]base de données'!D10</f>
        <v>23869989</v>
      </c>
      <c r="D11" s="60">
        <f>D10+'[1]base de données'!E10</f>
        <v>18396686</v>
      </c>
      <c r="M11" s="19"/>
      <c r="N11" s="61"/>
      <c r="O11" s="61"/>
      <c r="P11" s="19"/>
      <c r="Q11" s="19"/>
      <c r="R11" s="19"/>
    </row>
    <row r="12" spans="2:18">
      <c r="B12" s="49" t="s">
        <v>13</v>
      </c>
      <c r="C12" s="59">
        <f>C11+'[1]base de données'!D11</f>
        <v>25182264</v>
      </c>
      <c r="D12" s="60">
        <f>D11+'[1]base de données'!E11</f>
        <v>20746075</v>
      </c>
      <c r="M12" s="19"/>
      <c r="N12" s="61"/>
      <c r="O12" s="61"/>
      <c r="P12" s="19"/>
      <c r="Q12" s="19"/>
      <c r="R12" s="19"/>
    </row>
    <row r="13" spans="2:18">
      <c r="B13" s="49" t="s">
        <v>14</v>
      </c>
      <c r="C13" s="59">
        <f>C12+'[1]base de données'!D12</f>
        <v>26667849</v>
      </c>
      <c r="D13" s="60">
        <f>D12+'[1]base de données'!E12</f>
        <v>23809336</v>
      </c>
      <c r="M13" s="19"/>
      <c r="N13" s="61"/>
      <c r="O13" s="61"/>
      <c r="P13" s="19"/>
      <c r="Q13" s="19"/>
      <c r="R13" s="19"/>
    </row>
    <row r="14" spans="2:18">
      <c r="B14" s="49" t="s">
        <v>15</v>
      </c>
      <c r="C14" s="59">
        <f>C13+'[1]base de données'!D13</f>
        <v>27813358</v>
      </c>
      <c r="D14" s="60">
        <f>D13+'[1]base de données'!E13</f>
        <v>26374004</v>
      </c>
      <c r="M14" s="19"/>
      <c r="N14" s="61"/>
      <c r="O14" s="61"/>
      <c r="P14" s="19"/>
      <c r="Q14" s="19"/>
      <c r="R14" s="19"/>
    </row>
    <row r="15" spans="2:18" ht="15.75" thickBot="1">
      <c r="B15" s="36" t="s">
        <v>16</v>
      </c>
      <c r="C15" s="43">
        <f>C14+'[1]base de données'!D14</f>
        <v>28585798</v>
      </c>
      <c r="D15" s="62">
        <f>D14+'[1]base de données'!E14</f>
        <v>27856313</v>
      </c>
      <c r="M15" s="19"/>
      <c r="N15" s="61"/>
      <c r="O15" s="61"/>
      <c r="P15" s="19"/>
      <c r="Q15" s="19"/>
      <c r="R15" s="19"/>
    </row>
    <row r="16" spans="2:18">
      <c r="M16" s="19"/>
      <c r="N16" s="61"/>
      <c r="O16" s="61"/>
      <c r="P16" s="19"/>
      <c r="Q16" s="19"/>
      <c r="R16" s="19"/>
    </row>
    <row r="17" spans="2:18">
      <c r="M17" s="19"/>
      <c r="N17" s="61"/>
      <c r="O17" s="61"/>
      <c r="P17" s="19"/>
      <c r="Q17" s="19"/>
      <c r="R17" s="19"/>
    </row>
    <row r="18" spans="2:18" ht="15.75" thickBot="1">
      <c r="M18" s="19"/>
      <c r="N18" s="61"/>
      <c r="O18" s="61"/>
      <c r="P18" s="19"/>
      <c r="Q18" s="19"/>
      <c r="R18" s="19"/>
    </row>
    <row r="19" spans="2:18">
      <c r="B19" s="55" t="s">
        <v>34</v>
      </c>
      <c r="C19" s="69" t="s">
        <v>33</v>
      </c>
      <c r="D19" s="67"/>
      <c r="M19" s="19"/>
      <c r="N19" s="19"/>
      <c r="O19" s="19"/>
      <c r="P19" s="19"/>
      <c r="Q19" s="19"/>
      <c r="R19" s="19"/>
    </row>
    <row r="20" spans="2:18" ht="15.75" thickBot="1">
      <c r="B20" s="44"/>
      <c r="C20" s="45">
        <v>1988</v>
      </c>
      <c r="D20" s="46">
        <v>2000</v>
      </c>
      <c r="M20" s="19"/>
      <c r="N20" s="19"/>
      <c r="O20" s="19"/>
      <c r="P20" s="19"/>
      <c r="Q20" s="19"/>
      <c r="R20" s="19"/>
    </row>
    <row r="21" spans="2:18">
      <c r="B21" s="34" t="s">
        <v>6</v>
      </c>
      <c r="C21" s="47">
        <f>'[2]base de données'!D5/'[2]base de données'!$D$16</f>
        <v>1.8156988305871327E-2</v>
      </c>
      <c r="D21" s="48">
        <f>'[2]base de données'!E5/'[2]base de données'!$E$16</f>
        <v>1.2989658753475379E-2</v>
      </c>
    </row>
    <row r="22" spans="2:18">
      <c r="B22" s="49" t="s">
        <v>7</v>
      </c>
      <c r="C22" s="50">
        <f>C21+'[2]base de données'!D6/'[2]base de données'!$D$16</f>
        <v>0.13143743617022691</v>
      </c>
      <c r="D22" s="51">
        <f>D21+'[2]base de données'!E6/'[2]base de données'!$E$16</f>
        <v>6.5544855128530463E-2</v>
      </c>
    </row>
    <row r="23" spans="2:18">
      <c r="B23" s="49" t="s">
        <v>8</v>
      </c>
      <c r="C23" s="50">
        <f>C22+'[2]base de données'!D7/'[2]base de données'!$D$16</f>
        <v>0.29866393794568896</v>
      </c>
      <c r="D23" s="51">
        <f>D22+'[2]base de données'!E7/'[2]base de données'!$E$16</f>
        <v>0.13906739919242003</v>
      </c>
    </row>
    <row r="24" spans="2:18">
      <c r="B24" s="49" t="s">
        <v>9</v>
      </c>
      <c r="C24" s="50">
        <f>C23+'[2]base de données'!D8/'[2]base de données'!$D$16</f>
        <v>0.45845524410408273</v>
      </c>
      <c r="D24" s="51">
        <f>D23+'[2]base de données'!E8/'[2]base de données'!$E$16</f>
        <v>0.23305245026504404</v>
      </c>
    </row>
    <row r="25" spans="2:18">
      <c r="B25" s="49" t="s">
        <v>10</v>
      </c>
      <c r="C25" s="50">
        <f>C24+'[2]base de données'!D9/'[2]base de données'!$D$16</f>
        <v>0.64757569475583643</v>
      </c>
      <c r="D25" s="51">
        <f>D24+'[2]base de données'!E9/'[2]base de données'!$E$16</f>
        <v>0.39930230536970202</v>
      </c>
    </row>
    <row r="26" spans="2:18">
      <c r="B26" s="49" t="s">
        <v>11</v>
      </c>
      <c r="C26" s="50">
        <f>C25+'[2]base de données'!D10/'[2]base de données'!$D$16</f>
        <v>0.76311390712269078</v>
      </c>
      <c r="D26" s="51">
        <f>D25+'[2]base de données'!E10/'[2]base de données'!$E$16</f>
        <v>0.54400458524428552</v>
      </c>
    </row>
    <row r="27" spans="2:18">
      <c r="B27" s="49" t="s">
        <v>12</v>
      </c>
      <c r="C27" s="50">
        <f>C26+'[2]base de données'!D11/'[2]base de données'!$D$16</f>
        <v>0.83502965353634695</v>
      </c>
      <c r="D27" s="51">
        <f>D26+'[2]base de données'!E11/'[2]base de données'!$E$16</f>
        <v>0.66041352995997704</v>
      </c>
    </row>
    <row r="28" spans="2:18">
      <c r="B28" s="49" t="s">
        <v>13</v>
      </c>
      <c r="C28" s="50">
        <f>C27+'[2]base de données'!D12/'[2]base de données'!$D$16</f>
        <v>0.88093619076158025</v>
      </c>
      <c r="D28" s="51">
        <f>D27+'[2]base de données'!E12/'[2]base de données'!$E$16</f>
        <v>0.7447530834392907</v>
      </c>
    </row>
    <row r="29" spans="2:18">
      <c r="B29" s="49" t="s">
        <v>14</v>
      </c>
      <c r="C29" s="50">
        <f>C28+'[2]base de données'!D13/'[2]base de données'!$D$16</f>
        <v>0.93290552882238931</v>
      </c>
      <c r="D29" s="51">
        <f>D28+'[2]base de données'!E13/'[2]base de données'!$E$16</f>
        <v>0.85471957469748416</v>
      </c>
    </row>
    <row r="30" spans="2:18">
      <c r="B30" s="49" t="s">
        <v>15</v>
      </c>
      <c r="C30" s="50">
        <f>C29+'[2]base de données'!D14/'[2]base de données'!$D$16</f>
        <v>0.97297819007886355</v>
      </c>
      <c r="D30" s="51">
        <f>D29+'[2]base de données'!E14/'[2]base de données'!$E$16</f>
        <v>0.94678732250028919</v>
      </c>
    </row>
    <row r="31" spans="2:18" ht="15.75" thickBot="1">
      <c r="B31" s="36" t="s">
        <v>16</v>
      </c>
      <c r="C31" s="52">
        <f>C30+'[2]base de données'!D15/'[2]base de données'!$D$16</f>
        <v>0.99999999999999989</v>
      </c>
      <c r="D31" s="53">
        <f>D30+'[2]base de données'!E15/'[2]base de données'!$E$16</f>
        <v>0.99999999999999989</v>
      </c>
    </row>
    <row r="32" spans="2:18">
      <c r="C32" s="61"/>
      <c r="D32" s="61"/>
    </row>
    <row r="33" spans="2:4">
      <c r="C33" s="19"/>
      <c r="D33" s="19"/>
    </row>
    <row r="35" spans="2:4">
      <c r="B35" s="19"/>
      <c r="C35" s="19"/>
    </row>
    <row r="36" spans="2:4">
      <c r="B36" s="19"/>
      <c r="C36" s="19"/>
    </row>
  </sheetData>
  <mergeCells count="3">
    <mergeCell ref="C3:D3"/>
    <mergeCell ref="N5:O5"/>
    <mergeCell ref="C19:D19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6"/>
  <dimension ref="A1:F20"/>
  <sheetViews>
    <sheetView tabSelected="1" topLeftCell="A4" workbookViewId="0">
      <selection activeCell="B20" sqref="B20"/>
    </sheetView>
  </sheetViews>
  <sheetFormatPr baseColWidth="10" defaultRowHeight="15"/>
  <cols>
    <col min="1" max="1" width="53.42578125" bestFit="1" customWidth="1"/>
    <col min="2" max="2" width="16.140625" customWidth="1"/>
  </cols>
  <sheetData>
    <row r="1" spans="1:6">
      <c r="B1" s="27" t="s">
        <v>26</v>
      </c>
    </row>
    <row r="5" spans="1:6" ht="15.75" thickBot="1"/>
    <row r="6" spans="1:6" ht="15.75" thickBot="1">
      <c r="B6" s="28"/>
      <c r="C6" s="70" t="s">
        <v>1</v>
      </c>
      <c r="D6" s="71"/>
      <c r="E6" s="70" t="s">
        <v>2</v>
      </c>
      <c r="F6" s="71"/>
    </row>
    <row r="7" spans="1:6" ht="15.75" thickBot="1">
      <c r="B7" s="29"/>
      <c r="C7" s="30">
        <v>1988</v>
      </c>
      <c r="D7" s="31">
        <v>2000</v>
      </c>
      <c r="E7" s="32">
        <v>1988</v>
      </c>
      <c r="F7" s="33">
        <v>2000</v>
      </c>
    </row>
    <row r="8" spans="1:6">
      <c r="A8" t="s">
        <v>37</v>
      </c>
      <c r="B8" s="34" t="s">
        <v>27</v>
      </c>
      <c r="C8" s="35" t="str">
        <f>INDEX(bdd!$A5:$A15,MATCH(tab1ClassMedMod!C9,bdd!B5:B15,0),1)</f>
        <v>[5;20[</v>
      </c>
      <c r="D8" s="35" t="str">
        <f>INDEX(bdd!$A5:$A15,MATCH(tab1ClassMedMod!D9,bdd!C5:C15,0),1)</f>
        <v>[0;5[</v>
      </c>
      <c r="E8" s="35" t="str">
        <f>INDEX(bdd!$A5:$A15,MATCH(tab1ClassMedMod!E9,bdd!D5:D15,0),1)</f>
        <v>[50;75[</v>
      </c>
      <c r="F8" s="35" t="str">
        <f>INDEX(bdd!$A5:$A15,MATCH(tab1ClassMedMod!F9,bdd!E5:E15,0),1)</f>
        <v>[50;75[</v>
      </c>
    </row>
    <row r="9" spans="1:6" ht="15.75" thickBot="1">
      <c r="A9" t="s">
        <v>36</v>
      </c>
      <c r="B9" s="36" t="s">
        <v>28</v>
      </c>
      <c r="C9" s="35">
        <f>MAX(bdd!B5:B15)</f>
        <v>278473</v>
      </c>
      <c r="D9" s="35">
        <f>MAX(bdd!C5:C15)</f>
        <v>193358</v>
      </c>
      <c r="E9" s="35">
        <f>MAX(bdd!D5:D15)</f>
        <v>5406159</v>
      </c>
      <c r="F9" s="35">
        <f>MAX(bdd!E5:E15)</f>
        <v>4631108</v>
      </c>
    </row>
    <row r="10" spans="1:6">
      <c r="B10" s="19"/>
      <c r="C10" s="19"/>
      <c r="D10" s="19"/>
      <c r="E10" s="19"/>
      <c r="F10" s="19"/>
    </row>
    <row r="11" spans="1:6">
      <c r="B11" s="19"/>
      <c r="C11" s="19"/>
      <c r="D11" s="19"/>
      <c r="E11" s="19"/>
      <c r="F11" s="19"/>
    </row>
    <row r="12" spans="1:6">
      <c r="B12" s="19"/>
      <c r="C12" s="19"/>
      <c r="D12" s="19"/>
      <c r="E12" s="19"/>
      <c r="F12" s="19"/>
    </row>
    <row r="13" spans="1:6">
      <c r="B13" s="19"/>
      <c r="C13" s="19"/>
      <c r="D13" s="19"/>
      <c r="E13" s="19"/>
      <c r="F13" s="19"/>
    </row>
    <row r="14" spans="1:6" ht="15.75" thickBot="1">
      <c r="B14" s="19"/>
      <c r="C14" s="19"/>
      <c r="D14" s="19"/>
      <c r="E14" s="19"/>
      <c r="F14" s="19"/>
    </row>
    <row r="15" spans="1:6" ht="15.75" thickBot="1">
      <c r="B15" s="37"/>
      <c r="C15" s="72" t="s">
        <v>1</v>
      </c>
      <c r="D15" s="73"/>
      <c r="E15" s="72" t="s">
        <v>2</v>
      </c>
      <c r="F15" s="73"/>
    </row>
    <row r="16" spans="1:6" ht="15.75" thickBot="1">
      <c r="B16" s="38"/>
      <c r="C16" s="32">
        <v>1988</v>
      </c>
      <c r="D16" s="33">
        <v>2000</v>
      </c>
      <c r="E16" s="32">
        <v>1988</v>
      </c>
      <c r="F16" s="33">
        <v>2000</v>
      </c>
    </row>
    <row r="17" spans="1:6">
      <c r="A17" t="s">
        <v>38</v>
      </c>
      <c r="B17" s="39" t="s">
        <v>29</v>
      </c>
      <c r="C17" s="40" t="str">
        <f>INDEX(bdd!$J$5:$J$15,bdd!O16-1,1)</f>
        <v>[0;5[</v>
      </c>
      <c r="D17" s="40" t="str">
        <f>INDEX(bdd!$J$5:$J$15,bdd!P16-1,1)</f>
        <v>[5;20[</v>
      </c>
      <c r="E17" s="40" t="str">
        <f>INDEX(bdd!$J$5:$J$15,bdd!Q16-1,1)</f>
        <v>[35;50[</v>
      </c>
      <c r="F17" s="40" t="str">
        <f>INDEX(bdd!$J$5:$J$15,bdd!R16-1,1)</f>
        <v>[50;75[</v>
      </c>
    </row>
    <row r="18" spans="1:6" ht="15.75" thickBot="1">
      <c r="A18" t="s">
        <v>39</v>
      </c>
      <c r="B18" s="42" t="s">
        <v>30</v>
      </c>
      <c r="C18" s="43">
        <f>MEDIAN('[2]base de données'!B5:B15)</f>
        <v>38636</v>
      </c>
      <c r="D18" s="43">
        <f>MEDIAN('[2]base de données'!C5:C15)</f>
        <v>46680</v>
      </c>
      <c r="E18" s="43">
        <f>MEDIAN('[2]base de données'!D5:D15)</f>
        <v>2055769</v>
      </c>
      <c r="F18" s="43">
        <f>MEDIAN('[2]base de données'!E5:E15)</f>
        <v>2564668</v>
      </c>
    </row>
    <row r="19" spans="1:6">
      <c r="B19" s="19"/>
      <c r="C19" s="19"/>
      <c r="D19" s="19"/>
      <c r="E19" s="19"/>
      <c r="F19" s="19"/>
    </row>
    <row r="20" spans="1:6">
      <c r="B20" s="19"/>
      <c r="C20" s="19"/>
      <c r="D20" s="19"/>
      <c r="E20" s="19"/>
      <c r="F20" s="19"/>
    </row>
  </sheetData>
  <mergeCells count="4">
    <mergeCell ref="C6:D6"/>
    <mergeCell ref="E6:F6"/>
    <mergeCell ref="C15:D15"/>
    <mergeCell ref="E15:F15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tab1EFF2</vt:lpstr>
      <vt:lpstr>tab1ClassMedMod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</dc:creator>
  <cp:lastModifiedBy>claudelf</cp:lastModifiedBy>
  <dcterms:created xsi:type="dcterms:W3CDTF">2012-05-10T16:07:18Z</dcterms:created>
  <dcterms:modified xsi:type="dcterms:W3CDTF">2012-05-11T12:44:59Z</dcterms:modified>
</cp:coreProperties>
</file>