
<file path=[Content_Types].xml><?xml version="1.0" encoding="utf-8"?>
<Types xmlns="http://schemas.openxmlformats.org/package/2006/content-types">
  <Default Extension="bin" ContentType="application/vnd.openxmlformats-officedocument.spreadsheetml.printerSettings"/>
  <Override PartName="/xl/queryTables/queryTable1.xml" ContentType="application/vnd.openxmlformats-officedocument.spreadsheetml.queryTable+xml"/>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nnections.xml" ContentType="application/vnd.openxmlformats-officedocument.spreadsheetml.connections+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B7FE6334-C1A2-E50D-BD3D-5F4D41BBC2E3}"/>
  <workbookPr codeName="ThisWorkbook" defaultThemeVersion="124226"/>
  <bookViews>
    <workbookView xWindow="480" yWindow="135" windowWidth="14370" windowHeight="7635" tabRatio="666" firstSheet="1" activeTab="10"/>
  </bookViews>
  <sheets>
    <sheet name="Paramètres Cotation" sheetId="14" state="hidden" r:id="rId1"/>
    <sheet name="Conso" sheetId="20" r:id="rId2"/>
    <sheet name="Risk N°1" sheetId="21" r:id="rId3"/>
    <sheet name="Risk N°2" sheetId="71" r:id="rId4"/>
    <sheet name="Paramètres" sheetId="17" state="hidden" r:id="rId5"/>
    <sheet name="Tableau des risques brut" sheetId="1" state="hidden" r:id="rId6"/>
    <sheet name="Tableau des risques net" sheetId="15" state="hidden" r:id="rId7"/>
    <sheet name="Procédure" sheetId="18" state="hidden" r:id="rId8"/>
    <sheet name="Annexes" sheetId="19" state="hidden" r:id="rId9"/>
    <sheet name="Scoring " sheetId="70" state="hidden" r:id="rId10"/>
    <sheet name="Cartographie des risques global" sheetId="3" r:id="rId11"/>
    <sheet name="Cartographies séparées BrutNet" sheetId="66" r:id="rId12"/>
    <sheet name="Criticité" sheetId="69" r:id="rId13"/>
  </sheets>
  <functionGroups/>
  <definedNames>
    <definedName name="_" localSheetId="11">'Cartographies séparées BrutNet'!$F$8</definedName>
    <definedName name="_">'Cartographie des risques global'!$F$8</definedName>
    <definedName name="_xlnm._FilterDatabase" localSheetId="8" hidden="1">Annexes!$A$54:$H$54</definedName>
    <definedName name="_xlnm._FilterDatabase" localSheetId="1" hidden="1">Conso!$A$1:$AB$54</definedName>
    <definedName name="_xlnm._FilterDatabase" localSheetId="5" hidden="1">'Tableau des risques brut'!$A$1:$BW$13</definedName>
    <definedName name="_xlnm._FilterDatabase" localSheetId="6" hidden="1">'Tableau des risques net'!$A$1:$BW$40</definedName>
    <definedName name="Autres">Paramètres!$F$27</definedName>
    <definedName name="Choix">Paramètres!$G$11:$G$12</definedName>
    <definedName name="Classeur1_1" localSheetId="8">Annexes!$A$55:$F$129</definedName>
    <definedName name="Client_Image_Réputation">Paramètres!$P$4:$P$9</definedName>
    <definedName name="Conformité_Réglementaire">Paramètres!$N$4:$N$6</definedName>
    <definedName name="Conséquence">Paramètres!$N$3:$Q$3</definedName>
    <definedName name="Cotation_DMR">'Scoring '!$D$56:$D$59</definedName>
    <definedName name="Cotation_DMR2">'Scoring '!$B$56:$C$59</definedName>
    <definedName name="criticité">'Paramètres Cotation'!$A$11:$A$16</definedName>
    <definedName name="CriticiteBrut1">'Tableau des risques brut'!$BG$3:$BG$110</definedName>
    <definedName name="CriticiteBrut10">'Tableau des risques brut'!$BM$3:$BM$110</definedName>
    <definedName name="CriticiteBrut11">'Tableau des risques brut'!$BQ$3:$BQ$110</definedName>
    <definedName name="CriticiteBrut12">'Tableau des risques brut'!$BR$3:$BR$110</definedName>
    <definedName name="CriticiteBrut13">'Tableau des risques brut'!$BT$3:$BT$110</definedName>
    <definedName name="CriticiteBrut14">'Tableau des risques brut'!$BV$3:$BV$110</definedName>
    <definedName name="CriticiteBrut15">'Tableau des risques brut'!$BN$3:$BN$110</definedName>
    <definedName name="CriticiteBrut16">'Tableau des risques brut'!$BS$3:$BS$110</definedName>
    <definedName name="CriticiteBrut2">'Tableau des risques brut'!$BH$3:$BH$110</definedName>
    <definedName name="CriticiteBrut3">'Tableau des risques brut'!$BI$3:$BI$110</definedName>
    <definedName name="CriticiteBrut4">'Tableau des risques brut'!$BJ$3:$BJ$110</definedName>
    <definedName name="CriticiteBrut5">'Tableau des risques brut'!$BL$3:$BL$110</definedName>
    <definedName name="CriticiteBrut6">'Tableau des risques brut'!$BO$3:$BO$110</definedName>
    <definedName name="CriticiteBrut7">'Tableau des risques brut'!$BP$3:$BP$110</definedName>
    <definedName name="CriticiteBrut8">'Tableau des risques brut'!$BK$3:$BK$110</definedName>
    <definedName name="CriticiteBrut9">'Tableau des risques brut'!$BU$3:$BU$110</definedName>
    <definedName name="CriticiteNet1">'Tableau des risques net'!$BG$3:$BG$112</definedName>
    <definedName name="CriticiteNet10">'Tableau des risques net'!$BM$3:$BM$112</definedName>
    <definedName name="CriticiteNet11">'Tableau des risques net'!$BQ$3:$BQ$112</definedName>
    <definedName name="CriticiteNet12">'Tableau des risques net'!$BR$3:$BR$112</definedName>
    <definedName name="CriticiteNet13">'Tableau des risques net'!$BT$3:$BT$112</definedName>
    <definedName name="CriticiteNet14">'Tableau des risques net'!$BV$3:$BV$112</definedName>
    <definedName name="CriticiteNet15">'Tableau des risques net'!$BN$3:$BN$112</definedName>
    <definedName name="CriticiteNet16">'Tableau des risques net'!$BS$3:$BS$112</definedName>
    <definedName name="CriticiteNet2">'Tableau des risques net'!$BH$3:$BH$112</definedName>
    <definedName name="CriticiteNet3">'Tableau des risques net'!$BI$3:$BI$112</definedName>
    <definedName name="CriticiteNet4">'Tableau des risques net'!$BJ$3:$BJ$112</definedName>
    <definedName name="CriticiteNet5">'Tableau des risques net'!$BL$3:$BL$112</definedName>
    <definedName name="CriticiteNet6">'Tableau des risques net'!$BO$3:$BO$112</definedName>
    <definedName name="CriticiteNet7">'Tableau des risques net'!$BP$3:$BP$112</definedName>
    <definedName name="CriticiteNet8">'Tableau des risques net'!$BK$3:$BK$112</definedName>
    <definedName name="CriticiteNet9">'Tableau des risques net'!$BU$3:$BU$112</definedName>
    <definedName name="csqrisk">Paramètres!$N$3:$Q$3</definedName>
    <definedName name="Direction_Action_Sociale_Culturelle.">Paramètres!$O$25</definedName>
    <definedName name="Direction_du_Cabinet.">Paramètres!$K$25:$K$27</definedName>
    <definedName name="Direction_Finance_Risques.">Paramètres!$Q$25:$Q$28</definedName>
    <definedName name="Direction_Instances_Juridique_Institutionnel.">Paramètres!$P$25</definedName>
    <definedName name="Direction_Relation_Adhérent.">Paramètres!$J$25:$J$26</definedName>
    <definedName name="Direction_Relation_Adhérent.Act">Paramètres!$L$39:$L$40</definedName>
    <definedName name="Direction_Relation_Adhérent.Ctrl">Paramètres!$L$57:$L$59</definedName>
    <definedName name="Direction_Relation_Adhérent.PM">Paramètres!$L$64:$L$67</definedName>
    <definedName name="Direction_Relation_Adhérent.PO">Paramètres!$L$72:$L$73</definedName>
    <definedName name="Direction_Relation_Adhérent.Risk">Paramètres!$L$48:$L$50</definedName>
    <definedName name="Direction_Relation_Clients.">Paramètres!$L$25:$L$26</definedName>
    <definedName name="Direction_Relation_Prestations_Clients.">Paramètres!$M$25:$M$27</definedName>
    <definedName name="Direction_Relation_Prestations_Clients.Act">Paramètres!$M$39:$M$41</definedName>
    <definedName name="Direction_Relation_Prestations_Clients.Ctrl">Paramètres!$M$57:$M$58</definedName>
    <definedName name="Direction_Relation_Prestations_Clients.PM">Paramètres!$M$64:$M$67</definedName>
    <definedName name="Direction_Relation_Prestations_Clients.PO">Paramètres!$M$72:$M$73</definedName>
    <definedName name="Direction_Relation_Prestations_Clients.Risk">Paramètres!$M$48:$M$49</definedName>
    <definedName name="Direction_Réseau_Clients_Marketing_Communication.">Paramètres!$N$25:$N$30</definedName>
    <definedName name="Direction_Ressources_Humaines.">Paramètres!$S$25</definedName>
    <definedName name="Direction_SI_Moyens__Généraux.">Paramètres!$T$25:$T$28</definedName>
    <definedName name="Direction_Technique_Stratégie_Assurentielle.">Paramètres!$R$25</definedName>
    <definedName name="Directions">Paramètres!$I$21:$I$31</definedName>
    <definedName name="DMR">'Paramètres Cotation'!$C$2:$C$5</definedName>
    <definedName name="DMR_Homme">'Scoring '!$B$64:$C$67</definedName>
    <definedName name="DMR_Procedure">'Scoring '!$B$76:$C$79</definedName>
    <definedName name="DMR_Reglementaire">'Scoring '!$B$83:$C$86</definedName>
    <definedName name="DMR_SI">'Scoring '!$B$70:$C$73</definedName>
    <definedName name="Domaine">Paramètres!$C$26:$G$26</definedName>
    <definedName name="Externes">Paramètres!$I$4:$I$10</definedName>
    <definedName name="Financier">Paramètres!$O$4:$O$8</definedName>
    <definedName name="Imp">'Paramètres Cotation'!$D$2:$D$7</definedName>
    <definedName name="Impact_Brut">'Scoring '!$D$11:$D$16</definedName>
    <definedName name="Impact_Brut2">'Scoring '!$B$11:$C$16</definedName>
    <definedName name="IMPACT1" localSheetId="6">'Tableau des risques net'!$C$3:$C$112</definedName>
    <definedName name="IMPACT2" localSheetId="6">'Tableau des risques net'!$D$3:$D$112</definedName>
    <definedName name="IMPACT3" localSheetId="6">'Tableau des risques net'!$H$3:$H$112</definedName>
    <definedName name="Impacts_Clients">'Scoring '!$B$28:$C$33</definedName>
    <definedName name="Impacts_Conformité">'Scoring '!$B$37:$C$42</definedName>
    <definedName name="Impacts_Financiers">'Scoring '!$B$20:$C$25</definedName>
    <definedName name="Impacts_Stratégie">'Scoring '!$B$46:$C$51</definedName>
    <definedName name="Impp">Paramètres!$D$2:$D$7</definedName>
    <definedName name="_xlnm.Print_Titles" localSheetId="5">'Tableau des risques brut'!$1:$2</definedName>
    <definedName name="_xlnm.Print_Titles" localSheetId="6">'Tableau des risques net'!$1:$2</definedName>
    <definedName name="MATURITE1" localSheetId="6">'Tableau des risques net'!$BC$3:$BC$112</definedName>
    <definedName name="MATURITE2" localSheetId="6">'Tableau des risques net'!$BD$3:$BD$112</definedName>
    <definedName name="MATURITE3" localSheetId="6">'Tableau des risques net'!$BF$3:$BF$112</definedName>
    <definedName name="Nature_perte">Paramètres!$G$16:$G$21</definedName>
    <definedName name="Nom_Risk_Net">'Tableau des risques net'!$BW$3:$BW$42</definedName>
    <definedName name="NUMERO_RISQUE_BRUT">'Tableau des risques brut'!$A$3:$A$110</definedName>
    <definedName name="NUMERO_RISQUE_CRIT">'Tableau des risques brut'!$BW$3:$BW$42</definedName>
    <definedName name="NUMERO_RISQUE_NET">'Tableau des risques net'!$A$3:$A$112</definedName>
    <definedName name="origine_de_détection">Paramètres!$H$2:$H$9</definedName>
    <definedName name="Pilotage">Paramètres!$M$4:$M$9</definedName>
    <definedName name="Prévoyance">Paramètres!$D$27</definedName>
    <definedName name="Priorité">Paramètres!$E$2:$E$4</definedName>
    <definedName name="Proba">'Paramètres Cotation'!$A$2:$A$7</definedName>
    <definedName name="Proba_Brut">'Scoring '!$D$3:$D$8</definedName>
    <definedName name="Proba_Brut2">'Scoring '!$B$3:$C$8</definedName>
    <definedName name="PROBABILITE1" localSheetId="6">'Tableau des risques net'!$I$3:$I$112</definedName>
    <definedName name="PROBABILITE2" localSheetId="6">'Tableau des risques net'!$J$3:$J$112</definedName>
    <definedName name="PROBABILITE3" localSheetId="6">'Tableau des risques net'!$N$3:$N$112</definedName>
    <definedName name="Processus_Procédure">Paramètres!$K$4:$K$6</definedName>
    <definedName name="RB">'Paramètres Cotation'!$B$2:$B$5</definedName>
    <definedName name="Ressources_Humaines">Paramètres!$J$4:$J$8</definedName>
    <definedName name="Retraite">Paramètres!$C$27:$C$29</definedName>
    <definedName name="Risk_Nom_Criticite">'Tableau des risques brut'!$BW$4:$BW$42</definedName>
    <definedName name="RisqueBrut1">'Tableau des risques brut'!$O$3:$O$110</definedName>
    <definedName name="RisqueBrut10">'Tableau des risques brut'!$X$3:$X$110</definedName>
    <definedName name="RisqueBrut11">'Tableau des risques brut'!$Y$3:$Y$110</definedName>
    <definedName name="RisqueBrut12">'Tableau des risques brut'!$Z$3:$Z$110</definedName>
    <definedName name="RisqueBrut13">'Tableau des risques brut'!$AA$3:$AA$110</definedName>
    <definedName name="RisqueBrut14">'Tableau des risques brut'!$AB$3:$AB$110</definedName>
    <definedName name="RisqueBrut15">'Tableau des risques brut'!$AC$3:$AC$110</definedName>
    <definedName name="RisqueBrut16">'Tableau des risques brut'!$AD$3:$AD$110</definedName>
    <definedName name="RisqueBrut17">'Tableau des risques brut'!$AE$3:$AE$110</definedName>
    <definedName name="RisqueBrut18">'Tableau des risques brut'!$AF$3:$AF$110</definedName>
    <definedName name="RisqueBrut19">'Tableau des risques brut'!$AG$3:$AG$110</definedName>
    <definedName name="RisqueBrut2">'Tableau des risques brut'!$P$3:$P$110</definedName>
    <definedName name="RisqueBrut20">'Tableau des risques brut'!$AH$3:$AH$110</definedName>
    <definedName name="RisqueBrut21">'Tableau des risques brut'!$AI$3:$AI$110</definedName>
    <definedName name="RisqueBrut22">'Tableau des risques brut'!$AJ$3:$AJ$110</definedName>
    <definedName name="RisqueBrut23">'Tableau des risques brut'!$AK$3:$AK$110</definedName>
    <definedName name="RisqueBrut24">'Tableau des risques brut'!$AL$3:$AL$110</definedName>
    <definedName name="RisqueBrut25">'Tableau des risques brut'!$AM$3:$AM$110</definedName>
    <definedName name="RisqueBrut26">'Tableau des risques brut'!$AN$3:$AN$110</definedName>
    <definedName name="RisqueBrut27">'Tableau des risques brut'!$AO$3:$AO$110</definedName>
    <definedName name="RisqueBrut28">'Tableau des risques brut'!$AP$3:$AP$110</definedName>
    <definedName name="RisqueBrut29">'Tableau des risques brut'!$AQ$3:$AQ$110</definedName>
    <definedName name="RisqueBrut3">'Tableau des risques brut'!$Q$3:$Q$110</definedName>
    <definedName name="RisqueBrut30" localSheetId="6">'Tableau des risques net'!$AR$3:$AR$112</definedName>
    <definedName name="RisqueBrut30">'Tableau des risques brut'!$AR$3:$AR$110</definedName>
    <definedName name="RisqueBrut31">'Tableau des risques brut'!$AS$3:$AS$110</definedName>
    <definedName name="RisqueBrut32">'Tableau des risques brut'!$AT$3:$AT$110</definedName>
    <definedName name="RisqueBrut33">'Tableau des risques brut'!$AU$3:$AU$110</definedName>
    <definedName name="RisqueBrut34">'Tableau des risques brut'!$AV$3:$AV$110</definedName>
    <definedName name="RisqueBrut35">'Tableau des risques brut'!$AW$3:$AW$110</definedName>
    <definedName name="RisqueBrut36">'Tableau des risques brut'!$AX$3:$AX$110</definedName>
    <definedName name="RisqueBrut4">'Tableau des risques brut'!$R$3:$R$110</definedName>
    <definedName name="RisqueBrut5">'Tableau des risques brut'!$S$3:$S$110</definedName>
    <definedName name="RisqueBrut6">'Tableau des risques brut'!$BO$3:$BO$110</definedName>
    <definedName name="RisqueBrut7">'Tableau des risques brut'!$U$3:$U$110</definedName>
    <definedName name="RisqueBrut8">'Tableau des risques brut'!$V$3:$V$110</definedName>
    <definedName name="RisqueBrut9">'Tableau des risques brut'!$W$3:$W$110</definedName>
    <definedName name="RisqueNet1">'Tableau des risques net'!$O$3:$O$112</definedName>
    <definedName name="RisqueNet10">'Tableau des risques net'!$X$3:$X$112</definedName>
    <definedName name="RisqueNet11">'Tableau des risques net'!$Y$3:$Y$112</definedName>
    <definedName name="RisqueNet12">'Tableau des risques net'!$Z$3:$Z$112</definedName>
    <definedName name="RisqueNet13">'Tableau des risques net'!$AA$3:$AA$112</definedName>
    <definedName name="RisqueNet14">'Tableau des risques net'!$AB$3:$AB$112</definedName>
    <definedName name="RisqueNet15">'Tableau des risques net'!$AC$3:$AC$112</definedName>
    <definedName name="RisqueNet16">'Tableau des risques net'!$AD$3:$AD$112</definedName>
    <definedName name="RisqueNet17">'Tableau des risques net'!$AE$3:$AE$112</definedName>
    <definedName name="RisqueNet18">'Tableau des risques net'!$AF$3:$AF$112</definedName>
    <definedName name="RisqueNet19">'Tableau des risques net'!$AG$3:$AG$112</definedName>
    <definedName name="RisqueNet2">'Tableau des risques net'!$P$3:$P$112</definedName>
    <definedName name="RisqueNet20">'Tableau des risques net'!$AH$3:$AH$112</definedName>
    <definedName name="RisqueNet21">'Tableau des risques net'!$AI$3:$AI$112</definedName>
    <definedName name="RisqueNet22">'Tableau des risques net'!$AJ$3:$AJ$112</definedName>
    <definedName name="RisqueNet23">'Tableau des risques net'!$AK$3:$AK$112</definedName>
    <definedName name="RisqueNet24">'Tableau des risques net'!$AL$3:$AL$112</definedName>
    <definedName name="RisqueNet25">'Tableau des risques net'!$AM$3:$AM$112</definedName>
    <definedName name="RisqueNet26">'Tableau des risques net'!$AN$3:$AN$112</definedName>
    <definedName name="RisqueNet27">'Tableau des risques net'!$AO$3:$AO$112</definedName>
    <definedName name="RisqueNet28">'Tableau des risques net'!$AP$3:$AP$112</definedName>
    <definedName name="RisqueNet29">'Tableau des risques net'!$AQ$3:$AQ$112</definedName>
    <definedName name="RisqueNet3">'Tableau des risques net'!$Q$3:$Q$112</definedName>
    <definedName name="RisqueNet30">'Tableau des risques net'!$AR$3:$AR$112</definedName>
    <definedName name="RisqueNet31">'Tableau des risques net'!$AS$3:$AS$112</definedName>
    <definedName name="RisqueNet32">'Tableau des risques net'!$AT$3:$AT$112</definedName>
    <definedName name="RisqueNet33">'Tableau des risques net'!$AU$3:$AU$112</definedName>
    <definedName name="RisqueNet34">'Tableau des risques net'!$AV$3:$AV$112</definedName>
    <definedName name="RisqueNet35">'Tableau des risques net'!$AW$3:$AW$112</definedName>
    <definedName name="RisqueNet36">'Tableau des risques net'!$AX$3:$AX$112</definedName>
    <definedName name="RisqueNet4">'Tableau des risques net'!$R$3:$R$112</definedName>
    <definedName name="RisqueNet5">'Tableau des risques net'!$S$3:$S$112</definedName>
    <definedName name="RisqueNet6">'Tableau des risques net'!$T$3:$T$112</definedName>
    <definedName name="RisqueNet7">'Tableau des risques net'!$U$3:$U$112</definedName>
    <definedName name="RisqueNet8">'Tableau des risques net'!$V$3:$V$112</definedName>
    <definedName name="RisqueNet9">'Tableau des risques net'!$W$3:$W$112</definedName>
    <definedName name="Santé">Paramètres!$E$27</definedName>
    <definedName name="Scoring">Annexes!$C$34</definedName>
    <definedName name="SI">Paramètres!$L$4:$L$7</definedName>
    <definedName name="Stratégique">Paramètres!$Q$4:$Q$7</definedName>
    <definedName name="Toutes">Paramètres!$G$27</definedName>
    <definedName name="_xlnm.Print_Area" localSheetId="10">'Cartographie des risques global'!$A$1:$T$14</definedName>
    <definedName name="_xlnm.Print_Area" localSheetId="11">'Cartographies séparées BrutNet'!$A$1:$L$17</definedName>
    <definedName name="_xlnm.Print_Area" localSheetId="12">Criticité!$A$1:$I$13</definedName>
  </definedNames>
  <calcPr calcId="125725"/>
</workbook>
</file>

<file path=xl/calcChain.xml><?xml version="1.0" encoding="utf-8"?>
<calcChain xmlns="http://schemas.openxmlformats.org/spreadsheetml/2006/main">
  <c r="AB54" i="20"/>
  <c r="C42" i="21" l="1"/>
  <c r="C44"/>
  <c r="C44" i="71"/>
  <c r="C42"/>
  <c r="F37"/>
  <c r="F36"/>
  <c r="F35"/>
  <c r="F34"/>
  <c r="F30"/>
  <c r="F29"/>
  <c r="F28"/>
  <c r="F27"/>
  <c r="F23"/>
  <c r="F22"/>
  <c r="F20"/>
  <c r="F18"/>
  <c r="F17"/>
  <c r="G6"/>
  <c r="H5"/>
  <c r="G5"/>
  <c r="B5"/>
  <c r="H2"/>
  <c r="G2"/>
  <c r="F30" i="21" l="1"/>
  <c r="F29"/>
  <c r="F28"/>
  <c r="F27"/>
  <c r="F37"/>
  <c r="F36"/>
  <c r="F35"/>
  <c r="F34"/>
  <c r="F23"/>
  <c r="F22"/>
  <c r="F20"/>
  <c r="F18"/>
  <c r="F17"/>
  <c r="R41" i="20"/>
  <c r="R42"/>
  <c r="R43"/>
  <c r="R44"/>
  <c r="R45"/>
  <c r="R46"/>
  <c r="R47"/>
  <c r="R48"/>
  <c r="R49"/>
  <c r="R50"/>
  <c r="R51"/>
  <c r="R52"/>
  <c r="R53"/>
  <c r="R54"/>
  <c r="Q41"/>
  <c r="Q42"/>
  <c r="Q43"/>
  <c r="Q44"/>
  <c r="Q45"/>
  <c r="Q46"/>
  <c r="Q47"/>
  <c r="Q48"/>
  <c r="Q49"/>
  <c r="Q50"/>
  <c r="Q51"/>
  <c r="Q52"/>
  <c r="Q53"/>
  <c r="Q54"/>
  <c r="P41"/>
  <c r="P42"/>
  <c r="P43"/>
  <c r="P44"/>
  <c r="P45"/>
  <c r="P46"/>
  <c r="P47"/>
  <c r="P48"/>
  <c r="P49"/>
  <c r="P50"/>
  <c r="P51"/>
  <c r="P52"/>
  <c r="P53"/>
  <c r="P54"/>
  <c r="O41"/>
  <c r="O42"/>
  <c r="O43"/>
  <c r="O44"/>
  <c r="O45"/>
  <c r="O46"/>
  <c r="O47"/>
  <c r="O48"/>
  <c r="O49"/>
  <c r="O50"/>
  <c r="O51"/>
  <c r="O52"/>
  <c r="O53"/>
  <c r="O54"/>
  <c r="N41"/>
  <c r="N42"/>
  <c r="N43"/>
  <c r="N44"/>
  <c r="N45"/>
  <c r="N46"/>
  <c r="N47"/>
  <c r="N48"/>
  <c r="N49"/>
  <c r="N50"/>
  <c r="N51"/>
  <c r="N52"/>
  <c r="N53"/>
  <c r="N54"/>
  <c r="M41"/>
  <c r="M42"/>
  <c r="M43"/>
  <c r="M44"/>
  <c r="M45"/>
  <c r="M46"/>
  <c r="M47"/>
  <c r="M48"/>
  <c r="M49"/>
  <c r="M50"/>
  <c r="M51"/>
  <c r="M52"/>
  <c r="M53"/>
  <c r="M54"/>
  <c r="L41"/>
  <c r="L42"/>
  <c r="L43"/>
  <c r="L44"/>
  <c r="L45"/>
  <c r="L46"/>
  <c r="L47"/>
  <c r="L48"/>
  <c r="L49"/>
  <c r="L50"/>
  <c r="L51"/>
  <c r="L52"/>
  <c r="L53"/>
  <c r="L54"/>
  <c r="K41"/>
  <c r="K42"/>
  <c r="K43"/>
  <c r="K44"/>
  <c r="K45"/>
  <c r="K46"/>
  <c r="K47"/>
  <c r="K48"/>
  <c r="K49"/>
  <c r="K50"/>
  <c r="K51"/>
  <c r="K52"/>
  <c r="K53"/>
  <c r="K54"/>
  <c r="J41"/>
  <c r="J42"/>
  <c r="J43"/>
  <c r="J44"/>
  <c r="J45"/>
  <c r="J46"/>
  <c r="J47"/>
  <c r="J48"/>
  <c r="J49"/>
  <c r="J50"/>
  <c r="J51"/>
  <c r="J52"/>
  <c r="J53"/>
  <c r="J54"/>
  <c r="I41"/>
  <c r="I42"/>
  <c r="I43"/>
  <c r="I44"/>
  <c r="I45"/>
  <c r="I46"/>
  <c r="I47"/>
  <c r="I48"/>
  <c r="I49"/>
  <c r="I50"/>
  <c r="I51"/>
  <c r="I52"/>
  <c r="I53"/>
  <c r="I54"/>
  <c r="H41"/>
  <c r="H42"/>
  <c r="H43"/>
  <c r="H44"/>
  <c r="H45"/>
  <c r="H46"/>
  <c r="H47"/>
  <c r="H48"/>
  <c r="H49"/>
  <c r="H50"/>
  <c r="H51"/>
  <c r="H52"/>
  <c r="H53"/>
  <c r="H54"/>
  <c r="G41"/>
  <c r="G42"/>
  <c r="G43"/>
  <c r="G44"/>
  <c r="G45"/>
  <c r="G46"/>
  <c r="G47"/>
  <c r="G48"/>
  <c r="G49"/>
  <c r="G50"/>
  <c r="G51"/>
  <c r="G52"/>
  <c r="G53"/>
  <c r="G54"/>
  <c r="F41"/>
  <c r="F42"/>
  <c r="F43"/>
  <c r="F44"/>
  <c r="F45"/>
  <c r="F46"/>
  <c r="F47"/>
  <c r="F48"/>
  <c r="F49"/>
  <c r="F50"/>
  <c r="F51"/>
  <c r="F52"/>
  <c r="F53"/>
  <c r="F54"/>
  <c r="E41"/>
  <c r="E42"/>
  <c r="E43"/>
  <c r="E44"/>
  <c r="E45"/>
  <c r="E46"/>
  <c r="E47"/>
  <c r="E48"/>
  <c r="E49"/>
  <c r="E50"/>
  <c r="E51"/>
  <c r="E52"/>
  <c r="E53"/>
  <c r="E54"/>
  <c r="C41"/>
  <c r="C42"/>
  <c r="C43"/>
  <c r="C44"/>
  <c r="C45"/>
  <c r="C46"/>
  <c r="C47"/>
  <c r="C48"/>
  <c r="C49"/>
  <c r="C50"/>
  <c r="C51"/>
  <c r="C52"/>
  <c r="C53"/>
  <c r="C54"/>
  <c r="B41"/>
  <c r="B42"/>
  <c r="B43"/>
  <c r="B44"/>
  <c r="B45"/>
  <c r="B46"/>
  <c r="B47"/>
  <c r="B48"/>
  <c r="B49"/>
  <c r="B50"/>
  <c r="B51"/>
  <c r="B52"/>
  <c r="B53"/>
  <c r="B54"/>
  <c r="K4"/>
  <c r="W6"/>
  <c r="I9"/>
  <c r="U11"/>
  <c r="G14"/>
  <c r="S16"/>
  <c r="E19"/>
  <c r="Q21"/>
  <c r="C24"/>
  <c r="O26"/>
  <c r="AA28"/>
  <c r="M31"/>
  <c r="Y33"/>
  <c r="K36"/>
  <c r="W38"/>
  <c r="J3"/>
  <c r="J4"/>
  <c r="V6"/>
  <c r="H9"/>
  <c r="T11"/>
  <c r="F14"/>
  <c r="R16"/>
  <c r="D19"/>
  <c r="P21"/>
  <c r="B24"/>
  <c r="N26"/>
  <c r="Z28"/>
  <c r="L31"/>
  <c r="X33"/>
  <c r="J36"/>
  <c r="V38"/>
  <c r="N3"/>
  <c r="C7"/>
  <c r="AA11"/>
  <c r="Y16"/>
  <c r="W21"/>
  <c r="U26"/>
  <c r="S31"/>
  <c r="Q36"/>
  <c r="M5"/>
  <c r="Y7"/>
  <c r="K10"/>
  <c r="W12"/>
  <c r="I15"/>
  <c r="U17"/>
  <c r="G20"/>
  <c r="S22"/>
  <c r="E25"/>
  <c r="Q27"/>
  <c r="C30"/>
  <c r="O32"/>
  <c r="AA34"/>
  <c r="M37"/>
  <c r="Y39"/>
  <c r="S5"/>
  <c r="L5"/>
  <c r="X7"/>
  <c r="J10"/>
  <c r="V12"/>
  <c r="H15"/>
  <c r="T17"/>
  <c r="F20"/>
  <c r="R22"/>
  <c r="D25"/>
  <c r="P27"/>
  <c r="B30"/>
  <c r="N32"/>
  <c r="Z34"/>
  <c r="L37"/>
  <c r="X39"/>
  <c r="O5"/>
  <c r="G9"/>
  <c r="E14"/>
  <c r="C19"/>
  <c r="AA23"/>
  <c r="Y28"/>
  <c r="W33"/>
  <c r="C4"/>
  <c r="O6"/>
  <c r="AA8"/>
  <c r="M11"/>
  <c r="Y13"/>
  <c r="K16"/>
  <c r="W18"/>
  <c r="I21"/>
  <c r="U23"/>
  <c r="G26"/>
  <c r="S28"/>
  <c r="E31"/>
  <c r="Q33"/>
  <c r="C36"/>
  <c r="O38"/>
  <c r="AA40"/>
  <c r="B4"/>
  <c r="N6"/>
  <c r="Z8"/>
  <c r="L11"/>
  <c r="X13"/>
  <c r="J16"/>
  <c r="V18"/>
  <c r="H21"/>
  <c r="T23"/>
  <c r="F26"/>
  <c r="R28"/>
  <c r="D31"/>
  <c r="P33"/>
  <c r="B36"/>
  <c r="N38"/>
  <c r="Z40"/>
  <c r="M6"/>
  <c r="K11"/>
  <c r="I16"/>
  <c r="G21"/>
  <c r="E26"/>
  <c r="C31"/>
  <c r="AA35"/>
  <c r="Y40"/>
  <c r="C13"/>
  <c r="G23"/>
  <c r="C33"/>
  <c r="P6"/>
  <c r="D16"/>
  <c r="Z25"/>
  <c r="D36"/>
  <c r="T6"/>
  <c r="R11"/>
  <c r="P16"/>
  <c r="N21"/>
  <c r="L26"/>
  <c r="J31"/>
  <c r="H36"/>
  <c r="B5"/>
  <c r="G15"/>
  <c r="U24"/>
  <c r="Q34"/>
  <c r="N7"/>
  <c r="R17"/>
  <c r="N27"/>
  <c r="J37"/>
  <c r="O4"/>
  <c r="AA6"/>
  <c r="E13"/>
  <c r="AA22"/>
  <c r="W32"/>
  <c r="G3"/>
  <c r="D13"/>
  <c r="Z22"/>
  <c r="V32"/>
  <c r="D4"/>
  <c r="Q24"/>
  <c r="K39"/>
  <c r="S13"/>
  <c r="Y26"/>
  <c r="O39"/>
  <c r="T16"/>
  <c r="Z29"/>
  <c r="P4"/>
  <c r="Z11"/>
  <c r="L18"/>
  <c r="X24"/>
  <c r="R31"/>
  <c r="D38"/>
  <c r="E12"/>
  <c r="S25"/>
  <c r="I38"/>
  <c r="H14"/>
  <c r="D28"/>
  <c r="C10"/>
  <c r="Y19"/>
  <c r="U29"/>
  <c r="Q39"/>
  <c r="B10"/>
  <c r="X19"/>
  <c r="T29"/>
  <c r="P39"/>
  <c r="M18"/>
  <c r="O37"/>
  <c r="K9"/>
  <c r="I22"/>
  <c r="W35"/>
  <c r="T12"/>
  <c r="J25"/>
  <c r="X38"/>
  <c r="V9"/>
  <c r="H16"/>
  <c r="B23"/>
  <c r="N29"/>
  <c r="Z35"/>
  <c r="E8"/>
  <c r="K21"/>
  <c r="I34"/>
  <c r="P10"/>
  <c r="V23"/>
  <c r="T36"/>
  <c r="W16"/>
  <c r="S26"/>
  <c r="O36"/>
  <c r="Z6"/>
  <c r="V16"/>
  <c r="R26"/>
  <c r="N36"/>
  <c r="I12"/>
  <c r="AA31"/>
  <c r="L4"/>
  <c r="Y18"/>
  <c r="O31"/>
  <c r="L8"/>
  <c r="R21"/>
  <c r="P34"/>
  <c r="R7"/>
  <c r="L14"/>
  <c r="X20"/>
  <c r="J27"/>
  <c r="D34"/>
  <c r="X40"/>
  <c r="U16"/>
  <c r="Q30"/>
  <c r="H6"/>
  <c r="N19"/>
  <c r="T32"/>
  <c r="I11"/>
  <c r="E21"/>
  <c r="AA30"/>
  <c r="W40"/>
  <c r="H11"/>
  <c r="D21"/>
  <c r="Z30"/>
  <c r="V40"/>
  <c r="Y20"/>
  <c r="G11"/>
  <c r="K37"/>
  <c r="F27"/>
  <c r="T10"/>
  <c r="R23"/>
  <c r="X36"/>
  <c r="E36"/>
  <c r="R25"/>
  <c r="AA4"/>
  <c r="M7"/>
  <c r="Y9"/>
  <c r="K12"/>
  <c r="W14"/>
  <c r="I17"/>
  <c r="U19"/>
  <c r="G22"/>
  <c r="S24"/>
  <c r="E27"/>
  <c r="Q29"/>
  <c r="C32"/>
  <c r="O34"/>
  <c r="AA36"/>
  <c r="M39"/>
  <c r="U4"/>
  <c r="Z4"/>
  <c r="L7"/>
  <c r="X9"/>
  <c r="J12"/>
  <c r="V14"/>
  <c r="H17"/>
  <c r="T19"/>
  <c r="F22"/>
  <c r="R24"/>
  <c r="D27"/>
  <c r="P29"/>
  <c r="B32"/>
  <c r="N34"/>
  <c r="Z36"/>
  <c r="L39"/>
  <c r="Q4"/>
  <c r="I8"/>
  <c r="G13"/>
  <c r="E18"/>
  <c r="C23"/>
  <c r="AA27"/>
  <c r="Y32"/>
  <c r="Q3"/>
  <c r="C6"/>
  <c r="O8"/>
  <c r="AA10"/>
  <c r="M13"/>
  <c r="Y15"/>
  <c r="K18"/>
  <c r="W20"/>
  <c r="I23"/>
  <c r="U25"/>
  <c r="G28"/>
  <c r="S30"/>
  <c r="E33"/>
  <c r="Q35"/>
  <c r="C38"/>
  <c r="O40"/>
  <c r="O3"/>
  <c r="B6"/>
  <c r="N8"/>
  <c r="Z10"/>
  <c r="L13"/>
  <c r="X15"/>
  <c r="J18"/>
  <c r="V20"/>
  <c r="H23"/>
  <c r="T25"/>
  <c r="F28"/>
  <c r="R30"/>
  <c r="D33"/>
  <c r="P35"/>
  <c r="B38"/>
  <c r="N40"/>
  <c r="J5"/>
  <c r="M10"/>
  <c r="K15"/>
  <c r="I20"/>
  <c r="G25"/>
  <c r="E30"/>
  <c r="C35"/>
  <c r="S4"/>
  <c r="E7"/>
  <c r="Q9"/>
  <c r="C12"/>
  <c r="O14"/>
  <c r="AA16"/>
  <c r="M19"/>
  <c r="Y21"/>
  <c r="K24"/>
  <c r="W26"/>
  <c r="I29"/>
  <c r="U31"/>
  <c r="G34"/>
  <c r="S36"/>
  <c r="E39"/>
  <c r="E4"/>
  <c r="R4"/>
  <c r="D7"/>
  <c r="P9"/>
  <c r="B12"/>
  <c r="N14"/>
  <c r="Z16"/>
  <c r="L19"/>
  <c r="X21"/>
  <c r="J24"/>
  <c r="V26"/>
  <c r="H29"/>
  <c r="T31"/>
  <c r="F34"/>
  <c r="R36"/>
  <c r="D39"/>
  <c r="AA3"/>
  <c r="S7"/>
  <c r="Q12"/>
  <c r="O17"/>
  <c r="M22"/>
  <c r="K27"/>
  <c r="I32"/>
  <c r="G37"/>
  <c r="R5"/>
  <c r="O15"/>
  <c r="K25"/>
  <c r="G35"/>
  <c r="B9"/>
  <c r="P18"/>
  <c r="T28"/>
  <c r="H38"/>
  <c r="Z7"/>
  <c r="X12"/>
  <c r="V17"/>
  <c r="T22"/>
  <c r="R27"/>
  <c r="P32"/>
  <c r="N37"/>
  <c r="O7"/>
  <c r="S17"/>
  <c r="O27"/>
  <c r="C37"/>
  <c r="Z9"/>
  <c r="D20"/>
  <c r="R29"/>
  <c r="N39"/>
  <c r="E5"/>
  <c r="Q7"/>
  <c r="Q15"/>
  <c r="M25"/>
  <c r="I35"/>
  <c r="T5"/>
  <c r="P15"/>
  <c r="L25"/>
  <c r="H35"/>
  <c r="W9"/>
  <c r="O29"/>
  <c r="P40"/>
  <c r="C17"/>
  <c r="AA29"/>
  <c r="X6"/>
  <c r="V19"/>
  <c r="B33"/>
  <c r="B7"/>
  <c r="N13"/>
  <c r="Z19"/>
  <c r="T26"/>
  <c r="F33"/>
  <c r="R39"/>
  <c r="W15"/>
  <c r="M28"/>
  <c r="R3"/>
  <c r="H18"/>
  <c r="X30"/>
  <c r="O12"/>
  <c r="K22"/>
  <c r="G32"/>
  <c r="Y4"/>
  <c r="N12"/>
  <c r="J22"/>
  <c r="F32"/>
  <c r="C5"/>
  <c r="K23"/>
  <c r="C39"/>
  <c r="M12"/>
  <c r="AA25"/>
  <c r="G39"/>
  <c r="N15"/>
  <c r="J29"/>
  <c r="Z3"/>
  <c r="J11"/>
  <c r="D18"/>
  <c r="P24"/>
  <c r="B31"/>
  <c r="V37"/>
  <c r="O11"/>
  <c r="M24"/>
  <c r="AA37"/>
  <c r="R13"/>
  <c r="X26"/>
  <c r="M9"/>
  <c r="I19"/>
  <c r="E29"/>
  <c r="AA38"/>
  <c r="L9"/>
  <c r="H19"/>
  <c r="D29"/>
  <c r="Z38"/>
  <c r="G17"/>
  <c r="Y36"/>
  <c r="C9"/>
  <c r="S21"/>
  <c r="Y34"/>
  <c r="V11"/>
  <c r="T24"/>
  <c r="Z37"/>
  <c r="N9"/>
  <c r="Z15"/>
  <c r="L22"/>
  <c r="F29"/>
  <c r="R35"/>
  <c r="G7"/>
  <c r="U20"/>
  <c r="K33"/>
  <c r="J9"/>
  <c r="F23"/>
  <c r="V35"/>
  <c r="U13"/>
  <c r="Q23"/>
  <c r="M33"/>
  <c r="X3"/>
  <c r="T13"/>
  <c r="P23"/>
  <c r="L33"/>
  <c r="E6"/>
  <c r="W25"/>
  <c r="AA39"/>
  <c r="Q14"/>
  <c r="G27"/>
  <c r="P3"/>
  <c r="J17"/>
  <c r="P30"/>
  <c r="V5"/>
  <c r="H12"/>
  <c r="T18"/>
  <c r="N25"/>
  <c r="Z31"/>
  <c r="L38"/>
  <c r="K13"/>
  <c r="I26"/>
  <c r="Y38"/>
  <c r="V15"/>
  <c r="L28"/>
  <c r="D40"/>
  <c r="E38"/>
  <c r="E24"/>
  <c r="P14"/>
  <c r="L40"/>
  <c r="F17"/>
  <c r="L30"/>
  <c r="S9"/>
  <c r="Y22"/>
  <c r="D12"/>
  <c r="G6"/>
  <c r="E11"/>
  <c r="C16"/>
  <c r="AA20"/>
  <c r="Y25"/>
  <c r="W30"/>
  <c r="U35"/>
  <c r="S40"/>
  <c r="F6"/>
  <c r="D11"/>
  <c r="B16"/>
  <c r="Z20"/>
  <c r="X25"/>
  <c r="V30"/>
  <c r="T35"/>
  <c r="R40"/>
  <c r="U10"/>
  <c r="Q20"/>
  <c r="M30"/>
  <c r="W4"/>
  <c r="U9"/>
  <c r="S14"/>
  <c r="Q19"/>
  <c r="O24"/>
  <c r="M29"/>
  <c r="K34"/>
  <c r="I39"/>
  <c r="V4"/>
  <c r="T9"/>
  <c r="R14"/>
  <c r="P19"/>
  <c r="N24"/>
  <c r="L29"/>
  <c r="J34"/>
  <c r="H39"/>
  <c r="AA7"/>
  <c r="W17"/>
  <c r="S27"/>
  <c r="L3"/>
  <c r="K8"/>
  <c r="I13"/>
  <c r="G18"/>
  <c r="E23"/>
  <c r="C28"/>
  <c r="AA32"/>
  <c r="Y37"/>
  <c r="K3"/>
  <c r="J8"/>
  <c r="H13"/>
  <c r="F18"/>
  <c r="D23"/>
  <c r="B28"/>
  <c r="Z32"/>
  <c r="X37"/>
  <c r="T4"/>
  <c r="C15"/>
  <c r="Y24"/>
  <c r="U34"/>
  <c r="Q10"/>
  <c r="I30"/>
  <c r="Z13"/>
  <c r="J33"/>
  <c r="L10"/>
  <c r="H20"/>
  <c r="D30"/>
  <c r="Z39"/>
  <c r="Q22"/>
  <c r="X4"/>
  <c r="B25"/>
  <c r="Y3"/>
  <c r="S10"/>
  <c r="K30"/>
  <c r="R10"/>
  <c r="J30"/>
  <c r="S19"/>
  <c r="AA9"/>
  <c r="M36"/>
  <c r="P26"/>
  <c r="D10"/>
  <c r="J23"/>
  <c r="P36"/>
  <c r="AA21"/>
  <c r="N11"/>
  <c r="R37"/>
  <c r="I27"/>
  <c r="P7"/>
  <c r="H27"/>
  <c r="O13"/>
  <c r="I6"/>
  <c r="E32"/>
  <c r="H22"/>
  <c r="H8"/>
  <c r="F21"/>
  <c r="L34"/>
  <c r="AA17"/>
  <c r="F7"/>
  <c r="R33"/>
  <c r="G24"/>
  <c r="N4"/>
  <c r="F24"/>
  <c r="K7"/>
  <c r="I40"/>
  <c r="U28"/>
  <c r="Z17"/>
  <c r="D6"/>
  <c r="J19"/>
  <c r="H32"/>
  <c r="AA13"/>
  <c r="M40"/>
  <c r="B29"/>
  <c r="S18"/>
  <c r="K38"/>
  <c r="R18"/>
  <c r="J38"/>
  <c r="S35"/>
  <c r="C21"/>
  <c r="X10"/>
  <c r="B37"/>
  <c r="R15"/>
  <c r="P28"/>
  <c r="Q6"/>
  <c r="U32"/>
  <c r="Z21"/>
  <c r="O10"/>
  <c r="G30"/>
  <c r="C40"/>
  <c r="N10"/>
  <c r="J20"/>
  <c r="F30"/>
  <c r="B40"/>
  <c r="K19"/>
  <c r="G4"/>
  <c r="C14"/>
  <c r="Y23"/>
  <c r="U33"/>
  <c r="F4"/>
  <c r="B14"/>
  <c r="X23"/>
  <c r="T33"/>
  <c r="U6"/>
  <c r="M26"/>
  <c r="U7"/>
  <c r="Q17"/>
  <c r="M27"/>
  <c r="I37"/>
  <c r="T7"/>
  <c r="P17"/>
  <c r="L27"/>
  <c r="H37"/>
  <c r="W13"/>
  <c r="O33"/>
  <c r="W27"/>
  <c r="F31"/>
  <c r="B19"/>
  <c r="T38"/>
  <c r="W39"/>
  <c r="H3"/>
  <c r="Y27"/>
  <c r="X27"/>
  <c r="Y6"/>
  <c r="X22"/>
  <c r="V21"/>
  <c r="Q18"/>
  <c r="H34"/>
  <c r="D5"/>
  <c r="Q40"/>
  <c r="F19"/>
  <c r="R19"/>
  <c r="I14"/>
  <c r="H30"/>
  <c r="W3"/>
  <c r="S3"/>
  <c r="C25"/>
  <c r="I3"/>
  <c r="T30"/>
  <c r="U36"/>
  <c r="G16"/>
  <c r="F16"/>
  <c r="U30"/>
  <c r="V7"/>
  <c r="V13"/>
  <c r="H40"/>
  <c r="X18"/>
  <c r="U3"/>
  <c r="Q13"/>
  <c r="M23"/>
  <c r="I33"/>
  <c r="T3"/>
  <c r="P13"/>
  <c r="L23"/>
  <c r="H33"/>
  <c r="W5"/>
  <c r="O25"/>
  <c r="I7"/>
  <c r="C22"/>
  <c r="Y31"/>
  <c r="M4"/>
  <c r="H7"/>
  <c r="D17"/>
  <c r="Z26"/>
  <c r="V36"/>
  <c r="Y12"/>
  <c r="Q32"/>
  <c r="W10"/>
  <c r="Q25"/>
  <c r="M35"/>
  <c r="X5"/>
  <c r="T15"/>
  <c r="P25"/>
  <c r="L35"/>
  <c r="E10"/>
  <c r="W29"/>
  <c r="M20"/>
  <c r="N23"/>
  <c r="J15"/>
  <c r="B35"/>
  <c r="M32"/>
  <c r="X34"/>
  <c r="O20"/>
  <c r="N20"/>
  <c r="W37"/>
  <c r="J13"/>
  <c r="X16"/>
  <c r="U8"/>
  <c r="L24"/>
  <c r="E37"/>
  <c r="D37"/>
  <c r="G19"/>
  <c r="N35"/>
  <c r="Z27"/>
  <c r="G31"/>
  <c r="K14"/>
  <c r="J14"/>
  <c r="C27"/>
  <c r="H4"/>
  <c r="P12"/>
  <c r="B39"/>
  <c r="W8"/>
  <c r="V8"/>
  <c r="AA15"/>
  <c r="AA33"/>
  <c r="X8"/>
  <c r="D22"/>
  <c r="O19"/>
  <c r="F35"/>
  <c r="D3"/>
  <c r="C8"/>
  <c r="AA12"/>
  <c r="Y17"/>
  <c r="W22"/>
  <c r="U27"/>
  <c r="S32"/>
  <c r="Q37"/>
  <c r="C3"/>
  <c r="B8"/>
  <c r="Z12"/>
  <c r="X17"/>
  <c r="V22"/>
  <c r="T27"/>
  <c r="R32"/>
  <c r="P37"/>
  <c r="M3"/>
  <c r="M14"/>
  <c r="I24"/>
  <c r="E34"/>
  <c r="S6"/>
  <c r="Q11"/>
  <c r="O16"/>
  <c r="M21"/>
  <c r="K26"/>
  <c r="I31"/>
  <c r="G36"/>
  <c r="B3"/>
  <c r="R6"/>
  <c r="P11"/>
  <c r="N16"/>
  <c r="L21"/>
  <c r="J26"/>
  <c r="H31"/>
  <c r="F36"/>
  <c r="F3"/>
  <c r="S11"/>
  <c r="O21"/>
  <c r="K31"/>
  <c r="I5"/>
  <c r="G10"/>
  <c r="E15"/>
  <c r="C20"/>
  <c r="AA24"/>
  <c r="Y29"/>
  <c r="W34"/>
  <c r="U39"/>
  <c r="H5"/>
  <c r="F10"/>
  <c r="D15"/>
  <c r="B20"/>
  <c r="Z24"/>
  <c r="X29"/>
  <c r="V34"/>
  <c r="T39"/>
  <c r="Y8"/>
  <c r="U18"/>
  <c r="Q28"/>
  <c r="M38"/>
  <c r="I18"/>
  <c r="S37"/>
  <c r="B21"/>
  <c r="T40"/>
  <c r="D14"/>
  <c r="Z23"/>
  <c r="V33"/>
  <c r="I10"/>
  <c r="S29"/>
  <c r="L12"/>
  <c r="D32"/>
  <c r="U5"/>
  <c r="C18"/>
  <c r="U37"/>
  <c r="B18"/>
  <c r="T37"/>
  <c r="M34"/>
  <c r="E20"/>
  <c r="H10"/>
  <c r="L36"/>
  <c r="B15"/>
  <c r="H28"/>
  <c r="AA5"/>
  <c r="W31"/>
  <c r="J21"/>
  <c r="AA14"/>
  <c r="S34"/>
  <c r="Z14"/>
  <c r="R34"/>
  <c r="I28"/>
  <c r="M16"/>
  <c r="Z5"/>
  <c r="L32"/>
  <c r="F13"/>
  <c r="D26"/>
  <c r="J39"/>
  <c r="E28"/>
  <c r="B17"/>
  <c r="Y11"/>
  <c r="Q31"/>
  <c r="X11"/>
  <c r="P31"/>
  <c r="E22"/>
  <c r="W11"/>
  <c r="Q38"/>
  <c r="V27"/>
  <c r="B11"/>
  <c r="H24"/>
  <c r="F37"/>
  <c r="O23"/>
  <c r="B13"/>
  <c r="F39"/>
  <c r="C26"/>
  <c r="J6"/>
  <c r="B26"/>
  <c r="C11"/>
  <c r="E3"/>
  <c r="Y30"/>
  <c r="L20"/>
  <c r="J7"/>
  <c r="P20"/>
  <c r="N33"/>
  <c r="E16"/>
  <c r="N5"/>
  <c r="N31"/>
  <c r="Q5"/>
  <c r="M15"/>
  <c r="K20"/>
  <c r="I25"/>
  <c r="E35"/>
  <c r="P5"/>
  <c r="L15"/>
  <c r="H25"/>
  <c r="D35"/>
  <c r="O9"/>
  <c r="G29"/>
  <c r="E9"/>
  <c r="AA18"/>
  <c r="W28"/>
  <c r="S38"/>
  <c r="D9"/>
  <c r="Z18"/>
  <c r="V28"/>
  <c r="R38"/>
  <c r="Q16"/>
  <c r="I36"/>
  <c r="S12"/>
  <c r="O22"/>
  <c r="K32"/>
  <c r="G5"/>
  <c r="R12"/>
  <c r="N22"/>
  <c r="J32"/>
  <c r="K5"/>
  <c r="S23"/>
  <c r="M8"/>
  <c r="F11"/>
  <c r="F9"/>
  <c r="X28"/>
  <c r="W19"/>
  <c r="P22"/>
  <c r="G8"/>
  <c r="F8"/>
  <c r="U14"/>
  <c r="S33"/>
  <c r="P8"/>
  <c r="T34"/>
  <c r="D8"/>
  <c r="W24"/>
  <c r="V24"/>
  <c r="Q8"/>
  <c r="K29"/>
  <c r="L6"/>
  <c r="X32"/>
  <c r="U40"/>
  <c r="U21"/>
  <c r="T21"/>
  <c r="U38"/>
  <c r="F15"/>
  <c r="N17"/>
  <c r="Y10"/>
  <c r="H26"/>
  <c r="Y35"/>
  <c r="X35"/>
  <c r="K17"/>
  <c r="Z33"/>
  <c r="B27"/>
  <c r="C29"/>
  <c r="P38"/>
  <c r="S8"/>
  <c r="O18"/>
  <c r="K28"/>
  <c r="G38"/>
  <c r="R8"/>
  <c r="N18"/>
  <c r="J28"/>
  <c r="F38"/>
  <c r="S15"/>
  <c r="K35"/>
  <c r="G12"/>
  <c r="E17"/>
  <c r="AA26"/>
  <c r="W36"/>
  <c r="F12"/>
  <c r="B22"/>
  <c r="X31"/>
  <c r="I4"/>
  <c r="U22"/>
  <c r="Y5"/>
  <c r="U15"/>
  <c r="S20"/>
  <c r="O30"/>
  <c r="K40"/>
  <c r="V10"/>
  <c r="R20"/>
  <c r="N30"/>
  <c r="J40"/>
  <c r="AA19"/>
  <c r="S39"/>
  <c r="E40"/>
  <c r="F5"/>
  <c r="F25"/>
  <c r="U12"/>
  <c r="X14"/>
  <c r="K6"/>
  <c r="G40"/>
  <c r="F40"/>
  <c r="W23"/>
  <c r="V39"/>
  <c r="V29"/>
  <c r="O35"/>
  <c r="M17"/>
  <c r="L17"/>
  <c r="G33"/>
  <c r="R9"/>
  <c r="T14"/>
  <c r="V3"/>
  <c r="T20"/>
  <c r="C34"/>
  <c r="B34"/>
  <c r="Y14"/>
  <c r="V31"/>
  <c r="V25"/>
  <c r="Q26"/>
  <c r="L16"/>
  <c r="O28"/>
  <c r="N28"/>
  <c r="W7"/>
  <c r="D24"/>
  <c r="J35"/>
  <c r="T8"/>
  <c r="B41" i="15" l="1"/>
  <c r="B42"/>
  <c r="B42" i="1"/>
  <c r="B41"/>
  <c r="B40" i="15"/>
  <c r="B39"/>
  <c r="B38"/>
  <c r="B37"/>
  <c r="B36"/>
  <c r="B35"/>
  <c r="B34"/>
  <c r="B33"/>
  <c r="B32"/>
  <c r="B31"/>
  <c r="B30"/>
  <c r="B29"/>
  <c r="B28"/>
  <c r="B27"/>
  <c r="B26"/>
  <c r="B25"/>
  <c r="B24"/>
  <c r="B23"/>
  <c r="B22"/>
  <c r="B21"/>
  <c r="B20"/>
  <c r="B19"/>
  <c r="B18"/>
  <c r="B17"/>
  <c r="B16"/>
  <c r="B15"/>
  <c r="B14"/>
  <c r="B13"/>
  <c r="B12"/>
  <c r="B11"/>
  <c r="B10"/>
  <c r="B9"/>
  <c r="B8"/>
  <c r="B7"/>
  <c r="B6"/>
  <c r="B5"/>
  <c r="B4"/>
  <c r="B40" i="1"/>
  <c r="B39"/>
  <c r="B38"/>
  <c r="B37"/>
  <c r="B36"/>
  <c r="B35"/>
  <c r="B34"/>
  <c r="B33"/>
  <c r="B32"/>
  <c r="B31"/>
  <c r="B30"/>
  <c r="B29"/>
  <c r="B28"/>
  <c r="B27"/>
  <c r="B26"/>
  <c r="B25"/>
  <c r="B24"/>
  <c r="B23"/>
  <c r="B22"/>
  <c r="B21"/>
  <c r="B20"/>
  <c r="B19"/>
  <c r="B18"/>
  <c r="B17"/>
  <c r="B16"/>
  <c r="B15"/>
  <c r="B14"/>
  <c r="B12"/>
  <c r="B13"/>
  <c r="B11"/>
  <c r="B10"/>
  <c r="B9"/>
  <c r="B8"/>
  <c r="B7"/>
  <c r="B6"/>
  <c r="M5" i="15" l="1"/>
  <c r="M5" i="1"/>
  <c r="L5"/>
  <c r="K5"/>
  <c r="N5"/>
  <c r="I5"/>
  <c r="J5"/>
  <c r="D5"/>
  <c r="H5"/>
  <c r="F5"/>
  <c r="E5"/>
  <c r="C5"/>
  <c r="G5"/>
  <c r="F5" i="15"/>
  <c r="G5"/>
  <c r="H5"/>
  <c r="E5"/>
  <c r="D5"/>
  <c r="C5"/>
  <c r="J5"/>
  <c r="N5"/>
  <c r="L5"/>
  <c r="K5"/>
  <c r="I5"/>
  <c r="M6" l="1"/>
  <c r="M6" i="1"/>
  <c r="J6"/>
  <c r="N6"/>
  <c r="K6"/>
  <c r="I6"/>
  <c r="L6"/>
  <c r="F6"/>
  <c r="D6"/>
  <c r="G6"/>
  <c r="E6"/>
  <c r="H6"/>
  <c r="C6"/>
  <c r="BF6"/>
  <c r="BE6"/>
  <c r="BD6"/>
  <c r="BC6"/>
  <c r="V5"/>
  <c r="Z5"/>
  <c r="BB5"/>
  <c r="W5"/>
  <c r="U5"/>
  <c r="Y5"/>
  <c r="X5"/>
  <c r="AH5"/>
  <c r="AL5"/>
  <c r="AG5"/>
  <c r="AJ5"/>
  <c r="AI5"/>
  <c r="AK5"/>
  <c r="R5"/>
  <c r="Q5"/>
  <c r="O5"/>
  <c r="AY5"/>
  <c r="T5"/>
  <c r="S5"/>
  <c r="BA5"/>
  <c r="AZ5"/>
  <c r="P5"/>
  <c r="AP5"/>
  <c r="AM5"/>
  <c r="AR5"/>
  <c r="AQ5"/>
  <c r="AO5"/>
  <c r="AN5"/>
  <c r="AT5"/>
  <c r="AX5"/>
  <c r="AW5"/>
  <c r="AV5"/>
  <c r="AU5"/>
  <c r="AS5"/>
  <c r="AD5"/>
  <c r="AB5"/>
  <c r="AC5"/>
  <c r="AA5"/>
  <c r="AF5"/>
  <c r="AE5"/>
  <c r="F6" i="15"/>
  <c r="D6"/>
  <c r="G6"/>
  <c r="E6"/>
  <c r="C6"/>
  <c r="H6"/>
  <c r="J6"/>
  <c r="N6"/>
  <c r="I6"/>
  <c r="L6"/>
  <c r="K6"/>
  <c r="BF6"/>
  <c r="BE6"/>
  <c r="BD6"/>
  <c r="BC6"/>
  <c r="V5"/>
  <c r="Z5"/>
  <c r="BB5"/>
  <c r="W5"/>
  <c r="U5"/>
  <c r="Y5"/>
  <c r="X5"/>
  <c r="AH5"/>
  <c r="AL5"/>
  <c r="AG5"/>
  <c r="AJ5"/>
  <c r="AI5"/>
  <c r="AK5"/>
  <c r="R5"/>
  <c r="Q5"/>
  <c r="O5"/>
  <c r="AY5"/>
  <c r="T5"/>
  <c r="S5"/>
  <c r="BA5"/>
  <c r="AZ5"/>
  <c r="P5"/>
  <c r="AP5"/>
  <c r="AM5"/>
  <c r="AR5"/>
  <c r="AQ5"/>
  <c r="AO5"/>
  <c r="AN5"/>
  <c r="AT5"/>
  <c r="AX5"/>
  <c r="AW5"/>
  <c r="AV5"/>
  <c r="AU5"/>
  <c r="AS5"/>
  <c r="AD5"/>
  <c r="AB5"/>
  <c r="AC5"/>
  <c r="AA5"/>
  <c r="AF5"/>
  <c r="AE5"/>
  <c r="M7" l="1"/>
  <c r="M7" i="1"/>
  <c r="L7"/>
  <c r="J7"/>
  <c r="I7"/>
  <c r="K7"/>
  <c r="N7"/>
  <c r="D7"/>
  <c r="H7"/>
  <c r="F7"/>
  <c r="C7"/>
  <c r="G7"/>
  <c r="E7"/>
  <c r="BF7"/>
  <c r="BC7"/>
  <c r="BD7"/>
  <c r="BE7"/>
  <c r="AD6"/>
  <c r="AE6"/>
  <c r="AB6"/>
  <c r="AA6"/>
  <c r="AF6"/>
  <c r="AC6"/>
  <c r="AH6"/>
  <c r="AL6"/>
  <c r="AJ6"/>
  <c r="AI6"/>
  <c r="AG6"/>
  <c r="AK6"/>
  <c r="AT6"/>
  <c r="AX6"/>
  <c r="AU6"/>
  <c r="AW6"/>
  <c r="AV6"/>
  <c r="AS6"/>
  <c r="V6"/>
  <c r="Z6"/>
  <c r="BB6"/>
  <c r="Y6"/>
  <c r="U6"/>
  <c r="X6"/>
  <c r="W6"/>
  <c r="AP6"/>
  <c r="AO6"/>
  <c r="AQ6"/>
  <c r="AN6"/>
  <c r="AM6"/>
  <c r="AR6"/>
  <c r="R6"/>
  <c r="O6"/>
  <c r="T6"/>
  <c r="AZ6"/>
  <c r="S6"/>
  <c r="BA6"/>
  <c r="Q6"/>
  <c r="AY6"/>
  <c r="P6"/>
  <c r="F7" i="15"/>
  <c r="G7"/>
  <c r="E7"/>
  <c r="D7"/>
  <c r="C7"/>
  <c r="H7"/>
  <c r="J7"/>
  <c r="N7"/>
  <c r="L7"/>
  <c r="K7"/>
  <c r="I7"/>
  <c r="BF7"/>
  <c r="BC7"/>
  <c r="BD7"/>
  <c r="BE7"/>
  <c r="R6"/>
  <c r="O6"/>
  <c r="T6"/>
  <c r="AZ6"/>
  <c r="S6"/>
  <c r="Q6"/>
  <c r="BA6"/>
  <c r="AY6"/>
  <c r="P6"/>
  <c r="AH6"/>
  <c r="AL6"/>
  <c r="AJ6"/>
  <c r="AI6"/>
  <c r="AG6"/>
  <c r="AK6"/>
  <c r="AT6"/>
  <c r="AX6"/>
  <c r="AU6"/>
  <c r="AW6"/>
  <c r="AV6"/>
  <c r="AS6"/>
  <c r="V6"/>
  <c r="Z6"/>
  <c r="BB6"/>
  <c r="Y6"/>
  <c r="U6"/>
  <c r="X6"/>
  <c r="W6"/>
  <c r="AP6"/>
  <c r="AO6"/>
  <c r="AQ6"/>
  <c r="AN6"/>
  <c r="AM6"/>
  <c r="AR6"/>
  <c r="AD6"/>
  <c r="AE6"/>
  <c r="AB6"/>
  <c r="AA6"/>
  <c r="AF6"/>
  <c r="AC6"/>
  <c r="M8" l="1"/>
  <c r="M8" i="1"/>
  <c r="J8"/>
  <c r="N8"/>
  <c r="I8"/>
  <c r="L8"/>
  <c r="K8"/>
  <c r="F8"/>
  <c r="D8"/>
  <c r="H8"/>
  <c r="C8"/>
  <c r="E8"/>
  <c r="G8"/>
  <c r="BF8"/>
  <c r="BE8"/>
  <c r="BC8"/>
  <c r="BD8"/>
  <c r="BR6"/>
  <c r="BU6"/>
  <c r="BQ6"/>
  <c r="BM6"/>
  <c r="BN6"/>
  <c r="BV6"/>
  <c r="BS6"/>
  <c r="BT6"/>
  <c r="R7"/>
  <c r="Q7"/>
  <c r="T7"/>
  <c r="S7"/>
  <c r="BA7"/>
  <c r="P7"/>
  <c r="AZ7"/>
  <c r="AY7"/>
  <c r="O7"/>
  <c r="AH7"/>
  <c r="AL7"/>
  <c r="AG7"/>
  <c r="AI7"/>
  <c r="AK7"/>
  <c r="AJ7"/>
  <c r="AT7"/>
  <c r="AX7"/>
  <c r="AW7"/>
  <c r="AV7"/>
  <c r="AS7"/>
  <c r="AU7"/>
  <c r="AP7"/>
  <c r="AM7"/>
  <c r="AR7"/>
  <c r="AO7"/>
  <c r="AN7"/>
  <c r="AQ7"/>
  <c r="BJ6"/>
  <c r="BI6"/>
  <c r="BH6"/>
  <c r="BG6"/>
  <c r="BK6"/>
  <c r="BP6"/>
  <c r="BL6"/>
  <c r="BO6"/>
  <c r="AD7"/>
  <c r="AB7"/>
  <c r="AA7"/>
  <c r="AE7"/>
  <c r="AF7"/>
  <c r="AC7"/>
  <c r="V7"/>
  <c r="Z7"/>
  <c r="BB7"/>
  <c r="W7"/>
  <c r="X7"/>
  <c r="Y7"/>
  <c r="U7"/>
  <c r="F8" i="15"/>
  <c r="D8"/>
  <c r="E8"/>
  <c r="C8"/>
  <c r="H8"/>
  <c r="G8"/>
  <c r="J8"/>
  <c r="N8"/>
  <c r="I8"/>
  <c r="L8"/>
  <c r="K8"/>
  <c r="BF8"/>
  <c r="BE8"/>
  <c r="BC8"/>
  <c r="BD8"/>
  <c r="R7"/>
  <c r="Q7"/>
  <c r="T7"/>
  <c r="S7"/>
  <c r="BA7"/>
  <c r="P7"/>
  <c r="AZ7"/>
  <c r="AY7"/>
  <c r="O7"/>
  <c r="AH7"/>
  <c r="AL7"/>
  <c r="AG7"/>
  <c r="AI7"/>
  <c r="AK7"/>
  <c r="AJ7"/>
  <c r="AT7"/>
  <c r="AX7"/>
  <c r="AW7"/>
  <c r="AV7"/>
  <c r="AU7"/>
  <c r="AS7"/>
  <c r="AP7"/>
  <c r="AM7"/>
  <c r="AR7"/>
  <c r="AO7"/>
  <c r="AN7"/>
  <c r="AQ7"/>
  <c r="BR6"/>
  <c r="BU6"/>
  <c r="BQ6"/>
  <c r="BM6"/>
  <c r="AD7"/>
  <c r="AB7"/>
  <c r="AA7"/>
  <c r="AF7"/>
  <c r="AE7"/>
  <c r="AC7"/>
  <c r="BN6"/>
  <c r="BV6"/>
  <c r="BS6"/>
  <c r="BT6"/>
  <c r="BJ6"/>
  <c r="BI6"/>
  <c r="BH6"/>
  <c r="BG6"/>
  <c r="BK6"/>
  <c r="BP6"/>
  <c r="BL6"/>
  <c r="BO6"/>
  <c r="V7"/>
  <c r="Z7"/>
  <c r="BB7"/>
  <c r="W7"/>
  <c r="Y7"/>
  <c r="X7"/>
  <c r="U7"/>
  <c r="M9" l="1"/>
  <c r="M9" i="1"/>
  <c r="L9"/>
  <c r="K9"/>
  <c r="N9"/>
  <c r="I9"/>
  <c r="J9"/>
  <c r="D9"/>
  <c r="H9"/>
  <c r="F9"/>
  <c r="E9"/>
  <c r="C9"/>
  <c r="G9"/>
  <c r="BF9"/>
  <c r="BC9"/>
  <c r="BE9"/>
  <c r="BD9"/>
  <c r="BR7"/>
  <c r="BM7"/>
  <c r="BQ7"/>
  <c r="BU7"/>
  <c r="AT8"/>
  <c r="AX8"/>
  <c r="AU8"/>
  <c r="AV8"/>
  <c r="AS8"/>
  <c r="AW8"/>
  <c r="AH8"/>
  <c r="AL8"/>
  <c r="AJ8"/>
  <c r="AG8"/>
  <c r="AK8"/>
  <c r="AI8"/>
  <c r="AP8"/>
  <c r="AO8"/>
  <c r="AN8"/>
  <c r="AR8"/>
  <c r="AM8"/>
  <c r="AQ8"/>
  <c r="V8"/>
  <c r="Z8"/>
  <c r="BB8"/>
  <c r="Y8"/>
  <c r="W8"/>
  <c r="X8"/>
  <c r="U8"/>
  <c r="BK7"/>
  <c r="BP7"/>
  <c r="BO7"/>
  <c r="BL7"/>
  <c r="AD8"/>
  <c r="AE8"/>
  <c r="AA8"/>
  <c r="AC8"/>
  <c r="AF8"/>
  <c r="AB8"/>
  <c r="BN7"/>
  <c r="BV7"/>
  <c r="BS7"/>
  <c r="BT7"/>
  <c r="BJ7"/>
  <c r="BH7"/>
  <c r="BG7"/>
  <c r="BI7"/>
  <c r="R8"/>
  <c r="O8"/>
  <c r="T8"/>
  <c r="AZ8"/>
  <c r="S8"/>
  <c r="P8"/>
  <c r="AY8"/>
  <c r="Q8"/>
  <c r="BA8"/>
  <c r="F9" i="15"/>
  <c r="G9"/>
  <c r="D9"/>
  <c r="C9"/>
  <c r="H9"/>
  <c r="E9"/>
  <c r="J9"/>
  <c r="N9"/>
  <c r="L9"/>
  <c r="K9"/>
  <c r="I9"/>
  <c r="BF9"/>
  <c r="BC9"/>
  <c r="BE9"/>
  <c r="BD9"/>
  <c r="BR7"/>
  <c r="BM7"/>
  <c r="BQ7"/>
  <c r="BU7"/>
  <c r="AT8"/>
  <c r="AX8"/>
  <c r="AU8"/>
  <c r="AV8"/>
  <c r="AS8"/>
  <c r="AW8"/>
  <c r="AH8"/>
  <c r="AL8"/>
  <c r="AJ8"/>
  <c r="AG8"/>
  <c r="AK8"/>
  <c r="AI8"/>
  <c r="AP8"/>
  <c r="AO8"/>
  <c r="AN8"/>
  <c r="AM8"/>
  <c r="AR8"/>
  <c r="AQ8"/>
  <c r="V8"/>
  <c r="Z8"/>
  <c r="BB8"/>
  <c r="Y8"/>
  <c r="X8"/>
  <c r="W8"/>
  <c r="U8"/>
  <c r="BK7"/>
  <c r="BP7"/>
  <c r="BO7"/>
  <c r="BL7"/>
  <c r="AD8"/>
  <c r="AE8"/>
  <c r="AA8"/>
  <c r="AF8"/>
  <c r="AC8"/>
  <c r="AB8"/>
  <c r="BN7"/>
  <c r="BV7"/>
  <c r="BS7"/>
  <c r="BT7"/>
  <c r="BJ7"/>
  <c r="BH7"/>
  <c r="BI7"/>
  <c r="BG7"/>
  <c r="R8"/>
  <c r="O8"/>
  <c r="T8"/>
  <c r="AZ8"/>
  <c r="S8"/>
  <c r="Q8"/>
  <c r="BA8"/>
  <c r="P8"/>
  <c r="AY8"/>
  <c r="M10" l="1"/>
  <c r="M10" i="1"/>
  <c r="J10"/>
  <c r="N10"/>
  <c r="K10"/>
  <c r="I10"/>
  <c r="L10"/>
  <c r="F10"/>
  <c r="D10"/>
  <c r="G10"/>
  <c r="E10"/>
  <c r="H10"/>
  <c r="C10"/>
  <c r="BF10"/>
  <c r="BE10"/>
  <c r="BD10"/>
  <c r="BC10"/>
  <c r="BN8"/>
  <c r="BV8"/>
  <c r="BT8"/>
  <c r="BS8"/>
  <c r="R9"/>
  <c r="Q9"/>
  <c r="S9"/>
  <c r="BA9"/>
  <c r="P9"/>
  <c r="AZ9"/>
  <c r="O9"/>
  <c r="T9"/>
  <c r="AY9"/>
  <c r="AH9"/>
  <c r="AL9"/>
  <c r="AG9"/>
  <c r="AK9"/>
  <c r="AJ9"/>
  <c r="AI9"/>
  <c r="BJ8"/>
  <c r="BI8"/>
  <c r="BG8"/>
  <c r="BH8"/>
  <c r="AD9"/>
  <c r="AB9"/>
  <c r="AF9"/>
  <c r="AE9"/>
  <c r="AC9"/>
  <c r="AA9"/>
  <c r="AP9"/>
  <c r="AM9"/>
  <c r="AR9"/>
  <c r="AN9"/>
  <c r="AQ9"/>
  <c r="AO9"/>
  <c r="BK8"/>
  <c r="BP8"/>
  <c r="BO8"/>
  <c r="BL8"/>
  <c r="V9"/>
  <c r="Z9"/>
  <c r="BB9"/>
  <c r="W9"/>
  <c r="Y9"/>
  <c r="X9"/>
  <c r="U9"/>
  <c r="BR8"/>
  <c r="BU8"/>
  <c r="BQ8"/>
  <c r="BM8"/>
  <c r="AT9"/>
  <c r="AX9"/>
  <c r="AW9"/>
  <c r="AU9"/>
  <c r="AS9"/>
  <c r="AV9"/>
  <c r="F10" i="15"/>
  <c r="D10"/>
  <c r="C10"/>
  <c r="H10"/>
  <c r="G10"/>
  <c r="E10"/>
  <c r="J10"/>
  <c r="N10"/>
  <c r="I10"/>
  <c r="K10"/>
  <c r="L10"/>
  <c r="BF10"/>
  <c r="BE10"/>
  <c r="BD10"/>
  <c r="BC10"/>
  <c r="BN8"/>
  <c r="BV8"/>
  <c r="BT8"/>
  <c r="BS8"/>
  <c r="AT9"/>
  <c r="AX9"/>
  <c r="AW9"/>
  <c r="AU9"/>
  <c r="AS9"/>
  <c r="AV9"/>
  <c r="AH9"/>
  <c r="AL9"/>
  <c r="AG9"/>
  <c r="AK9"/>
  <c r="AJ9"/>
  <c r="AI9"/>
  <c r="BR8"/>
  <c r="BU8"/>
  <c r="BQ8"/>
  <c r="BM8"/>
  <c r="AD9"/>
  <c r="AB9"/>
  <c r="AF9"/>
  <c r="AE9"/>
  <c r="AC9"/>
  <c r="AA9"/>
  <c r="AP9"/>
  <c r="AM9"/>
  <c r="AR9"/>
  <c r="AN9"/>
  <c r="AQ9"/>
  <c r="AO9"/>
  <c r="BK8"/>
  <c r="BP8"/>
  <c r="BO8"/>
  <c r="BL8"/>
  <c r="V9"/>
  <c r="Z9"/>
  <c r="BB9"/>
  <c r="W9"/>
  <c r="Y9"/>
  <c r="X9"/>
  <c r="U9"/>
  <c r="BJ8"/>
  <c r="BI8"/>
  <c r="BH8"/>
  <c r="BG8"/>
  <c r="R9"/>
  <c r="Q9"/>
  <c r="S9"/>
  <c r="BA9"/>
  <c r="P9"/>
  <c r="AZ9"/>
  <c r="AY9"/>
  <c r="T9"/>
  <c r="O9"/>
  <c r="M11" l="1"/>
  <c r="M11" i="1"/>
  <c r="L11"/>
  <c r="J11"/>
  <c r="I11"/>
  <c r="K11"/>
  <c r="N11"/>
  <c r="D11"/>
  <c r="H11"/>
  <c r="F11"/>
  <c r="C11"/>
  <c r="G11"/>
  <c r="E11"/>
  <c r="BF11"/>
  <c r="BC11"/>
  <c r="BE11"/>
  <c r="BD11"/>
  <c r="BJ9"/>
  <c r="BH9"/>
  <c r="BI9"/>
  <c r="BG9"/>
  <c r="AP10"/>
  <c r="AO10"/>
  <c r="AM10"/>
  <c r="AR10"/>
  <c r="AQ10"/>
  <c r="AN10"/>
  <c r="AH10"/>
  <c r="AL10"/>
  <c r="AJ10"/>
  <c r="AK10"/>
  <c r="AI10"/>
  <c r="AG10"/>
  <c r="BN9"/>
  <c r="BV9"/>
  <c r="BS9"/>
  <c r="BT9"/>
  <c r="BP9"/>
  <c r="BO9"/>
  <c r="BL9"/>
  <c r="BK9"/>
  <c r="AD10"/>
  <c r="AE10"/>
  <c r="AF10"/>
  <c r="AC10"/>
  <c r="AB10"/>
  <c r="AA10"/>
  <c r="V10"/>
  <c r="Z10"/>
  <c r="BB10"/>
  <c r="Y10"/>
  <c r="X10"/>
  <c r="W10"/>
  <c r="U10"/>
  <c r="R10"/>
  <c r="O10"/>
  <c r="T10"/>
  <c r="AZ10"/>
  <c r="Q10"/>
  <c r="BA10"/>
  <c r="P10"/>
  <c r="AY10"/>
  <c r="S10"/>
  <c r="BR9"/>
  <c r="BM9"/>
  <c r="BU9"/>
  <c r="BQ9"/>
  <c r="AT10"/>
  <c r="AX10"/>
  <c r="AU10"/>
  <c r="AS10"/>
  <c r="AW10"/>
  <c r="AV10"/>
  <c r="F11" i="15"/>
  <c r="G11"/>
  <c r="C11"/>
  <c r="H11"/>
  <c r="E11"/>
  <c r="D11"/>
  <c r="J11"/>
  <c r="N11"/>
  <c r="L11"/>
  <c r="I11"/>
  <c r="K11"/>
  <c r="BF11"/>
  <c r="BC11"/>
  <c r="BE11"/>
  <c r="BD11"/>
  <c r="BP9"/>
  <c r="BO9"/>
  <c r="BL9"/>
  <c r="BK9"/>
  <c r="AP10"/>
  <c r="AO10"/>
  <c r="AM10"/>
  <c r="AR10"/>
  <c r="AQ10"/>
  <c r="AN10"/>
  <c r="AH10"/>
  <c r="AL10"/>
  <c r="AJ10"/>
  <c r="AK10"/>
  <c r="AI10"/>
  <c r="AG10"/>
  <c r="BJ9"/>
  <c r="BH9"/>
  <c r="BI9"/>
  <c r="BG9"/>
  <c r="AD10"/>
  <c r="AE10"/>
  <c r="AF10"/>
  <c r="AC10"/>
  <c r="AB10"/>
  <c r="AA10"/>
  <c r="V10"/>
  <c r="Z10"/>
  <c r="BB10"/>
  <c r="Y10"/>
  <c r="X10"/>
  <c r="W10"/>
  <c r="U10"/>
  <c r="BR9"/>
  <c r="BM9"/>
  <c r="BU9"/>
  <c r="BQ9"/>
  <c r="BN9"/>
  <c r="BV9"/>
  <c r="BS9"/>
  <c r="BT9"/>
  <c r="R10"/>
  <c r="O10"/>
  <c r="T10"/>
  <c r="AZ10"/>
  <c r="Q10"/>
  <c r="BA10"/>
  <c r="P10"/>
  <c r="AY10"/>
  <c r="S10"/>
  <c r="AT10"/>
  <c r="AX10"/>
  <c r="AU10"/>
  <c r="AS10"/>
  <c r="AW10"/>
  <c r="AV10"/>
  <c r="M12" l="1"/>
  <c r="M12" i="1"/>
  <c r="J12"/>
  <c r="N12"/>
  <c r="I12"/>
  <c r="L12"/>
  <c r="K12"/>
  <c r="F12"/>
  <c r="H12"/>
  <c r="C12"/>
  <c r="E12"/>
  <c r="D12"/>
  <c r="G12"/>
  <c r="BF12"/>
  <c r="BE12"/>
  <c r="BD12"/>
  <c r="BC12"/>
  <c r="BJ10"/>
  <c r="BH10"/>
  <c r="BG10"/>
  <c r="BI10"/>
  <c r="BN10"/>
  <c r="BV10"/>
  <c r="BT10"/>
  <c r="BS10"/>
  <c r="AH11"/>
  <c r="AL11"/>
  <c r="AG11"/>
  <c r="AK11"/>
  <c r="AJ11"/>
  <c r="AI11"/>
  <c r="V11"/>
  <c r="Z11"/>
  <c r="BB11"/>
  <c r="W11"/>
  <c r="X11"/>
  <c r="U11"/>
  <c r="Y11"/>
  <c r="BR10"/>
  <c r="BU10"/>
  <c r="BM10"/>
  <c r="BQ10"/>
  <c r="R11"/>
  <c r="Q11"/>
  <c r="P11"/>
  <c r="AZ11"/>
  <c r="O11"/>
  <c r="AY11"/>
  <c r="T11"/>
  <c r="S11"/>
  <c r="BA11"/>
  <c r="BK10"/>
  <c r="BP10"/>
  <c r="BO10"/>
  <c r="BL10"/>
  <c r="AD11"/>
  <c r="AB11"/>
  <c r="AE11"/>
  <c r="AC11"/>
  <c r="AF11"/>
  <c r="AA11"/>
  <c r="AP11"/>
  <c r="AM11"/>
  <c r="AR11"/>
  <c r="AQ11"/>
  <c r="AO11"/>
  <c r="AN11"/>
  <c r="AT11"/>
  <c r="AX11"/>
  <c r="AW11"/>
  <c r="AS11"/>
  <c r="AV11"/>
  <c r="AU11"/>
  <c r="F12" i="15"/>
  <c r="D12"/>
  <c r="H12"/>
  <c r="G12"/>
  <c r="E12"/>
  <c r="C12"/>
  <c r="J12"/>
  <c r="N12"/>
  <c r="I12"/>
  <c r="L12"/>
  <c r="K12"/>
  <c r="BF12"/>
  <c r="BE12"/>
  <c r="BD12"/>
  <c r="BC12"/>
  <c r="BJ10"/>
  <c r="BH10"/>
  <c r="BG10"/>
  <c r="BI10"/>
  <c r="BK10"/>
  <c r="BP10"/>
  <c r="BO10"/>
  <c r="BL10"/>
  <c r="BN10"/>
  <c r="BV10"/>
  <c r="BT10"/>
  <c r="BS10"/>
  <c r="AD11"/>
  <c r="AB11"/>
  <c r="AE11"/>
  <c r="AC11"/>
  <c r="AF11"/>
  <c r="AA11"/>
  <c r="AH11"/>
  <c r="AL11"/>
  <c r="AG11"/>
  <c r="AK11"/>
  <c r="AJ11"/>
  <c r="AI11"/>
  <c r="V11"/>
  <c r="Z11"/>
  <c r="BB11"/>
  <c r="W11"/>
  <c r="X11"/>
  <c r="U11"/>
  <c r="Y11"/>
  <c r="AP11"/>
  <c r="AM11"/>
  <c r="AR11"/>
  <c r="AQ11"/>
  <c r="AO11"/>
  <c r="AN11"/>
  <c r="BR10"/>
  <c r="BU10"/>
  <c r="BM10"/>
  <c r="BQ10"/>
  <c r="R11"/>
  <c r="Q11"/>
  <c r="P11"/>
  <c r="AZ11"/>
  <c r="O11"/>
  <c r="AY11"/>
  <c r="T11"/>
  <c r="S11"/>
  <c r="BA11"/>
  <c r="AT11"/>
  <c r="AX11"/>
  <c r="AW11"/>
  <c r="AS11"/>
  <c r="AV11"/>
  <c r="AU11"/>
  <c r="M13" l="1"/>
  <c r="M13" i="1"/>
  <c r="L13"/>
  <c r="K13"/>
  <c r="N13"/>
  <c r="I13"/>
  <c r="J13"/>
  <c r="D13"/>
  <c r="H13"/>
  <c r="E13"/>
  <c r="C13"/>
  <c r="G13"/>
  <c r="F13"/>
  <c r="BF13"/>
  <c r="BC13"/>
  <c r="BE13"/>
  <c r="BD13"/>
  <c r="BO11"/>
  <c r="BL11"/>
  <c r="BK11"/>
  <c r="BP11"/>
  <c r="BN11"/>
  <c r="BV11"/>
  <c r="BS11"/>
  <c r="BT11"/>
  <c r="AD12"/>
  <c r="AE12"/>
  <c r="AC12"/>
  <c r="AB12"/>
  <c r="AF12"/>
  <c r="AA12"/>
  <c r="AH12"/>
  <c r="AL12"/>
  <c r="AJ12"/>
  <c r="AK12"/>
  <c r="AI12"/>
  <c r="AG12"/>
  <c r="BR11"/>
  <c r="BM11"/>
  <c r="BU11"/>
  <c r="BQ11"/>
  <c r="R12"/>
  <c r="O12"/>
  <c r="T12"/>
  <c r="AZ12"/>
  <c r="P12"/>
  <c r="AY12"/>
  <c r="S12"/>
  <c r="Q12"/>
  <c r="BA12"/>
  <c r="V12"/>
  <c r="Z12"/>
  <c r="BB12"/>
  <c r="Y12"/>
  <c r="W12"/>
  <c r="U12"/>
  <c r="X12"/>
  <c r="BJ11"/>
  <c r="BH11"/>
  <c r="BG11"/>
  <c r="BI11"/>
  <c r="AT12"/>
  <c r="AX12"/>
  <c r="AU12"/>
  <c r="AW12"/>
  <c r="AV12"/>
  <c r="AS12"/>
  <c r="AP12"/>
  <c r="AO12"/>
  <c r="AR12"/>
  <c r="AQ12"/>
  <c r="AN12"/>
  <c r="AM12"/>
  <c r="F13" i="15"/>
  <c r="G13"/>
  <c r="H13"/>
  <c r="E13"/>
  <c r="D13"/>
  <c r="C13"/>
  <c r="J13"/>
  <c r="N13"/>
  <c r="L13"/>
  <c r="K13"/>
  <c r="I13"/>
  <c r="BF13"/>
  <c r="BC13"/>
  <c r="BE13"/>
  <c r="BD13"/>
  <c r="BO11"/>
  <c r="BL11"/>
  <c r="BK11"/>
  <c r="BP11"/>
  <c r="AD12"/>
  <c r="AE12"/>
  <c r="AC12"/>
  <c r="AB12"/>
  <c r="AF12"/>
  <c r="AA12"/>
  <c r="AH12"/>
  <c r="AL12"/>
  <c r="AJ12"/>
  <c r="AK12"/>
  <c r="AI12"/>
  <c r="AG12"/>
  <c r="BR11"/>
  <c r="BM11"/>
  <c r="BU11"/>
  <c r="BQ11"/>
  <c r="R12"/>
  <c r="O12"/>
  <c r="T12"/>
  <c r="AZ12"/>
  <c r="P12"/>
  <c r="AY12"/>
  <c r="S12"/>
  <c r="Q12"/>
  <c r="BA12"/>
  <c r="V12"/>
  <c r="Z12"/>
  <c r="BB12"/>
  <c r="Y12"/>
  <c r="W12"/>
  <c r="U12"/>
  <c r="X12"/>
  <c r="BJ11"/>
  <c r="BH11"/>
  <c r="BG11"/>
  <c r="BI11"/>
  <c r="BN11"/>
  <c r="BV11"/>
  <c r="BS11"/>
  <c r="BT11"/>
  <c r="AT12"/>
  <c r="AX12"/>
  <c r="AU12"/>
  <c r="AW12"/>
  <c r="AV12"/>
  <c r="AS12"/>
  <c r="AP12"/>
  <c r="AO12"/>
  <c r="AR12"/>
  <c r="AQ12"/>
  <c r="AN12"/>
  <c r="AM12"/>
  <c r="M14" l="1"/>
  <c r="M14" i="1"/>
  <c r="J14"/>
  <c r="N14"/>
  <c r="K14"/>
  <c r="I14"/>
  <c r="L14"/>
  <c r="F14"/>
  <c r="D14"/>
  <c r="G14"/>
  <c r="E14"/>
  <c r="H14"/>
  <c r="C14"/>
  <c r="BF14"/>
  <c r="BE14"/>
  <c r="BD14"/>
  <c r="BC14"/>
  <c r="BR12"/>
  <c r="BU12"/>
  <c r="BM12"/>
  <c r="BQ12"/>
  <c r="V13"/>
  <c r="Z13"/>
  <c r="BB13"/>
  <c r="W13"/>
  <c r="U13"/>
  <c r="Y13"/>
  <c r="X13"/>
  <c r="AH13"/>
  <c r="AL13"/>
  <c r="AG13"/>
  <c r="AJ13"/>
  <c r="AI13"/>
  <c r="AK13"/>
  <c r="BJ12"/>
  <c r="BG12"/>
  <c r="BI12"/>
  <c r="BH12"/>
  <c r="R13"/>
  <c r="Q13"/>
  <c r="O13"/>
  <c r="AY13"/>
  <c r="T13"/>
  <c r="S13"/>
  <c r="P13"/>
  <c r="BA13"/>
  <c r="AZ13"/>
  <c r="AP13"/>
  <c r="AM13"/>
  <c r="AR13"/>
  <c r="AQ13"/>
  <c r="AO13"/>
  <c r="AN13"/>
  <c r="AT13"/>
  <c r="AX13"/>
  <c r="AW13"/>
  <c r="AV13"/>
  <c r="AU13"/>
  <c r="AS13"/>
  <c r="BN12"/>
  <c r="BV12"/>
  <c r="BT12"/>
  <c r="BS12"/>
  <c r="BK12"/>
  <c r="BP12"/>
  <c r="BL12"/>
  <c r="BO12"/>
  <c r="AD13"/>
  <c r="AB13"/>
  <c r="AC13"/>
  <c r="AA13"/>
  <c r="AF13"/>
  <c r="AE13"/>
  <c r="F14" i="15"/>
  <c r="D14"/>
  <c r="G14"/>
  <c r="E14"/>
  <c r="C14"/>
  <c r="H14"/>
  <c r="J14"/>
  <c r="N14"/>
  <c r="I14"/>
  <c r="L14"/>
  <c r="K14"/>
  <c r="BF14"/>
  <c r="BE14"/>
  <c r="BD14"/>
  <c r="BC14"/>
  <c r="BR12"/>
  <c r="BU12"/>
  <c r="BM12"/>
  <c r="BQ12"/>
  <c r="V13"/>
  <c r="Z13"/>
  <c r="BB13"/>
  <c r="W13"/>
  <c r="U13"/>
  <c r="Y13"/>
  <c r="X13"/>
  <c r="AH13"/>
  <c r="AL13"/>
  <c r="AG13"/>
  <c r="AJ13"/>
  <c r="AI13"/>
  <c r="AK13"/>
  <c r="BJ12"/>
  <c r="BG12"/>
  <c r="BI12"/>
  <c r="BH12"/>
  <c r="R13"/>
  <c r="Q13"/>
  <c r="O13"/>
  <c r="AY13"/>
  <c r="T13"/>
  <c r="S13"/>
  <c r="P13"/>
  <c r="BA13"/>
  <c r="AZ13"/>
  <c r="AP13"/>
  <c r="AM13"/>
  <c r="AR13"/>
  <c r="AQ13"/>
  <c r="AO13"/>
  <c r="AN13"/>
  <c r="AT13"/>
  <c r="AX13"/>
  <c r="AW13"/>
  <c r="AV13"/>
  <c r="AU13"/>
  <c r="AS13"/>
  <c r="BN12"/>
  <c r="BV12"/>
  <c r="BT12"/>
  <c r="BS12"/>
  <c r="BK12"/>
  <c r="BP12"/>
  <c r="BL12"/>
  <c r="BO12"/>
  <c r="AD13"/>
  <c r="AB13"/>
  <c r="AC13"/>
  <c r="AA13"/>
  <c r="AF13"/>
  <c r="AE13"/>
  <c r="M15" l="1"/>
  <c r="M15" i="1"/>
  <c r="L15"/>
  <c r="J15"/>
  <c r="I15"/>
  <c r="K15"/>
  <c r="N15"/>
  <c r="D15"/>
  <c r="H15"/>
  <c r="F15"/>
  <c r="C15"/>
  <c r="G15"/>
  <c r="E15"/>
  <c r="BF15"/>
  <c r="BC15"/>
  <c r="BD15"/>
  <c r="BE15"/>
  <c r="BR13"/>
  <c r="BM13"/>
  <c r="BQ13"/>
  <c r="BU13"/>
  <c r="BJ13"/>
  <c r="BH13"/>
  <c r="BI13"/>
  <c r="BG13"/>
  <c r="R14"/>
  <c r="O14"/>
  <c r="T14"/>
  <c r="AZ14"/>
  <c r="S14"/>
  <c r="Q14"/>
  <c r="P14"/>
  <c r="BA14"/>
  <c r="AY14"/>
  <c r="AH14"/>
  <c r="AL14"/>
  <c r="AJ14"/>
  <c r="AI14"/>
  <c r="AG14"/>
  <c r="AK14"/>
  <c r="BL13"/>
  <c r="BK13"/>
  <c r="BP13"/>
  <c r="BO13"/>
  <c r="AT14"/>
  <c r="AX14"/>
  <c r="AU14"/>
  <c r="AW14"/>
  <c r="AV14"/>
  <c r="AS14"/>
  <c r="V14"/>
  <c r="Z14"/>
  <c r="BB14"/>
  <c r="Y14"/>
  <c r="U14"/>
  <c r="X14"/>
  <c r="W14"/>
  <c r="BN13"/>
  <c r="BV13"/>
  <c r="BS13"/>
  <c r="BT13"/>
  <c r="AP14"/>
  <c r="AO14"/>
  <c r="AQ14"/>
  <c r="AN14"/>
  <c r="AR14"/>
  <c r="AM14"/>
  <c r="AD14"/>
  <c r="AE14"/>
  <c r="AB14"/>
  <c r="AA14"/>
  <c r="AF14"/>
  <c r="AC14"/>
  <c r="F15" i="15"/>
  <c r="G15"/>
  <c r="E15"/>
  <c r="D15"/>
  <c r="C15"/>
  <c r="H15"/>
  <c r="J15"/>
  <c r="N15"/>
  <c r="L15"/>
  <c r="K15"/>
  <c r="I15"/>
  <c r="BF15"/>
  <c r="BC15"/>
  <c r="BD15"/>
  <c r="BE15"/>
  <c r="BR13"/>
  <c r="BM13"/>
  <c r="BQ13"/>
  <c r="BU13"/>
  <c r="BJ13"/>
  <c r="BH13"/>
  <c r="BI13"/>
  <c r="BG13"/>
  <c r="R14"/>
  <c r="O14"/>
  <c r="T14"/>
  <c r="AZ14"/>
  <c r="S14"/>
  <c r="Q14"/>
  <c r="P14"/>
  <c r="BA14"/>
  <c r="AY14"/>
  <c r="AH14"/>
  <c r="AL14"/>
  <c r="AJ14"/>
  <c r="AI14"/>
  <c r="AG14"/>
  <c r="AK14"/>
  <c r="BL13"/>
  <c r="BK13"/>
  <c r="BP13"/>
  <c r="BO13"/>
  <c r="AT14"/>
  <c r="AX14"/>
  <c r="AU14"/>
  <c r="AW14"/>
  <c r="AV14"/>
  <c r="AS14"/>
  <c r="V14"/>
  <c r="Z14"/>
  <c r="BB14"/>
  <c r="Y14"/>
  <c r="U14"/>
  <c r="X14"/>
  <c r="W14"/>
  <c r="BN13"/>
  <c r="BV13"/>
  <c r="BS13"/>
  <c r="BT13"/>
  <c r="AP14"/>
  <c r="AO14"/>
  <c r="AQ14"/>
  <c r="AN14"/>
  <c r="AR14"/>
  <c r="AM14"/>
  <c r="AD14"/>
  <c r="AE14"/>
  <c r="AB14"/>
  <c r="AA14"/>
  <c r="AF14"/>
  <c r="AC14"/>
  <c r="M16" l="1"/>
  <c r="M16" i="1"/>
  <c r="J16"/>
  <c r="N16"/>
  <c r="I16"/>
  <c r="L16"/>
  <c r="K16"/>
  <c r="F16"/>
  <c r="H16"/>
  <c r="C16"/>
  <c r="E16"/>
  <c r="D16"/>
  <c r="G16"/>
  <c r="BF16"/>
  <c r="BE16"/>
  <c r="BC16"/>
  <c r="BD16"/>
  <c r="BJ14"/>
  <c r="BI14"/>
  <c r="BH14"/>
  <c r="BG14"/>
  <c r="R15"/>
  <c r="Q15"/>
  <c r="T15"/>
  <c r="S15"/>
  <c r="BA15"/>
  <c r="P15"/>
  <c r="O15"/>
  <c r="AZ15"/>
  <c r="AY15"/>
  <c r="AH15"/>
  <c r="AL15"/>
  <c r="AG15"/>
  <c r="AI15"/>
  <c r="AK15"/>
  <c r="AJ15"/>
  <c r="AT15"/>
  <c r="AX15"/>
  <c r="AW15"/>
  <c r="AV15"/>
  <c r="AU15"/>
  <c r="AS15"/>
  <c r="AP15"/>
  <c r="AM15"/>
  <c r="AR15"/>
  <c r="AO15"/>
  <c r="AN15"/>
  <c r="AQ15"/>
  <c r="AD15"/>
  <c r="AB15"/>
  <c r="AA15"/>
  <c r="AF15"/>
  <c r="AE15"/>
  <c r="AC15"/>
  <c r="BN14"/>
  <c r="BV14"/>
  <c r="BS14"/>
  <c r="BT14"/>
  <c r="BR14"/>
  <c r="BU14"/>
  <c r="BQ14"/>
  <c r="BM14"/>
  <c r="BK14"/>
  <c r="BP14"/>
  <c r="BL14"/>
  <c r="BO14"/>
  <c r="V15"/>
  <c r="Z15"/>
  <c r="BB15"/>
  <c r="W15"/>
  <c r="Y15"/>
  <c r="X15"/>
  <c r="U15"/>
  <c r="F16" i="15"/>
  <c r="D16"/>
  <c r="E16"/>
  <c r="C16"/>
  <c r="H16"/>
  <c r="G16"/>
  <c r="J16"/>
  <c r="N16"/>
  <c r="I16"/>
  <c r="L16"/>
  <c r="K16"/>
  <c r="BF16"/>
  <c r="BE16"/>
  <c r="BC16"/>
  <c r="BD16"/>
  <c r="BJ14"/>
  <c r="BI14"/>
  <c r="BH14"/>
  <c r="BG14"/>
  <c r="R15"/>
  <c r="Q15"/>
  <c r="T15"/>
  <c r="S15"/>
  <c r="BA15"/>
  <c r="P15"/>
  <c r="O15"/>
  <c r="AZ15"/>
  <c r="AY15"/>
  <c r="AH15"/>
  <c r="AL15"/>
  <c r="AG15"/>
  <c r="AI15"/>
  <c r="AK15"/>
  <c r="AJ15"/>
  <c r="AT15"/>
  <c r="AX15"/>
  <c r="AW15"/>
  <c r="AV15"/>
  <c r="AU15"/>
  <c r="AS15"/>
  <c r="AP15"/>
  <c r="AM15"/>
  <c r="AR15"/>
  <c r="AO15"/>
  <c r="AN15"/>
  <c r="AQ15"/>
  <c r="AD15"/>
  <c r="AB15"/>
  <c r="AA15"/>
  <c r="AF15"/>
  <c r="AE15"/>
  <c r="AC15"/>
  <c r="BN14"/>
  <c r="BV14"/>
  <c r="BS14"/>
  <c r="BT14"/>
  <c r="BR14"/>
  <c r="BU14"/>
  <c r="BQ14"/>
  <c r="BM14"/>
  <c r="BK14"/>
  <c r="BP14"/>
  <c r="BL14"/>
  <c r="BO14"/>
  <c r="V15"/>
  <c r="Z15"/>
  <c r="BB15"/>
  <c r="W15"/>
  <c r="Y15"/>
  <c r="X15"/>
  <c r="U15"/>
  <c r="M17" l="1"/>
  <c r="M17" i="1"/>
  <c r="L17"/>
  <c r="K17"/>
  <c r="N17"/>
  <c r="I17"/>
  <c r="J17"/>
  <c r="D17"/>
  <c r="H17"/>
  <c r="E17"/>
  <c r="C17"/>
  <c r="G17"/>
  <c r="F17"/>
  <c r="BF17"/>
  <c r="BC17"/>
  <c r="BE17"/>
  <c r="BD17"/>
  <c r="BJ15"/>
  <c r="BH15"/>
  <c r="BI15"/>
  <c r="BG15"/>
  <c r="BR15"/>
  <c r="BM15"/>
  <c r="BQ15"/>
  <c r="BU15"/>
  <c r="AT16"/>
  <c r="AX16"/>
  <c r="AU16"/>
  <c r="AV16"/>
  <c r="AS16"/>
  <c r="AW16"/>
  <c r="AH16"/>
  <c r="AL16"/>
  <c r="AJ16"/>
  <c r="AG16"/>
  <c r="AK16"/>
  <c r="AI16"/>
  <c r="AP16"/>
  <c r="AO16"/>
  <c r="AN16"/>
  <c r="AM16"/>
  <c r="AR16"/>
  <c r="AQ16"/>
  <c r="V16"/>
  <c r="Z16"/>
  <c r="BB16"/>
  <c r="Y16"/>
  <c r="X16"/>
  <c r="W16"/>
  <c r="U16"/>
  <c r="AD16"/>
  <c r="AE16"/>
  <c r="AA16"/>
  <c r="AF16"/>
  <c r="AC16"/>
  <c r="AB16"/>
  <c r="BN15"/>
  <c r="BV15"/>
  <c r="BS15"/>
  <c r="BT15"/>
  <c r="BK15"/>
  <c r="BP15"/>
  <c r="BO15"/>
  <c r="BL15"/>
  <c r="R16"/>
  <c r="O16"/>
  <c r="T16"/>
  <c r="AZ16"/>
  <c r="S16"/>
  <c r="Q16"/>
  <c r="BA16"/>
  <c r="P16"/>
  <c r="AY16"/>
  <c r="F17" i="15"/>
  <c r="G17"/>
  <c r="D17"/>
  <c r="C17"/>
  <c r="H17"/>
  <c r="E17"/>
  <c r="J17"/>
  <c r="N17"/>
  <c r="L17"/>
  <c r="K17"/>
  <c r="I17"/>
  <c r="BF17"/>
  <c r="BC17"/>
  <c r="BE17"/>
  <c r="BD17"/>
  <c r="BJ15"/>
  <c r="BH15"/>
  <c r="BI15"/>
  <c r="BG15"/>
  <c r="BR15"/>
  <c r="BM15"/>
  <c r="BQ15"/>
  <c r="BU15"/>
  <c r="AT16"/>
  <c r="AX16"/>
  <c r="AU16"/>
  <c r="AV16"/>
  <c r="AS16"/>
  <c r="AW16"/>
  <c r="AH16"/>
  <c r="AL16"/>
  <c r="AJ16"/>
  <c r="AG16"/>
  <c r="AK16"/>
  <c r="AI16"/>
  <c r="AP16"/>
  <c r="AO16"/>
  <c r="AN16"/>
  <c r="AM16"/>
  <c r="AR16"/>
  <c r="AQ16"/>
  <c r="V16"/>
  <c r="Z16"/>
  <c r="BB16"/>
  <c r="Y16"/>
  <c r="X16"/>
  <c r="W16"/>
  <c r="U16"/>
  <c r="AD16"/>
  <c r="AE16"/>
  <c r="AA16"/>
  <c r="AF16"/>
  <c r="AC16"/>
  <c r="AB16"/>
  <c r="BN15"/>
  <c r="BV15"/>
  <c r="BS15"/>
  <c r="BT15"/>
  <c r="BK15"/>
  <c r="BP15"/>
  <c r="BO15"/>
  <c r="BL15"/>
  <c r="R16"/>
  <c r="O16"/>
  <c r="T16"/>
  <c r="AZ16"/>
  <c r="S16"/>
  <c r="Q16"/>
  <c r="BA16"/>
  <c r="P16"/>
  <c r="AY16"/>
  <c r="M18" l="1"/>
  <c r="M18" i="1"/>
  <c r="J18"/>
  <c r="N18"/>
  <c r="K18"/>
  <c r="I18"/>
  <c r="L18"/>
  <c r="F18"/>
  <c r="D18"/>
  <c r="G18"/>
  <c r="E18"/>
  <c r="H18"/>
  <c r="C18"/>
  <c r="BF18"/>
  <c r="BE18"/>
  <c r="BD18"/>
  <c r="BC18"/>
  <c r="BN16"/>
  <c r="BV16"/>
  <c r="BT16"/>
  <c r="BS16"/>
  <c r="AT17"/>
  <c r="AX17"/>
  <c r="AW17"/>
  <c r="AU17"/>
  <c r="AS17"/>
  <c r="AV17"/>
  <c r="AH17"/>
  <c r="AL17"/>
  <c r="AG17"/>
  <c r="AK17"/>
  <c r="AJ17"/>
  <c r="AI17"/>
  <c r="BR16"/>
  <c r="BU16"/>
  <c r="BQ16"/>
  <c r="BM16"/>
  <c r="AD17"/>
  <c r="AB17"/>
  <c r="AF17"/>
  <c r="AE17"/>
  <c r="AC17"/>
  <c r="AA17"/>
  <c r="AP17"/>
  <c r="AM17"/>
  <c r="AR17"/>
  <c r="AN17"/>
  <c r="AQ17"/>
  <c r="AO17"/>
  <c r="BK16"/>
  <c r="BP16"/>
  <c r="BO16"/>
  <c r="BL16"/>
  <c r="V17"/>
  <c r="Z17"/>
  <c r="BB17"/>
  <c r="W17"/>
  <c r="Y17"/>
  <c r="X17"/>
  <c r="U17"/>
  <c r="BJ16"/>
  <c r="BI16"/>
  <c r="BH16"/>
  <c r="BG16"/>
  <c r="R17"/>
  <c r="Q17"/>
  <c r="S17"/>
  <c r="BA17"/>
  <c r="P17"/>
  <c r="AZ17"/>
  <c r="O17"/>
  <c r="AY17"/>
  <c r="T17"/>
  <c r="F18" i="15"/>
  <c r="D18"/>
  <c r="C18"/>
  <c r="H18"/>
  <c r="G18"/>
  <c r="E18"/>
  <c r="J18"/>
  <c r="N18"/>
  <c r="I18"/>
  <c r="K18"/>
  <c r="L18"/>
  <c r="BF18"/>
  <c r="BE18"/>
  <c r="BD18"/>
  <c r="BC18"/>
  <c r="BN16"/>
  <c r="BV16"/>
  <c r="BT16"/>
  <c r="BS16"/>
  <c r="AT17"/>
  <c r="AX17"/>
  <c r="AW17"/>
  <c r="AU17"/>
  <c r="AS17"/>
  <c r="AV17"/>
  <c r="AH17"/>
  <c r="AL17"/>
  <c r="AG17"/>
  <c r="AK17"/>
  <c r="AJ17"/>
  <c r="AI17"/>
  <c r="BR16"/>
  <c r="BU16"/>
  <c r="BQ16"/>
  <c r="BM16"/>
  <c r="AD17"/>
  <c r="AB17"/>
  <c r="AF17"/>
  <c r="AE17"/>
  <c r="AC17"/>
  <c r="AA17"/>
  <c r="AP17"/>
  <c r="AM17"/>
  <c r="AR17"/>
  <c r="AN17"/>
  <c r="AQ17"/>
  <c r="AO17"/>
  <c r="BK16"/>
  <c r="BP16"/>
  <c r="BO16"/>
  <c r="BL16"/>
  <c r="V17"/>
  <c r="Z17"/>
  <c r="BB17"/>
  <c r="W17"/>
  <c r="Y17"/>
  <c r="X17"/>
  <c r="U17"/>
  <c r="BJ16"/>
  <c r="BI16"/>
  <c r="BH16"/>
  <c r="BG16"/>
  <c r="R17"/>
  <c r="Q17"/>
  <c r="S17"/>
  <c r="BA17"/>
  <c r="P17"/>
  <c r="AZ17"/>
  <c r="O17"/>
  <c r="AY17"/>
  <c r="T17"/>
  <c r="M19" l="1"/>
  <c r="M19" i="1"/>
  <c r="L19"/>
  <c r="J19"/>
  <c r="I19"/>
  <c r="K19"/>
  <c r="N19"/>
  <c r="D19"/>
  <c r="H19"/>
  <c r="F19"/>
  <c r="C19"/>
  <c r="G19"/>
  <c r="E19"/>
  <c r="BF19"/>
  <c r="BC19"/>
  <c r="BE19"/>
  <c r="BD19"/>
  <c r="BP17"/>
  <c r="BO17"/>
  <c r="BL17"/>
  <c r="BK17"/>
  <c r="AP18"/>
  <c r="AO18"/>
  <c r="AM18"/>
  <c r="AR18"/>
  <c r="AQ18"/>
  <c r="AN18"/>
  <c r="AH18"/>
  <c r="AL18"/>
  <c r="AJ18"/>
  <c r="AK18"/>
  <c r="AI18"/>
  <c r="AG18"/>
  <c r="AD18"/>
  <c r="AE18"/>
  <c r="AF18"/>
  <c r="AC18"/>
  <c r="AB18"/>
  <c r="AA18"/>
  <c r="V18"/>
  <c r="Z18"/>
  <c r="BB18"/>
  <c r="Y18"/>
  <c r="X18"/>
  <c r="W18"/>
  <c r="U18"/>
  <c r="BJ17"/>
  <c r="BH17"/>
  <c r="BI17"/>
  <c r="BG17"/>
  <c r="BR17"/>
  <c r="BM17"/>
  <c r="BU17"/>
  <c r="BQ17"/>
  <c r="BN17"/>
  <c r="BV17"/>
  <c r="BS17"/>
  <c r="BT17"/>
  <c r="R18"/>
  <c r="O18"/>
  <c r="T18"/>
  <c r="AZ18"/>
  <c r="Q18"/>
  <c r="BA18"/>
  <c r="P18"/>
  <c r="AY18"/>
  <c r="S18"/>
  <c r="AT18"/>
  <c r="AX18"/>
  <c r="AU18"/>
  <c r="AS18"/>
  <c r="AW18"/>
  <c r="AV18"/>
  <c r="F19" i="15"/>
  <c r="G19"/>
  <c r="C19"/>
  <c r="H19"/>
  <c r="E19"/>
  <c r="D19"/>
  <c r="J19"/>
  <c r="N19"/>
  <c r="L19"/>
  <c r="I19"/>
  <c r="K19"/>
  <c r="BF19"/>
  <c r="BC19"/>
  <c r="BE19"/>
  <c r="BD19"/>
  <c r="BP17"/>
  <c r="BO17"/>
  <c r="BL17"/>
  <c r="BK17"/>
  <c r="AP18"/>
  <c r="AO18"/>
  <c r="AM18"/>
  <c r="AR18"/>
  <c r="AQ18"/>
  <c r="AN18"/>
  <c r="AH18"/>
  <c r="AL18"/>
  <c r="AJ18"/>
  <c r="AK18"/>
  <c r="AI18"/>
  <c r="AG18"/>
  <c r="AD18"/>
  <c r="AE18"/>
  <c r="AF18"/>
  <c r="AC18"/>
  <c r="AB18"/>
  <c r="AA18"/>
  <c r="V18"/>
  <c r="Z18"/>
  <c r="BB18"/>
  <c r="Y18"/>
  <c r="X18"/>
  <c r="W18"/>
  <c r="U18"/>
  <c r="BJ17"/>
  <c r="BH17"/>
  <c r="BI17"/>
  <c r="BG17"/>
  <c r="BR17"/>
  <c r="BM17"/>
  <c r="BU17"/>
  <c r="BQ17"/>
  <c r="BN17"/>
  <c r="BV17"/>
  <c r="BS17"/>
  <c r="BT17"/>
  <c r="R18"/>
  <c r="O18"/>
  <c r="T18"/>
  <c r="AZ18"/>
  <c r="Q18"/>
  <c r="BA18"/>
  <c r="P18"/>
  <c r="AY18"/>
  <c r="S18"/>
  <c r="AT18"/>
  <c r="AX18"/>
  <c r="AU18"/>
  <c r="AS18"/>
  <c r="AW18"/>
  <c r="AV18"/>
  <c r="M20" l="1"/>
  <c r="M20" i="1"/>
  <c r="J20"/>
  <c r="N20"/>
  <c r="I20"/>
  <c r="L20"/>
  <c r="K20"/>
  <c r="F20"/>
  <c r="H20"/>
  <c r="C20"/>
  <c r="E20"/>
  <c r="D20"/>
  <c r="G20"/>
  <c r="BF20"/>
  <c r="BE20"/>
  <c r="BD20"/>
  <c r="BC20"/>
  <c r="BJ18"/>
  <c r="BH18"/>
  <c r="BG18"/>
  <c r="BI18"/>
  <c r="BK18"/>
  <c r="BP18"/>
  <c r="BO18"/>
  <c r="BL18"/>
  <c r="BN18"/>
  <c r="BV18"/>
  <c r="BT18"/>
  <c r="BS18"/>
  <c r="AD19"/>
  <c r="AB19"/>
  <c r="AA19"/>
  <c r="AF19"/>
  <c r="AE19"/>
  <c r="AC19"/>
  <c r="AH19"/>
  <c r="AL19"/>
  <c r="AG19"/>
  <c r="AK19"/>
  <c r="AJ19"/>
  <c r="AI19"/>
  <c r="V19"/>
  <c r="Z19"/>
  <c r="BB19"/>
  <c r="W19"/>
  <c r="U19"/>
  <c r="Y19"/>
  <c r="X19"/>
  <c r="AP19"/>
  <c r="AM19"/>
  <c r="AR19"/>
  <c r="AQ19"/>
  <c r="AO19"/>
  <c r="AN19"/>
  <c r="BR18"/>
  <c r="BU18"/>
  <c r="BM18"/>
  <c r="BQ18"/>
  <c r="R19"/>
  <c r="Q19"/>
  <c r="P19"/>
  <c r="O19"/>
  <c r="BA19"/>
  <c r="T19"/>
  <c r="AZ19"/>
  <c r="S19"/>
  <c r="AY19"/>
  <c r="AT19"/>
  <c r="AX19"/>
  <c r="AW19"/>
  <c r="AV19"/>
  <c r="AU19"/>
  <c r="AS19"/>
  <c r="F20" i="15"/>
  <c r="D20"/>
  <c r="C20"/>
  <c r="H20"/>
  <c r="G20"/>
  <c r="E20"/>
  <c r="J20"/>
  <c r="N20"/>
  <c r="I20"/>
  <c r="L20"/>
  <c r="K20"/>
  <c r="BF20"/>
  <c r="BE20"/>
  <c r="BD20"/>
  <c r="BC20"/>
  <c r="BJ18"/>
  <c r="BH18"/>
  <c r="BG18"/>
  <c r="BI18"/>
  <c r="BK18"/>
  <c r="BP18"/>
  <c r="BO18"/>
  <c r="BL18"/>
  <c r="BN18"/>
  <c r="BV18"/>
  <c r="BT18"/>
  <c r="BS18"/>
  <c r="AD19"/>
  <c r="AB19"/>
  <c r="AA19"/>
  <c r="AF19"/>
  <c r="AE19"/>
  <c r="AC19"/>
  <c r="AH19"/>
  <c r="AL19"/>
  <c r="AG19"/>
  <c r="AK19"/>
  <c r="AJ19"/>
  <c r="AI19"/>
  <c r="V19"/>
  <c r="Z19"/>
  <c r="BB19"/>
  <c r="W19"/>
  <c r="U19"/>
  <c r="Y19"/>
  <c r="X19"/>
  <c r="AP19"/>
  <c r="AM19"/>
  <c r="AR19"/>
  <c r="AQ19"/>
  <c r="AO19"/>
  <c r="AN19"/>
  <c r="BR18"/>
  <c r="BU18"/>
  <c r="BM18"/>
  <c r="BQ18"/>
  <c r="R19"/>
  <c r="Q19"/>
  <c r="P19"/>
  <c r="O19"/>
  <c r="BA19"/>
  <c r="T19"/>
  <c r="AZ19"/>
  <c r="S19"/>
  <c r="AY19"/>
  <c r="AT19"/>
  <c r="AX19"/>
  <c r="AW19"/>
  <c r="AV19"/>
  <c r="AU19"/>
  <c r="AS19"/>
  <c r="M21" l="1"/>
  <c r="M21" i="1"/>
  <c r="L21"/>
  <c r="K21"/>
  <c r="N21"/>
  <c r="I21"/>
  <c r="J21"/>
  <c r="D21"/>
  <c r="H21"/>
  <c r="E21"/>
  <c r="C21"/>
  <c r="G21"/>
  <c r="F21"/>
  <c r="BF21"/>
  <c r="BC21"/>
  <c r="BE21"/>
  <c r="BD21"/>
  <c r="AP20"/>
  <c r="AO20"/>
  <c r="AN20"/>
  <c r="AM20"/>
  <c r="AR20"/>
  <c r="AQ20"/>
  <c r="AH20"/>
  <c r="AL20"/>
  <c r="AJ20"/>
  <c r="AI20"/>
  <c r="AK20"/>
  <c r="AG20"/>
  <c r="BJ19"/>
  <c r="BH19"/>
  <c r="BG19"/>
  <c r="BI19"/>
  <c r="BR19"/>
  <c r="BM19"/>
  <c r="BQ19"/>
  <c r="BU19"/>
  <c r="AD20"/>
  <c r="AE20"/>
  <c r="AC20"/>
  <c r="AB20"/>
  <c r="AA20"/>
  <c r="AF20"/>
  <c r="V20"/>
  <c r="Z20"/>
  <c r="BB20"/>
  <c r="Y20"/>
  <c r="X20"/>
  <c r="W20"/>
  <c r="U20"/>
  <c r="BN19"/>
  <c r="BV19"/>
  <c r="BS19"/>
  <c r="BT19"/>
  <c r="R20"/>
  <c r="O20"/>
  <c r="T20"/>
  <c r="AZ20"/>
  <c r="S20"/>
  <c r="AY20"/>
  <c r="Q20"/>
  <c r="P20"/>
  <c r="BA20"/>
  <c r="BL19"/>
  <c r="BP19"/>
  <c r="BO19"/>
  <c r="BK19"/>
  <c r="AT20"/>
  <c r="AX20"/>
  <c r="AU20"/>
  <c r="AS20"/>
  <c r="AW20"/>
  <c r="AV20"/>
  <c r="F21" i="15"/>
  <c r="G21"/>
  <c r="E21"/>
  <c r="H21"/>
  <c r="D21"/>
  <c r="C21"/>
  <c r="J21"/>
  <c r="N21"/>
  <c r="L21"/>
  <c r="K21"/>
  <c r="I21"/>
  <c r="BF21"/>
  <c r="BC21"/>
  <c r="BE21"/>
  <c r="BD21"/>
  <c r="AP20"/>
  <c r="AO20"/>
  <c r="AN20"/>
  <c r="AM20"/>
  <c r="AR20"/>
  <c r="AQ20"/>
  <c r="AH20"/>
  <c r="AL20"/>
  <c r="AJ20"/>
  <c r="AI20"/>
  <c r="AK20"/>
  <c r="AG20"/>
  <c r="BJ19"/>
  <c r="BH19"/>
  <c r="BG19"/>
  <c r="BI19"/>
  <c r="BR19"/>
  <c r="BM19"/>
  <c r="BQ19"/>
  <c r="BU19"/>
  <c r="AD20"/>
  <c r="AE20"/>
  <c r="AC20"/>
  <c r="AB20"/>
  <c r="AA20"/>
  <c r="AF20"/>
  <c r="V20"/>
  <c r="Z20"/>
  <c r="BB20"/>
  <c r="Y20"/>
  <c r="X20"/>
  <c r="W20"/>
  <c r="U20"/>
  <c r="BN19"/>
  <c r="BV19"/>
  <c r="BS19"/>
  <c r="BT19"/>
  <c r="R20"/>
  <c r="O20"/>
  <c r="T20"/>
  <c r="AZ20"/>
  <c r="S20"/>
  <c r="AY20"/>
  <c r="Q20"/>
  <c r="P20"/>
  <c r="BA20"/>
  <c r="BL19"/>
  <c r="BP19"/>
  <c r="BO19"/>
  <c r="BK19"/>
  <c r="AT20"/>
  <c r="AX20"/>
  <c r="AU20"/>
  <c r="AS20"/>
  <c r="AW20"/>
  <c r="AV20"/>
  <c r="M22" l="1"/>
  <c r="M22" i="1"/>
  <c r="J22"/>
  <c r="N22"/>
  <c r="K22"/>
  <c r="I22"/>
  <c r="L22"/>
  <c r="F22"/>
  <c r="D22"/>
  <c r="G22"/>
  <c r="E22"/>
  <c r="H22"/>
  <c r="C22"/>
  <c r="BF22"/>
  <c r="BE22"/>
  <c r="BD22"/>
  <c r="BC22"/>
  <c r="BK20"/>
  <c r="BP20"/>
  <c r="BO20"/>
  <c r="BL20"/>
  <c r="BN20"/>
  <c r="BV20"/>
  <c r="BT20"/>
  <c r="BS20"/>
  <c r="V21"/>
  <c r="Z21"/>
  <c r="BB21"/>
  <c r="W21"/>
  <c r="U21"/>
  <c r="Y21"/>
  <c r="X21"/>
  <c r="AH21"/>
  <c r="AL21"/>
  <c r="AG21"/>
  <c r="AK21"/>
  <c r="AJ21"/>
  <c r="AI21"/>
  <c r="BR20"/>
  <c r="BU20"/>
  <c r="BQ20"/>
  <c r="BM20"/>
  <c r="R21"/>
  <c r="Q21"/>
  <c r="P21"/>
  <c r="BA21"/>
  <c r="T21"/>
  <c r="AZ21"/>
  <c r="S21"/>
  <c r="AY21"/>
  <c r="O21"/>
  <c r="AP21"/>
  <c r="AM21"/>
  <c r="AR21"/>
  <c r="AQ21"/>
  <c r="AO21"/>
  <c r="AN21"/>
  <c r="BJ20"/>
  <c r="BI20"/>
  <c r="BH20"/>
  <c r="BG20"/>
  <c r="AD21"/>
  <c r="AB21"/>
  <c r="AA21"/>
  <c r="AF21"/>
  <c r="AE21"/>
  <c r="AC21"/>
  <c r="AT21"/>
  <c r="AX21"/>
  <c r="AW21"/>
  <c r="AV21"/>
  <c r="AU21"/>
  <c r="AS21"/>
  <c r="F22" i="15"/>
  <c r="D22"/>
  <c r="C22"/>
  <c r="H22"/>
  <c r="G22"/>
  <c r="E22"/>
  <c r="J22"/>
  <c r="N22"/>
  <c r="I22"/>
  <c r="L22"/>
  <c r="K22"/>
  <c r="BF22"/>
  <c r="BE22"/>
  <c r="BD22"/>
  <c r="BC22"/>
  <c r="BK20"/>
  <c r="BP20"/>
  <c r="BO20"/>
  <c r="BL20"/>
  <c r="BN20"/>
  <c r="BV20"/>
  <c r="BT20"/>
  <c r="BS20"/>
  <c r="V21"/>
  <c r="Z21"/>
  <c r="BB21"/>
  <c r="W21"/>
  <c r="U21"/>
  <c r="Y21"/>
  <c r="X21"/>
  <c r="AH21"/>
  <c r="AL21"/>
  <c r="AG21"/>
  <c r="AK21"/>
  <c r="AJ21"/>
  <c r="AI21"/>
  <c r="BR20"/>
  <c r="BU20"/>
  <c r="BQ20"/>
  <c r="BM20"/>
  <c r="R21"/>
  <c r="Q21"/>
  <c r="P21"/>
  <c r="BA21"/>
  <c r="T21"/>
  <c r="AZ21"/>
  <c r="S21"/>
  <c r="AY21"/>
  <c r="O21"/>
  <c r="AP21"/>
  <c r="AM21"/>
  <c r="AR21"/>
  <c r="AQ21"/>
  <c r="AO21"/>
  <c r="AN21"/>
  <c r="BJ20"/>
  <c r="BI20"/>
  <c r="BH20"/>
  <c r="BG20"/>
  <c r="AD21"/>
  <c r="AB21"/>
  <c r="AA21"/>
  <c r="AF21"/>
  <c r="AE21"/>
  <c r="AC21"/>
  <c r="AT21"/>
  <c r="AX21"/>
  <c r="AW21"/>
  <c r="AV21"/>
  <c r="AU21"/>
  <c r="AS21"/>
  <c r="M23" l="1"/>
  <c r="M23" i="1"/>
  <c r="L23"/>
  <c r="J23"/>
  <c r="I23"/>
  <c r="K23"/>
  <c r="N23"/>
  <c r="D23"/>
  <c r="H23"/>
  <c r="F23"/>
  <c r="C23"/>
  <c r="G23"/>
  <c r="E23"/>
  <c r="BF23"/>
  <c r="BC23"/>
  <c r="BE23"/>
  <c r="BD23"/>
  <c r="BJ21"/>
  <c r="BH21"/>
  <c r="BG21"/>
  <c r="BI21"/>
  <c r="BR21"/>
  <c r="BM21"/>
  <c r="BQ21"/>
  <c r="BU21"/>
  <c r="AP22"/>
  <c r="AO22"/>
  <c r="AN22"/>
  <c r="AR22"/>
  <c r="AQ22"/>
  <c r="AM22"/>
  <c r="AH22"/>
  <c r="AL22"/>
  <c r="AJ22"/>
  <c r="AI22"/>
  <c r="AG22"/>
  <c r="AK22"/>
  <c r="AD22"/>
  <c r="AE22"/>
  <c r="AC22"/>
  <c r="AF22"/>
  <c r="AB22"/>
  <c r="AA22"/>
  <c r="V22"/>
  <c r="Z22"/>
  <c r="BB22"/>
  <c r="Y22"/>
  <c r="X22"/>
  <c r="W22"/>
  <c r="U22"/>
  <c r="BL21"/>
  <c r="BK21"/>
  <c r="BP21"/>
  <c r="BO21"/>
  <c r="BN21"/>
  <c r="BV21"/>
  <c r="BS21"/>
  <c r="BT21"/>
  <c r="R22"/>
  <c r="O22"/>
  <c r="T22"/>
  <c r="AZ22"/>
  <c r="S22"/>
  <c r="AY22"/>
  <c r="BA22"/>
  <c r="Q22"/>
  <c r="P22"/>
  <c r="AT22"/>
  <c r="AX22"/>
  <c r="AU22"/>
  <c r="AS22"/>
  <c r="AW22"/>
  <c r="AV22"/>
  <c r="F23" i="15"/>
  <c r="G23"/>
  <c r="E23"/>
  <c r="D23"/>
  <c r="C23"/>
  <c r="H23"/>
  <c r="J23"/>
  <c r="N23"/>
  <c r="L23"/>
  <c r="K23"/>
  <c r="I23"/>
  <c r="BF23"/>
  <c r="BC23"/>
  <c r="BE23"/>
  <c r="BD23"/>
  <c r="BJ21"/>
  <c r="BH21"/>
  <c r="BG21"/>
  <c r="BI21"/>
  <c r="BR21"/>
  <c r="BM21"/>
  <c r="BQ21"/>
  <c r="BU21"/>
  <c r="AP22"/>
  <c r="AO22"/>
  <c r="AN22"/>
  <c r="AR22"/>
  <c r="AQ22"/>
  <c r="AM22"/>
  <c r="AH22"/>
  <c r="AL22"/>
  <c r="AJ22"/>
  <c r="AI22"/>
  <c r="AG22"/>
  <c r="AK22"/>
  <c r="AD22"/>
  <c r="AE22"/>
  <c r="AC22"/>
  <c r="AF22"/>
  <c r="AB22"/>
  <c r="AA22"/>
  <c r="V22"/>
  <c r="Z22"/>
  <c r="BB22"/>
  <c r="Y22"/>
  <c r="X22"/>
  <c r="W22"/>
  <c r="U22"/>
  <c r="BL21"/>
  <c r="BK21"/>
  <c r="BP21"/>
  <c r="BO21"/>
  <c r="BN21"/>
  <c r="BV21"/>
  <c r="BS21"/>
  <c r="BT21"/>
  <c r="R22"/>
  <c r="O22"/>
  <c r="T22"/>
  <c r="AZ22"/>
  <c r="S22"/>
  <c r="AY22"/>
  <c r="BA22"/>
  <c r="Q22"/>
  <c r="P22"/>
  <c r="AT22"/>
  <c r="AX22"/>
  <c r="AU22"/>
  <c r="AS22"/>
  <c r="AW22"/>
  <c r="AV22"/>
  <c r="M24" l="1"/>
  <c r="M24" i="1"/>
  <c r="J24"/>
  <c r="N24"/>
  <c r="I24"/>
  <c r="L24"/>
  <c r="K24"/>
  <c r="F24"/>
  <c r="H24"/>
  <c r="C24"/>
  <c r="E24"/>
  <c r="D24"/>
  <c r="G24"/>
  <c r="BF24"/>
  <c r="BE24"/>
  <c r="BD24"/>
  <c r="BC24"/>
  <c r="BK22"/>
  <c r="BP22"/>
  <c r="BO22"/>
  <c r="BL22"/>
  <c r="BN22"/>
  <c r="BV22"/>
  <c r="BT22"/>
  <c r="BS22"/>
  <c r="R23"/>
  <c r="Q23"/>
  <c r="BA23"/>
  <c r="P23"/>
  <c r="O23"/>
  <c r="T23"/>
  <c r="AZ23"/>
  <c r="S23"/>
  <c r="AY23"/>
  <c r="AH23"/>
  <c r="AL23"/>
  <c r="AG23"/>
  <c r="AK23"/>
  <c r="AJ23"/>
  <c r="AI23"/>
  <c r="AT23"/>
  <c r="AX23"/>
  <c r="AW23"/>
  <c r="AV23"/>
  <c r="AU23"/>
  <c r="AS23"/>
  <c r="AP23"/>
  <c r="AM23"/>
  <c r="AR23"/>
  <c r="AQ23"/>
  <c r="AO23"/>
  <c r="AN23"/>
  <c r="BJ22"/>
  <c r="BI22"/>
  <c r="BH22"/>
  <c r="BG22"/>
  <c r="AD23"/>
  <c r="AB23"/>
  <c r="AF23"/>
  <c r="AA23"/>
  <c r="AE23"/>
  <c r="AC23"/>
  <c r="BR22"/>
  <c r="BU22"/>
  <c r="BM22"/>
  <c r="BQ22"/>
  <c r="V23"/>
  <c r="Z23"/>
  <c r="BB23"/>
  <c r="W23"/>
  <c r="U23"/>
  <c r="Y23"/>
  <c r="X23"/>
  <c r="F24" i="15"/>
  <c r="D24"/>
  <c r="C24"/>
  <c r="H24"/>
  <c r="G24"/>
  <c r="E24"/>
  <c r="J24"/>
  <c r="N24"/>
  <c r="I24"/>
  <c r="L24"/>
  <c r="K24"/>
  <c r="BF24"/>
  <c r="BE24"/>
  <c r="BD24"/>
  <c r="BC24"/>
  <c r="BK22"/>
  <c r="BP22"/>
  <c r="BO22"/>
  <c r="BL22"/>
  <c r="BN22"/>
  <c r="BV22"/>
  <c r="BT22"/>
  <c r="BS22"/>
  <c r="R23"/>
  <c r="Q23"/>
  <c r="P23"/>
  <c r="BA23"/>
  <c r="O23"/>
  <c r="T23"/>
  <c r="AZ23"/>
  <c r="S23"/>
  <c r="AY23"/>
  <c r="AH23"/>
  <c r="AL23"/>
  <c r="AG23"/>
  <c r="AK23"/>
  <c r="AJ23"/>
  <c r="AI23"/>
  <c r="AT23"/>
  <c r="AX23"/>
  <c r="AW23"/>
  <c r="AV23"/>
  <c r="AU23"/>
  <c r="AS23"/>
  <c r="AP23"/>
  <c r="AM23"/>
  <c r="AR23"/>
  <c r="AQ23"/>
  <c r="AO23"/>
  <c r="AN23"/>
  <c r="BJ22"/>
  <c r="BI22"/>
  <c r="BH22"/>
  <c r="BG22"/>
  <c r="AD23"/>
  <c r="AB23"/>
  <c r="AA23"/>
  <c r="AF23"/>
  <c r="AE23"/>
  <c r="AC23"/>
  <c r="BR22"/>
  <c r="BU22"/>
  <c r="BM22"/>
  <c r="BQ22"/>
  <c r="V23"/>
  <c r="Z23"/>
  <c r="BB23"/>
  <c r="W23"/>
  <c r="U23"/>
  <c r="Y23"/>
  <c r="X23"/>
  <c r="M25" l="1"/>
  <c r="M25" i="1"/>
  <c r="L25"/>
  <c r="K25"/>
  <c r="N25"/>
  <c r="I25"/>
  <c r="J25"/>
  <c r="D25"/>
  <c r="H25"/>
  <c r="E25"/>
  <c r="C25"/>
  <c r="G25"/>
  <c r="F25"/>
  <c r="BF25"/>
  <c r="BC25"/>
  <c r="BE25"/>
  <c r="BD25"/>
  <c r="BJ23"/>
  <c r="BH23"/>
  <c r="BG23"/>
  <c r="BI23"/>
  <c r="AP24"/>
  <c r="AO24"/>
  <c r="AN24"/>
  <c r="AM24"/>
  <c r="AR24"/>
  <c r="AQ24"/>
  <c r="AH24"/>
  <c r="AL24"/>
  <c r="AJ24"/>
  <c r="AI24"/>
  <c r="AK24"/>
  <c r="AG24"/>
  <c r="AD24"/>
  <c r="AE24"/>
  <c r="AC24"/>
  <c r="AB24"/>
  <c r="AA24"/>
  <c r="AF24"/>
  <c r="V24"/>
  <c r="Z24"/>
  <c r="BB24"/>
  <c r="Y24"/>
  <c r="X24"/>
  <c r="W24"/>
  <c r="U24"/>
  <c r="BL23"/>
  <c r="BP23"/>
  <c r="BO23"/>
  <c r="BK23"/>
  <c r="BR23"/>
  <c r="BM23"/>
  <c r="BQ23"/>
  <c r="BU23"/>
  <c r="R24"/>
  <c r="O24"/>
  <c r="T24"/>
  <c r="AZ24"/>
  <c r="S24"/>
  <c r="AY24"/>
  <c r="Q24"/>
  <c r="P24"/>
  <c r="BA24"/>
  <c r="BN23"/>
  <c r="BV23"/>
  <c r="BS23"/>
  <c r="BT23"/>
  <c r="AT24"/>
  <c r="AX24"/>
  <c r="AU24"/>
  <c r="AS24"/>
  <c r="AW24"/>
  <c r="AV24"/>
  <c r="F25" i="15"/>
  <c r="G25"/>
  <c r="E25"/>
  <c r="H25"/>
  <c r="D25"/>
  <c r="C25"/>
  <c r="J25"/>
  <c r="N25"/>
  <c r="L25"/>
  <c r="K25"/>
  <c r="I25"/>
  <c r="BF25"/>
  <c r="BC25"/>
  <c r="BE25"/>
  <c r="BD25"/>
  <c r="BJ23"/>
  <c r="BH23"/>
  <c r="BG23"/>
  <c r="BI23"/>
  <c r="AP24"/>
  <c r="AO24"/>
  <c r="AN24"/>
  <c r="AM24"/>
  <c r="AR24"/>
  <c r="AQ24"/>
  <c r="AH24"/>
  <c r="AL24"/>
  <c r="AJ24"/>
  <c r="AI24"/>
  <c r="AK24"/>
  <c r="AG24"/>
  <c r="AD24"/>
  <c r="AE24"/>
  <c r="AC24"/>
  <c r="AB24"/>
  <c r="AA24"/>
  <c r="AF24"/>
  <c r="V24"/>
  <c r="Z24"/>
  <c r="BB24"/>
  <c r="Y24"/>
  <c r="X24"/>
  <c r="W24"/>
  <c r="U24"/>
  <c r="BL23"/>
  <c r="BP23"/>
  <c r="BO23"/>
  <c r="BK23"/>
  <c r="R24"/>
  <c r="O24"/>
  <c r="T24"/>
  <c r="AZ24"/>
  <c r="S24"/>
  <c r="AY24"/>
  <c r="Q24"/>
  <c r="P24"/>
  <c r="BA24"/>
  <c r="BN23"/>
  <c r="BV23"/>
  <c r="BS23"/>
  <c r="BT23"/>
  <c r="BR23"/>
  <c r="BM23"/>
  <c r="BQ23"/>
  <c r="BU23"/>
  <c r="AT24"/>
  <c r="AX24"/>
  <c r="AU24"/>
  <c r="AS24"/>
  <c r="AW24"/>
  <c r="AV24"/>
  <c r="M26" l="1"/>
  <c r="M26" i="1"/>
  <c r="J26"/>
  <c r="N26"/>
  <c r="K26"/>
  <c r="I26"/>
  <c r="L26"/>
  <c r="F26"/>
  <c r="D26"/>
  <c r="G26"/>
  <c r="E26"/>
  <c r="H26"/>
  <c r="C26"/>
  <c r="BF26"/>
  <c r="BE26"/>
  <c r="BD26"/>
  <c r="BC26"/>
  <c r="BN24"/>
  <c r="BV24"/>
  <c r="BT24"/>
  <c r="BS24"/>
  <c r="V25"/>
  <c r="Z25"/>
  <c r="BB25"/>
  <c r="W25"/>
  <c r="U25"/>
  <c r="Y25"/>
  <c r="X25"/>
  <c r="R25"/>
  <c r="Q25"/>
  <c r="P25"/>
  <c r="BA25"/>
  <c r="T25"/>
  <c r="AZ25"/>
  <c r="S25"/>
  <c r="AY25"/>
  <c r="O25"/>
  <c r="BK24"/>
  <c r="BP24"/>
  <c r="BO24"/>
  <c r="BL24"/>
  <c r="AH25"/>
  <c r="AL25"/>
  <c r="AG25"/>
  <c r="AK25"/>
  <c r="AJ25"/>
  <c r="AI25"/>
  <c r="BR24"/>
  <c r="BU24"/>
  <c r="BQ24"/>
  <c r="BM24"/>
  <c r="AP25"/>
  <c r="AM25"/>
  <c r="AR25"/>
  <c r="AQ25"/>
  <c r="AO25"/>
  <c r="AN25"/>
  <c r="BJ24"/>
  <c r="BI24"/>
  <c r="BH24"/>
  <c r="BG24"/>
  <c r="AD25"/>
  <c r="AB25"/>
  <c r="AA25"/>
  <c r="AF25"/>
  <c r="AE25"/>
  <c r="AC25"/>
  <c r="AT25"/>
  <c r="AX25"/>
  <c r="AW25"/>
  <c r="AV25"/>
  <c r="AU25"/>
  <c r="AS25"/>
  <c r="F26" i="15"/>
  <c r="D26"/>
  <c r="C26"/>
  <c r="H26"/>
  <c r="G26"/>
  <c r="E26"/>
  <c r="J26"/>
  <c r="N26"/>
  <c r="I26"/>
  <c r="L26"/>
  <c r="K26"/>
  <c r="BF26"/>
  <c r="BE26"/>
  <c r="BD26"/>
  <c r="BC26"/>
  <c r="BK24"/>
  <c r="BP24"/>
  <c r="BO24"/>
  <c r="BL24"/>
  <c r="BN24"/>
  <c r="BV24"/>
  <c r="BT24"/>
  <c r="BS24"/>
  <c r="V25"/>
  <c r="Z25"/>
  <c r="BB25"/>
  <c r="W25"/>
  <c r="U25"/>
  <c r="Y25"/>
  <c r="X25"/>
  <c r="AH25"/>
  <c r="AL25"/>
  <c r="AG25"/>
  <c r="AK25"/>
  <c r="AJ25"/>
  <c r="AI25"/>
  <c r="BR24"/>
  <c r="BU24"/>
  <c r="BQ24"/>
  <c r="BM24"/>
  <c r="R25"/>
  <c r="Q25"/>
  <c r="P25"/>
  <c r="BA25"/>
  <c r="T25"/>
  <c r="AZ25"/>
  <c r="S25"/>
  <c r="AY25"/>
  <c r="O25"/>
  <c r="AP25"/>
  <c r="AM25"/>
  <c r="AR25"/>
  <c r="AQ25"/>
  <c r="AO25"/>
  <c r="AN25"/>
  <c r="BJ24"/>
  <c r="BI24"/>
  <c r="BH24"/>
  <c r="BG24"/>
  <c r="AD25"/>
  <c r="AB25"/>
  <c r="AA25"/>
  <c r="AF25"/>
  <c r="AE25"/>
  <c r="AC25"/>
  <c r="AT25"/>
  <c r="AX25"/>
  <c r="AW25"/>
  <c r="AV25"/>
  <c r="AU25"/>
  <c r="AS25"/>
  <c r="M27" l="1"/>
  <c r="M27" i="1"/>
  <c r="L27"/>
  <c r="J27"/>
  <c r="I27"/>
  <c r="K27"/>
  <c r="N27"/>
  <c r="D27"/>
  <c r="H27"/>
  <c r="F27"/>
  <c r="C27"/>
  <c r="G27"/>
  <c r="E27"/>
  <c r="BF27"/>
  <c r="BC27"/>
  <c r="BE27"/>
  <c r="BD27"/>
  <c r="AP26"/>
  <c r="AO26"/>
  <c r="AN26"/>
  <c r="AR26"/>
  <c r="AQ26"/>
  <c r="AM26"/>
  <c r="AH26"/>
  <c r="AL26"/>
  <c r="AJ26"/>
  <c r="AI26"/>
  <c r="AG26"/>
  <c r="AK26"/>
  <c r="AD26"/>
  <c r="AE26"/>
  <c r="AC26"/>
  <c r="AF26"/>
  <c r="AB26"/>
  <c r="AA26"/>
  <c r="V26"/>
  <c r="Z26"/>
  <c r="BB26"/>
  <c r="Y26"/>
  <c r="X26"/>
  <c r="W26"/>
  <c r="U26"/>
  <c r="BJ25"/>
  <c r="BH25"/>
  <c r="BG25"/>
  <c r="BI25"/>
  <c r="BR25"/>
  <c r="BM25"/>
  <c r="BQ25"/>
  <c r="BU25"/>
  <c r="BN25"/>
  <c r="BV25"/>
  <c r="BS25"/>
  <c r="BT25"/>
  <c r="AT26"/>
  <c r="AX26"/>
  <c r="AU26"/>
  <c r="AS26"/>
  <c r="AW26"/>
  <c r="AV26"/>
  <c r="BL25"/>
  <c r="BK25"/>
  <c r="BP25"/>
  <c r="BO25"/>
  <c r="R26"/>
  <c r="O26"/>
  <c r="T26"/>
  <c r="AZ26"/>
  <c r="S26"/>
  <c r="AY26"/>
  <c r="BA26"/>
  <c r="Q26"/>
  <c r="P26"/>
  <c r="F27" i="15"/>
  <c r="G27"/>
  <c r="E27"/>
  <c r="D27"/>
  <c r="C27"/>
  <c r="H27"/>
  <c r="J27"/>
  <c r="N27"/>
  <c r="L27"/>
  <c r="K27"/>
  <c r="I27"/>
  <c r="BF27"/>
  <c r="BC27"/>
  <c r="BE27"/>
  <c r="BD27"/>
  <c r="BJ25"/>
  <c r="BH25"/>
  <c r="BG25"/>
  <c r="BI25"/>
  <c r="BR25"/>
  <c r="BM25"/>
  <c r="BQ25"/>
  <c r="BU25"/>
  <c r="AP26"/>
  <c r="AO26"/>
  <c r="AN26"/>
  <c r="AR26"/>
  <c r="AQ26"/>
  <c r="AM26"/>
  <c r="AH26"/>
  <c r="AL26"/>
  <c r="AJ26"/>
  <c r="AI26"/>
  <c r="AG26"/>
  <c r="AK26"/>
  <c r="AD26"/>
  <c r="AE26"/>
  <c r="AC26"/>
  <c r="AF26"/>
  <c r="AB26"/>
  <c r="AA26"/>
  <c r="V26"/>
  <c r="Z26"/>
  <c r="BB26"/>
  <c r="Y26"/>
  <c r="X26"/>
  <c r="W26"/>
  <c r="U26"/>
  <c r="BL25"/>
  <c r="BK25"/>
  <c r="BP25"/>
  <c r="BO25"/>
  <c r="BN25"/>
  <c r="BV25"/>
  <c r="BS25"/>
  <c r="BT25"/>
  <c r="R26"/>
  <c r="O26"/>
  <c r="T26"/>
  <c r="AZ26"/>
  <c r="S26"/>
  <c r="AY26"/>
  <c r="BA26"/>
  <c r="Q26"/>
  <c r="P26"/>
  <c r="AT26"/>
  <c r="AX26"/>
  <c r="AU26"/>
  <c r="AS26"/>
  <c r="AW26"/>
  <c r="AV26"/>
  <c r="M28" l="1"/>
  <c r="M28" i="1"/>
  <c r="J28"/>
  <c r="N28"/>
  <c r="I28"/>
  <c r="L28"/>
  <c r="K28"/>
  <c r="F28"/>
  <c r="H28"/>
  <c r="C28"/>
  <c r="E28"/>
  <c r="D28"/>
  <c r="G28"/>
  <c r="BF28"/>
  <c r="BE28"/>
  <c r="BD28"/>
  <c r="BC28"/>
  <c r="BN26"/>
  <c r="BV26"/>
  <c r="BT26"/>
  <c r="BS26"/>
  <c r="AH27"/>
  <c r="AL27"/>
  <c r="AG27"/>
  <c r="AK27"/>
  <c r="AJ27"/>
  <c r="AI27"/>
  <c r="BR26"/>
  <c r="BU26"/>
  <c r="BM26"/>
  <c r="BQ26"/>
  <c r="AP27"/>
  <c r="AM27"/>
  <c r="AR27"/>
  <c r="AQ27"/>
  <c r="AO27"/>
  <c r="AN27"/>
  <c r="BK26"/>
  <c r="BP26"/>
  <c r="BO26"/>
  <c r="BL26"/>
  <c r="AD27"/>
  <c r="AB27"/>
  <c r="AA27"/>
  <c r="AF27"/>
  <c r="AE27"/>
  <c r="AC27"/>
  <c r="BJ26"/>
  <c r="BI26"/>
  <c r="BH26"/>
  <c r="BG26"/>
  <c r="R27"/>
  <c r="Q27"/>
  <c r="BA27"/>
  <c r="P27"/>
  <c r="O27"/>
  <c r="T27"/>
  <c r="AZ27"/>
  <c r="S27"/>
  <c r="AY27"/>
  <c r="AT27"/>
  <c r="AX27"/>
  <c r="AW27"/>
  <c r="AV27"/>
  <c r="AU27"/>
  <c r="AS27"/>
  <c r="V27"/>
  <c r="Z27"/>
  <c r="BB27"/>
  <c r="W27"/>
  <c r="U27"/>
  <c r="Y27"/>
  <c r="X27"/>
  <c r="F28" i="15"/>
  <c r="D28"/>
  <c r="C28"/>
  <c r="H28"/>
  <c r="G28"/>
  <c r="E28"/>
  <c r="J28"/>
  <c r="N28"/>
  <c r="I28"/>
  <c r="L28"/>
  <c r="K28"/>
  <c r="BF28"/>
  <c r="BE28"/>
  <c r="BD28"/>
  <c r="BC28"/>
  <c r="BK26"/>
  <c r="BP26"/>
  <c r="BO26"/>
  <c r="BL26"/>
  <c r="BN26"/>
  <c r="BV26"/>
  <c r="BT26"/>
  <c r="BS26"/>
  <c r="R27"/>
  <c r="Q27"/>
  <c r="P27"/>
  <c r="BA27"/>
  <c r="O27"/>
  <c r="T27"/>
  <c r="AZ27"/>
  <c r="S27"/>
  <c r="AY27"/>
  <c r="AH27"/>
  <c r="AL27"/>
  <c r="AG27"/>
  <c r="AK27"/>
  <c r="AJ27"/>
  <c r="AI27"/>
  <c r="AT27"/>
  <c r="AX27"/>
  <c r="AW27"/>
  <c r="AV27"/>
  <c r="AU27"/>
  <c r="AS27"/>
  <c r="AP27"/>
  <c r="AM27"/>
  <c r="AR27"/>
  <c r="AQ27"/>
  <c r="AO27"/>
  <c r="AN27"/>
  <c r="BJ26"/>
  <c r="BI26"/>
  <c r="BH26"/>
  <c r="BG26"/>
  <c r="AD27"/>
  <c r="AB27"/>
  <c r="AA27"/>
  <c r="AF27"/>
  <c r="AE27"/>
  <c r="AC27"/>
  <c r="BR26"/>
  <c r="BU26"/>
  <c r="BM26"/>
  <c r="BQ26"/>
  <c r="V27"/>
  <c r="Z27"/>
  <c r="BB27"/>
  <c r="W27"/>
  <c r="U27"/>
  <c r="Y27"/>
  <c r="X27"/>
  <c r="M29" l="1"/>
  <c r="M29" i="1"/>
  <c r="L29"/>
  <c r="K29"/>
  <c r="N29"/>
  <c r="I29"/>
  <c r="J29"/>
  <c r="D29"/>
  <c r="H29"/>
  <c r="E29"/>
  <c r="C29"/>
  <c r="G29"/>
  <c r="F29"/>
  <c r="BF29"/>
  <c r="BC29"/>
  <c r="BE29"/>
  <c r="BD29"/>
  <c r="BL27"/>
  <c r="BP27"/>
  <c r="BO27"/>
  <c r="BK27"/>
  <c r="BR27"/>
  <c r="BM27"/>
  <c r="BQ27"/>
  <c r="BU27"/>
  <c r="AP28"/>
  <c r="AO28"/>
  <c r="AN28"/>
  <c r="AM28"/>
  <c r="AR28"/>
  <c r="AQ28"/>
  <c r="AH28"/>
  <c r="AL28"/>
  <c r="AJ28"/>
  <c r="AI28"/>
  <c r="AK28"/>
  <c r="AG28"/>
  <c r="AD28"/>
  <c r="AE28"/>
  <c r="AC28"/>
  <c r="AB28"/>
  <c r="AA28"/>
  <c r="AF28"/>
  <c r="V28"/>
  <c r="Z28"/>
  <c r="BB28"/>
  <c r="Y28"/>
  <c r="X28"/>
  <c r="W28"/>
  <c r="U28"/>
  <c r="BJ27"/>
  <c r="BH27"/>
  <c r="BG27"/>
  <c r="BI27"/>
  <c r="R28"/>
  <c r="O28"/>
  <c r="T28"/>
  <c r="AZ28"/>
  <c r="S28"/>
  <c r="AY28"/>
  <c r="Q28"/>
  <c r="P28"/>
  <c r="BA28"/>
  <c r="BN27"/>
  <c r="BV27"/>
  <c r="BS27"/>
  <c r="BT27"/>
  <c r="AT28"/>
  <c r="AX28"/>
  <c r="AU28"/>
  <c r="AS28"/>
  <c r="AW28"/>
  <c r="AV28"/>
  <c r="F29" i="15"/>
  <c r="G29"/>
  <c r="E29"/>
  <c r="H29"/>
  <c r="D29"/>
  <c r="C29"/>
  <c r="J29"/>
  <c r="N29"/>
  <c r="L29"/>
  <c r="K29"/>
  <c r="I29"/>
  <c r="BF29"/>
  <c r="BC29"/>
  <c r="BE29"/>
  <c r="BD29"/>
  <c r="BJ27"/>
  <c r="BH27"/>
  <c r="BG27"/>
  <c r="BI27"/>
  <c r="AP28"/>
  <c r="AO28"/>
  <c r="AN28"/>
  <c r="AM28"/>
  <c r="AR28"/>
  <c r="AQ28"/>
  <c r="AH28"/>
  <c r="AL28"/>
  <c r="AJ28"/>
  <c r="AI28"/>
  <c r="AK28"/>
  <c r="AG28"/>
  <c r="AD28"/>
  <c r="AE28"/>
  <c r="AC28"/>
  <c r="AB28"/>
  <c r="AA28"/>
  <c r="AF28"/>
  <c r="V28"/>
  <c r="Z28"/>
  <c r="BB28"/>
  <c r="Y28"/>
  <c r="X28"/>
  <c r="W28"/>
  <c r="U28"/>
  <c r="BL27"/>
  <c r="BP27"/>
  <c r="BO27"/>
  <c r="BK27"/>
  <c r="R28"/>
  <c r="O28"/>
  <c r="T28"/>
  <c r="AZ28"/>
  <c r="S28"/>
  <c r="AY28"/>
  <c r="Q28"/>
  <c r="P28"/>
  <c r="BA28"/>
  <c r="BN27"/>
  <c r="BV27"/>
  <c r="BS27"/>
  <c r="BT27"/>
  <c r="BR27"/>
  <c r="BM27"/>
  <c r="BQ27"/>
  <c r="BU27"/>
  <c r="AT28"/>
  <c r="AX28"/>
  <c r="AU28"/>
  <c r="AS28"/>
  <c r="AW28"/>
  <c r="AV28"/>
  <c r="M30" l="1"/>
  <c r="M30" i="1"/>
  <c r="J30"/>
  <c r="N30"/>
  <c r="K30"/>
  <c r="I30"/>
  <c r="L30"/>
  <c r="F30"/>
  <c r="D30"/>
  <c r="G30"/>
  <c r="E30"/>
  <c r="H30"/>
  <c r="C30"/>
  <c r="BF30"/>
  <c r="BE30"/>
  <c r="BD30"/>
  <c r="BC30"/>
  <c r="BK28"/>
  <c r="BP28"/>
  <c r="BO28"/>
  <c r="BL28"/>
  <c r="BN28"/>
  <c r="BV28"/>
  <c r="BT28"/>
  <c r="BS28"/>
  <c r="V29"/>
  <c r="Z29"/>
  <c r="BB29"/>
  <c r="W29"/>
  <c r="U29"/>
  <c r="Y29"/>
  <c r="X29"/>
  <c r="AH29"/>
  <c r="AL29"/>
  <c r="AG29"/>
  <c r="AK29"/>
  <c r="AJ29"/>
  <c r="AI29"/>
  <c r="BR28"/>
  <c r="BU28"/>
  <c r="BQ28"/>
  <c r="BM28"/>
  <c r="R29"/>
  <c r="Q29"/>
  <c r="P29"/>
  <c r="BA29"/>
  <c r="T29"/>
  <c r="AZ29"/>
  <c r="S29"/>
  <c r="AY29"/>
  <c r="O29"/>
  <c r="AP29"/>
  <c r="AM29"/>
  <c r="AR29"/>
  <c r="AQ29"/>
  <c r="AO29"/>
  <c r="AN29"/>
  <c r="BJ28"/>
  <c r="BI28"/>
  <c r="BH28"/>
  <c r="BG28"/>
  <c r="AD29"/>
  <c r="AB29"/>
  <c r="AA29"/>
  <c r="AF29"/>
  <c r="AE29"/>
  <c r="AC29"/>
  <c r="AT29"/>
  <c r="AX29"/>
  <c r="AW29"/>
  <c r="AV29"/>
  <c r="AU29"/>
  <c r="AS29"/>
  <c r="F30" i="15"/>
  <c r="D30"/>
  <c r="C30"/>
  <c r="H30"/>
  <c r="G30"/>
  <c r="E30"/>
  <c r="J30"/>
  <c r="N30"/>
  <c r="I30"/>
  <c r="L30"/>
  <c r="K30"/>
  <c r="BF30"/>
  <c r="BE30"/>
  <c r="BD30"/>
  <c r="BC30"/>
  <c r="BK28"/>
  <c r="BP28"/>
  <c r="BO28"/>
  <c r="BL28"/>
  <c r="BN28"/>
  <c r="BV28"/>
  <c r="BT28"/>
  <c r="BS28"/>
  <c r="V29"/>
  <c r="Z29"/>
  <c r="BB29"/>
  <c r="W29"/>
  <c r="U29"/>
  <c r="Y29"/>
  <c r="X29"/>
  <c r="AH29"/>
  <c r="AL29"/>
  <c r="AG29"/>
  <c r="AK29"/>
  <c r="AJ29"/>
  <c r="AI29"/>
  <c r="BR28"/>
  <c r="BU28"/>
  <c r="BQ28"/>
  <c r="BM28"/>
  <c r="R29"/>
  <c r="Q29"/>
  <c r="P29"/>
  <c r="BA29"/>
  <c r="T29"/>
  <c r="AZ29"/>
  <c r="S29"/>
  <c r="AY29"/>
  <c r="O29"/>
  <c r="AP29"/>
  <c r="AM29"/>
  <c r="AR29"/>
  <c r="AQ29"/>
  <c r="AO29"/>
  <c r="AN29"/>
  <c r="BJ28"/>
  <c r="BI28"/>
  <c r="BH28"/>
  <c r="BG28"/>
  <c r="AD29"/>
  <c r="AB29"/>
  <c r="AA29"/>
  <c r="AF29"/>
  <c r="AE29"/>
  <c r="AC29"/>
  <c r="AT29"/>
  <c r="AX29"/>
  <c r="AW29"/>
  <c r="AV29"/>
  <c r="AU29"/>
  <c r="AS29"/>
  <c r="M31" l="1"/>
  <c r="M31" i="1"/>
  <c r="L31"/>
  <c r="J31"/>
  <c r="I31"/>
  <c r="K31"/>
  <c r="N31"/>
  <c r="D31"/>
  <c r="H31"/>
  <c r="F31"/>
  <c r="C31"/>
  <c r="G31"/>
  <c r="E31"/>
  <c r="BF31"/>
  <c r="BC31"/>
  <c r="BE31"/>
  <c r="BD31"/>
  <c r="BJ29"/>
  <c r="BH29"/>
  <c r="BG29"/>
  <c r="BI29"/>
  <c r="BR29"/>
  <c r="BM29"/>
  <c r="BQ29"/>
  <c r="BU29"/>
  <c r="AP30"/>
  <c r="AO30"/>
  <c r="AN30"/>
  <c r="AR30"/>
  <c r="AQ30"/>
  <c r="AM30"/>
  <c r="AH30"/>
  <c r="AL30"/>
  <c r="AJ30"/>
  <c r="AI30"/>
  <c r="AG30"/>
  <c r="AK30"/>
  <c r="AD30"/>
  <c r="AE30"/>
  <c r="AC30"/>
  <c r="AF30"/>
  <c r="AB30"/>
  <c r="AA30"/>
  <c r="V30"/>
  <c r="Z30"/>
  <c r="BB30"/>
  <c r="Y30"/>
  <c r="X30"/>
  <c r="W30"/>
  <c r="U30"/>
  <c r="BL29"/>
  <c r="BK29"/>
  <c r="BP29"/>
  <c r="BO29"/>
  <c r="BN29"/>
  <c r="BV29"/>
  <c r="BS29"/>
  <c r="BT29"/>
  <c r="R30"/>
  <c r="O30"/>
  <c r="T30"/>
  <c r="AZ30"/>
  <c r="S30"/>
  <c r="AY30"/>
  <c r="BA30"/>
  <c r="Q30"/>
  <c r="P30"/>
  <c r="AT30"/>
  <c r="AX30"/>
  <c r="AU30"/>
  <c r="AS30"/>
  <c r="AW30"/>
  <c r="AV30"/>
  <c r="F31" i="15"/>
  <c r="G31"/>
  <c r="E31"/>
  <c r="D31"/>
  <c r="C31"/>
  <c r="H31"/>
  <c r="J31"/>
  <c r="N31"/>
  <c r="L31"/>
  <c r="K31"/>
  <c r="I31"/>
  <c r="BF31"/>
  <c r="BC31"/>
  <c r="BE31"/>
  <c r="BD31"/>
  <c r="BJ29"/>
  <c r="BH29"/>
  <c r="BG29"/>
  <c r="BI29"/>
  <c r="BR29"/>
  <c r="BM29"/>
  <c r="BQ29"/>
  <c r="BU29"/>
  <c r="AP30"/>
  <c r="AO30"/>
  <c r="AN30"/>
  <c r="AR30"/>
  <c r="AQ30"/>
  <c r="AM30"/>
  <c r="AH30"/>
  <c r="AL30"/>
  <c r="AJ30"/>
  <c r="AI30"/>
  <c r="AG30"/>
  <c r="AK30"/>
  <c r="AD30"/>
  <c r="AE30"/>
  <c r="AC30"/>
  <c r="AF30"/>
  <c r="AB30"/>
  <c r="AA30"/>
  <c r="V30"/>
  <c r="Z30"/>
  <c r="BB30"/>
  <c r="Y30"/>
  <c r="X30"/>
  <c r="W30"/>
  <c r="U30"/>
  <c r="BL29"/>
  <c r="BK29"/>
  <c r="BP29"/>
  <c r="BO29"/>
  <c r="BN29"/>
  <c r="BV29"/>
  <c r="BS29"/>
  <c r="BT29"/>
  <c r="R30"/>
  <c r="O30"/>
  <c r="T30"/>
  <c r="AZ30"/>
  <c r="S30"/>
  <c r="AY30"/>
  <c r="BA30"/>
  <c r="Q30"/>
  <c r="P30"/>
  <c r="AT30"/>
  <c r="AX30"/>
  <c r="AU30"/>
  <c r="AS30"/>
  <c r="AW30"/>
  <c r="AV30"/>
  <c r="M32" l="1"/>
  <c r="M32" i="1"/>
  <c r="J32"/>
  <c r="N32"/>
  <c r="I32"/>
  <c r="L32"/>
  <c r="K32"/>
  <c r="F32"/>
  <c r="H32"/>
  <c r="C32"/>
  <c r="E32"/>
  <c r="D32"/>
  <c r="G32"/>
  <c r="BF32"/>
  <c r="BE32"/>
  <c r="BD32"/>
  <c r="BC32"/>
  <c r="BK30"/>
  <c r="BP30"/>
  <c r="BO30"/>
  <c r="BL30"/>
  <c r="BN30"/>
  <c r="BV30"/>
  <c r="BT30"/>
  <c r="BS30"/>
  <c r="R31"/>
  <c r="Q31"/>
  <c r="P31"/>
  <c r="BA31"/>
  <c r="O31"/>
  <c r="T31"/>
  <c r="AZ31"/>
  <c r="S31"/>
  <c r="AY31"/>
  <c r="AH31"/>
  <c r="AL31"/>
  <c r="AG31"/>
  <c r="AK31"/>
  <c r="AJ31"/>
  <c r="AI31"/>
  <c r="AT31"/>
  <c r="AX31"/>
  <c r="AW31"/>
  <c r="AV31"/>
  <c r="AU31"/>
  <c r="AS31"/>
  <c r="AP31"/>
  <c r="AM31"/>
  <c r="AR31"/>
  <c r="AQ31"/>
  <c r="AO31"/>
  <c r="AN31"/>
  <c r="BJ30"/>
  <c r="BI30"/>
  <c r="BH30"/>
  <c r="BG30"/>
  <c r="AD31"/>
  <c r="AB31"/>
  <c r="AA31"/>
  <c r="AF31"/>
  <c r="AE31"/>
  <c r="AC31"/>
  <c r="BR30"/>
  <c r="BU30"/>
  <c r="BM30"/>
  <c r="BQ30"/>
  <c r="V31"/>
  <c r="Z31"/>
  <c r="BB31"/>
  <c r="W31"/>
  <c r="U31"/>
  <c r="Y31"/>
  <c r="X31"/>
  <c r="F32" i="15"/>
  <c r="D32"/>
  <c r="C32"/>
  <c r="H32"/>
  <c r="G32"/>
  <c r="E32"/>
  <c r="J32"/>
  <c r="N32"/>
  <c r="I32"/>
  <c r="L32"/>
  <c r="K32"/>
  <c r="BF32"/>
  <c r="BE32"/>
  <c r="BD32"/>
  <c r="BC32"/>
  <c r="BK30"/>
  <c r="BP30"/>
  <c r="BO30"/>
  <c r="BL30"/>
  <c r="BN30"/>
  <c r="BV30"/>
  <c r="BT30"/>
  <c r="BS30"/>
  <c r="R31"/>
  <c r="Q31"/>
  <c r="P31"/>
  <c r="BA31"/>
  <c r="O31"/>
  <c r="T31"/>
  <c r="AZ31"/>
  <c r="S31"/>
  <c r="AY31"/>
  <c r="AH31"/>
  <c r="AL31"/>
  <c r="AG31"/>
  <c r="AK31"/>
  <c r="AJ31"/>
  <c r="AI31"/>
  <c r="AT31"/>
  <c r="AX31"/>
  <c r="AW31"/>
  <c r="AV31"/>
  <c r="AU31"/>
  <c r="AS31"/>
  <c r="AP31"/>
  <c r="AM31"/>
  <c r="AR31"/>
  <c r="AQ31"/>
  <c r="AO31"/>
  <c r="AN31"/>
  <c r="BJ30"/>
  <c r="BI30"/>
  <c r="BH30"/>
  <c r="BG30"/>
  <c r="AD31"/>
  <c r="AB31"/>
  <c r="AA31"/>
  <c r="AF31"/>
  <c r="AE31"/>
  <c r="AC31"/>
  <c r="BR30"/>
  <c r="BU30"/>
  <c r="BM30"/>
  <c r="BQ30"/>
  <c r="V31"/>
  <c r="Z31"/>
  <c r="BB31"/>
  <c r="W31"/>
  <c r="U31"/>
  <c r="Y31"/>
  <c r="X31"/>
  <c r="M33" l="1"/>
  <c r="M33" i="1"/>
  <c r="L33"/>
  <c r="K33"/>
  <c r="N33"/>
  <c r="I33"/>
  <c r="J33"/>
  <c r="D33"/>
  <c r="H33"/>
  <c r="E33"/>
  <c r="C33"/>
  <c r="G33"/>
  <c r="F33"/>
  <c r="BF33"/>
  <c r="BC33"/>
  <c r="BE33"/>
  <c r="BD33"/>
  <c r="BJ31"/>
  <c r="BH31"/>
  <c r="BG31"/>
  <c r="BI31"/>
  <c r="AP32"/>
  <c r="AO32"/>
  <c r="AN32"/>
  <c r="AM32"/>
  <c r="AR32"/>
  <c r="AQ32"/>
  <c r="AH32"/>
  <c r="AL32"/>
  <c r="AJ32"/>
  <c r="AI32"/>
  <c r="AK32"/>
  <c r="AG32"/>
  <c r="AD32"/>
  <c r="AE32"/>
  <c r="AC32"/>
  <c r="AB32"/>
  <c r="AA32"/>
  <c r="AF32"/>
  <c r="V32"/>
  <c r="Z32"/>
  <c r="BB32"/>
  <c r="Y32"/>
  <c r="X32"/>
  <c r="W32"/>
  <c r="U32"/>
  <c r="BL31"/>
  <c r="BP31"/>
  <c r="BO31"/>
  <c r="BK31"/>
  <c r="R32"/>
  <c r="O32"/>
  <c r="T32"/>
  <c r="AZ32"/>
  <c r="S32"/>
  <c r="AY32"/>
  <c r="Q32"/>
  <c r="P32"/>
  <c r="BA32"/>
  <c r="BN31"/>
  <c r="BV31"/>
  <c r="BS31"/>
  <c r="BT31"/>
  <c r="BR31"/>
  <c r="BM31"/>
  <c r="BQ31"/>
  <c r="BU31"/>
  <c r="AT32"/>
  <c r="AX32"/>
  <c r="AU32"/>
  <c r="AS32"/>
  <c r="AW32"/>
  <c r="AV32"/>
  <c r="F33" i="15"/>
  <c r="G33"/>
  <c r="E33"/>
  <c r="H33"/>
  <c r="D33"/>
  <c r="C33"/>
  <c r="J33"/>
  <c r="N33"/>
  <c r="L33"/>
  <c r="K33"/>
  <c r="I33"/>
  <c r="BF33"/>
  <c r="BC33"/>
  <c r="BE33"/>
  <c r="BD33"/>
  <c r="BJ31"/>
  <c r="BH31"/>
  <c r="BG31"/>
  <c r="BI31"/>
  <c r="AP32"/>
  <c r="AO32"/>
  <c r="AN32"/>
  <c r="AM32"/>
  <c r="AR32"/>
  <c r="AQ32"/>
  <c r="AH32"/>
  <c r="AL32"/>
  <c r="AJ32"/>
  <c r="AI32"/>
  <c r="AK32"/>
  <c r="AG32"/>
  <c r="AD32"/>
  <c r="AE32"/>
  <c r="AC32"/>
  <c r="AB32"/>
  <c r="AA32"/>
  <c r="AF32"/>
  <c r="V32"/>
  <c r="Z32"/>
  <c r="BB32"/>
  <c r="Y32"/>
  <c r="X32"/>
  <c r="W32"/>
  <c r="U32"/>
  <c r="BL31"/>
  <c r="BP31"/>
  <c r="BO31"/>
  <c r="BK31"/>
  <c r="R32"/>
  <c r="O32"/>
  <c r="T32"/>
  <c r="AZ32"/>
  <c r="S32"/>
  <c r="AY32"/>
  <c r="Q32"/>
  <c r="P32"/>
  <c r="BA32"/>
  <c r="BN31"/>
  <c r="BV31"/>
  <c r="BS31"/>
  <c r="BT31"/>
  <c r="BR31"/>
  <c r="BM31"/>
  <c r="BQ31"/>
  <c r="BU31"/>
  <c r="AT32"/>
  <c r="AX32"/>
  <c r="AU32"/>
  <c r="AS32"/>
  <c r="AW32"/>
  <c r="AV32"/>
  <c r="M34" l="1"/>
  <c r="M34" i="1"/>
  <c r="J34"/>
  <c r="N34"/>
  <c r="K34"/>
  <c r="I34"/>
  <c r="L34"/>
  <c r="F34"/>
  <c r="D34"/>
  <c r="C34"/>
  <c r="E34"/>
  <c r="H34"/>
  <c r="G34"/>
  <c r="BF34"/>
  <c r="BE34"/>
  <c r="BD34"/>
  <c r="BC34"/>
  <c r="BK32"/>
  <c r="BP32"/>
  <c r="BO32"/>
  <c r="BL32"/>
  <c r="BN32"/>
  <c r="BV32"/>
  <c r="BT32"/>
  <c r="BS32"/>
  <c r="V33"/>
  <c r="Z33"/>
  <c r="BB33"/>
  <c r="W33"/>
  <c r="U33"/>
  <c r="Y33"/>
  <c r="X33"/>
  <c r="AH33"/>
  <c r="AL33"/>
  <c r="AG33"/>
  <c r="AK33"/>
  <c r="AJ33"/>
  <c r="AI33"/>
  <c r="BR32"/>
  <c r="BU32"/>
  <c r="BQ32"/>
  <c r="BM32"/>
  <c r="R33"/>
  <c r="Q33"/>
  <c r="BA33"/>
  <c r="P33"/>
  <c r="T33"/>
  <c r="AZ33"/>
  <c r="S33"/>
  <c r="AY33"/>
  <c r="O33"/>
  <c r="AP33"/>
  <c r="AM33"/>
  <c r="AR33"/>
  <c r="AQ33"/>
  <c r="AO33"/>
  <c r="AN33"/>
  <c r="BJ32"/>
  <c r="BI32"/>
  <c r="BH32"/>
  <c r="BG32"/>
  <c r="AD33"/>
  <c r="AB33"/>
  <c r="AF33"/>
  <c r="AA33"/>
  <c r="AE33"/>
  <c r="AC33"/>
  <c r="AT33"/>
  <c r="AX33"/>
  <c r="AW33"/>
  <c r="AV33"/>
  <c r="AU33"/>
  <c r="AS33"/>
  <c r="F34" i="15"/>
  <c r="D34"/>
  <c r="C34"/>
  <c r="H34"/>
  <c r="G34"/>
  <c r="E34"/>
  <c r="J34"/>
  <c r="N34"/>
  <c r="I34"/>
  <c r="L34"/>
  <c r="K34"/>
  <c r="BF34"/>
  <c r="BE34"/>
  <c r="BD34"/>
  <c r="BC34"/>
  <c r="BK32"/>
  <c r="BP32"/>
  <c r="BO32"/>
  <c r="BL32"/>
  <c r="BN32"/>
  <c r="BV32"/>
  <c r="BT32"/>
  <c r="BS32"/>
  <c r="V33"/>
  <c r="Z33"/>
  <c r="BB33"/>
  <c r="W33"/>
  <c r="U33"/>
  <c r="Y33"/>
  <c r="X33"/>
  <c r="AH33"/>
  <c r="AL33"/>
  <c r="AG33"/>
  <c r="AK33"/>
  <c r="AJ33"/>
  <c r="AI33"/>
  <c r="BR32"/>
  <c r="BU32"/>
  <c r="BQ32"/>
  <c r="BM32"/>
  <c r="R33"/>
  <c r="Q33"/>
  <c r="P33"/>
  <c r="BA33"/>
  <c r="T33"/>
  <c r="AZ33"/>
  <c r="S33"/>
  <c r="AY33"/>
  <c r="O33"/>
  <c r="AP33"/>
  <c r="AM33"/>
  <c r="AR33"/>
  <c r="AQ33"/>
  <c r="AO33"/>
  <c r="AN33"/>
  <c r="BJ32"/>
  <c r="BI32"/>
  <c r="BH32"/>
  <c r="BG32"/>
  <c r="AD33"/>
  <c r="AB33"/>
  <c r="AA33"/>
  <c r="AF33"/>
  <c r="AE33"/>
  <c r="AC33"/>
  <c r="AT33"/>
  <c r="AX33"/>
  <c r="AW33"/>
  <c r="AV33"/>
  <c r="AU33"/>
  <c r="AS33"/>
  <c r="M35" l="1"/>
  <c r="M35" i="1"/>
  <c r="L35"/>
  <c r="J35"/>
  <c r="I35"/>
  <c r="K35"/>
  <c r="N35"/>
  <c r="D35"/>
  <c r="H35"/>
  <c r="F35"/>
  <c r="E35"/>
  <c r="C35"/>
  <c r="G35"/>
  <c r="BF35"/>
  <c r="BC35"/>
  <c r="BE35"/>
  <c r="BD35"/>
  <c r="BJ33"/>
  <c r="BH33"/>
  <c r="BG33"/>
  <c r="BI33"/>
  <c r="AP34"/>
  <c r="AO34"/>
  <c r="AN34"/>
  <c r="AR34"/>
  <c r="AQ34"/>
  <c r="AM34"/>
  <c r="AH34"/>
  <c r="AL34"/>
  <c r="AJ34"/>
  <c r="AI34"/>
  <c r="AG34"/>
  <c r="AK34"/>
  <c r="AD34"/>
  <c r="AE34"/>
  <c r="AC34"/>
  <c r="AF34"/>
  <c r="AB34"/>
  <c r="AA34"/>
  <c r="V34"/>
  <c r="Z34"/>
  <c r="BB34"/>
  <c r="Y34"/>
  <c r="X34"/>
  <c r="W34"/>
  <c r="U34"/>
  <c r="BL33"/>
  <c r="BK33"/>
  <c r="BP33"/>
  <c r="BO33"/>
  <c r="BN33"/>
  <c r="BV33"/>
  <c r="BS33"/>
  <c r="BT33"/>
  <c r="R34"/>
  <c r="O34"/>
  <c r="T34"/>
  <c r="AZ34"/>
  <c r="S34"/>
  <c r="AY34"/>
  <c r="BA34"/>
  <c r="Q34"/>
  <c r="P34"/>
  <c r="BR33"/>
  <c r="BM33"/>
  <c r="BQ33"/>
  <c r="BU33"/>
  <c r="AT34"/>
  <c r="AX34"/>
  <c r="AU34"/>
  <c r="AS34"/>
  <c r="AW34"/>
  <c r="AV34"/>
  <c r="F35" i="15"/>
  <c r="G35"/>
  <c r="E35"/>
  <c r="D35"/>
  <c r="C35"/>
  <c r="H35"/>
  <c r="J35"/>
  <c r="N35"/>
  <c r="L35"/>
  <c r="K35"/>
  <c r="I35"/>
  <c r="BF35"/>
  <c r="BC35"/>
  <c r="BE35"/>
  <c r="BD35"/>
  <c r="BJ33"/>
  <c r="BH33"/>
  <c r="BG33"/>
  <c r="BI33"/>
  <c r="BR33"/>
  <c r="BM33"/>
  <c r="BQ33"/>
  <c r="BU33"/>
  <c r="AP34"/>
  <c r="AO34"/>
  <c r="AN34"/>
  <c r="AR34"/>
  <c r="AQ34"/>
  <c r="AM34"/>
  <c r="AH34"/>
  <c r="AL34"/>
  <c r="AJ34"/>
  <c r="AI34"/>
  <c r="AG34"/>
  <c r="AK34"/>
  <c r="AD34"/>
  <c r="AE34"/>
  <c r="AC34"/>
  <c r="AF34"/>
  <c r="AB34"/>
  <c r="AA34"/>
  <c r="V34"/>
  <c r="Z34"/>
  <c r="BB34"/>
  <c r="Y34"/>
  <c r="X34"/>
  <c r="W34"/>
  <c r="U34"/>
  <c r="BL33"/>
  <c r="BK33"/>
  <c r="BP33"/>
  <c r="BO33"/>
  <c r="BN33"/>
  <c r="BV33"/>
  <c r="BS33"/>
  <c r="BT33"/>
  <c r="R34"/>
  <c r="O34"/>
  <c r="T34"/>
  <c r="AZ34"/>
  <c r="S34"/>
  <c r="AY34"/>
  <c r="BA34"/>
  <c r="Q34"/>
  <c r="P34"/>
  <c r="AT34"/>
  <c r="AX34"/>
  <c r="AU34"/>
  <c r="AS34"/>
  <c r="AW34"/>
  <c r="AV34"/>
  <c r="M36" l="1"/>
  <c r="M36" i="1"/>
  <c r="J36"/>
  <c r="N36"/>
  <c r="I36"/>
  <c r="L36"/>
  <c r="K36"/>
  <c r="F36"/>
  <c r="H36"/>
  <c r="G36"/>
  <c r="E36"/>
  <c r="D36"/>
  <c r="C36"/>
  <c r="BF36"/>
  <c r="BE36"/>
  <c r="BD36"/>
  <c r="BC36"/>
  <c r="BK34"/>
  <c r="BP34"/>
  <c r="BO34"/>
  <c r="BL34"/>
  <c r="BN34"/>
  <c r="BV34"/>
  <c r="BT34"/>
  <c r="BS34"/>
  <c r="R35"/>
  <c r="Q35"/>
  <c r="P35"/>
  <c r="BA35"/>
  <c r="O35"/>
  <c r="T35"/>
  <c r="AZ35"/>
  <c r="S35"/>
  <c r="AY35"/>
  <c r="AH35"/>
  <c r="AL35"/>
  <c r="AG35"/>
  <c r="AK35"/>
  <c r="AJ35"/>
  <c r="AI35"/>
  <c r="AT35"/>
  <c r="AX35"/>
  <c r="AW35"/>
  <c r="AV35"/>
  <c r="AU35"/>
  <c r="AS35"/>
  <c r="AP35"/>
  <c r="AM35"/>
  <c r="AR35"/>
  <c r="AQ35"/>
  <c r="AO35"/>
  <c r="AN35"/>
  <c r="BJ34"/>
  <c r="BI34"/>
  <c r="BH34"/>
  <c r="BG34"/>
  <c r="AD35"/>
  <c r="AB35"/>
  <c r="AA35"/>
  <c r="AF35"/>
  <c r="AE35"/>
  <c r="AC35"/>
  <c r="BR34"/>
  <c r="BU34"/>
  <c r="BM34"/>
  <c r="BQ34"/>
  <c r="V35"/>
  <c r="Z35"/>
  <c r="BB35"/>
  <c r="W35"/>
  <c r="U35"/>
  <c r="Y35"/>
  <c r="X35"/>
  <c r="F36" i="15"/>
  <c r="D36"/>
  <c r="C36"/>
  <c r="H36"/>
  <c r="G36"/>
  <c r="E36"/>
  <c r="J36"/>
  <c r="N36"/>
  <c r="I36"/>
  <c r="L36"/>
  <c r="K36"/>
  <c r="BF36"/>
  <c r="BE36"/>
  <c r="BD36"/>
  <c r="BC36"/>
  <c r="BK34"/>
  <c r="BP34"/>
  <c r="BO34"/>
  <c r="BL34"/>
  <c r="BN34"/>
  <c r="BV34"/>
  <c r="BT34"/>
  <c r="BS34"/>
  <c r="R35"/>
  <c r="Q35"/>
  <c r="P35"/>
  <c r="BA35"/>
  <c r="O35"/>
  <c r="T35"/>
  <c r="AZ35"/>
  <c r="S35"/>
  <c r="AY35"/>
  <c r="AH35"/>
  <c r="AL35"/>
  <c r="AG35"/>
  <c r="AK35"/>
  <c r="AJ35"/>
  <c r="AI35"/>
  <c r="AT35"/>
  <c r="AX35"/>
  <c r="AW35"/>
  <c r="AV35"/>
  <c r="AU35"/>
  <c r="AS35"/>
  <c r="AP35"/>
  <c r="AM35"/>
  <c r="AR35"/>
  <c r="AQ35"/>
  <c r="AO35"/>
  <c r="AN35"/>
  <c r="BJ34"/>
  <c r="BI34"/>
  <c r="BH34"/>
  <c r="BG34"/>
  <c r="AD35"/>
  <c r="AB35"/>
  <c r="AA35"/>
  <c r="AF35"/>
  <c r="AE35"/>
  <c r="AC35"/>
  <c r="BR34"/>
  <c r="BU34"/>
  <c r="BM34"/>
  <c r="BQ34"/>
  <c r="V35"/>
  <c r="Z35"/>
  <c r="BB35"/>
  <c r="W35"/>
  <c r="U35"/>
  <c r="Y35"/>
  <c r="X35"/>
  <c r="M37" l="1"/>
  <c r="M37" i="1"/>
  <c r="L37"/>
  <c r="K37"/>
  <c r="N37"/>
  <c r="I37"/>
  <c r="J37"/>
  <c r="D37"/>
  <c r="H37"/>
  <c r="C37"/>
  <c r="G37"/>
  <c r="F37"/>
  <c r="E37"/>
  <c r="BF37"/>
  <c r="BE37"/>
  <c r="BD37"/>
  <c r="BC37"/>
  <c r="AP36"/>
  <c r="AO36"/>
  <c r="AN36"/>
  <c r="AM36"/>
  <c r="AR36"/>
  <c r="AQ36"/>
  <c r="BJ35"/>
  <c r="BH35"/>
  <c r="BG35"/>
  <c r="BI35"/>
  <c r="AH36"/>
  <c r="AL36"/>
  <c r="AJ36"/>
  <c r="AI36"/>
  <c r="AK36"/>
  <c r="AG36"/>
  <c r="AD36"/>
  <c r="AE36"/>
  <c r="AC36"/>
  <c r="AB36"/>
  <c r="AA36"/>
  <c r="AF36"/>
  <c r="V36"/>
  <c r="Z36"/>
  <c r="BB36"/>
  <c r="Y36"/>
  <c r="X36"/>
  <c r="W36"/>
  <c r="U36"/>
  <c r="BL35"/>
  <c r="BP35"/>
  <c r="BO35"/>
  <c r="BK35"/>
  <c r="AT36"/>
  <c r="AX36"/>
  <c r="AU36"/>
  <c r="AS36"/>
  <c r="AW36"/>
  <c r="AV36"/>
  <c r="BN35"/>
  <c r="BV35"/>
  <c r="BS35"/>
  <c r="BT35"/>
  <c r="BR35"/>
  <c r="BM35"/>
  <c r="BQ35"/>
  <c r="BU35"/>
  <c r="R36"/>
  <c r="O36"/>
  <c r="T36"/>
  <c r="AZ36"/>
  <c r="S36"/>
  <c r="AY36"/>
  <c r="Q36"/>
  <c r="P36"/>
  <c r="BA36"/>
  <c r="F37" i="15"/>
  <c r="E37"/>
  <c r="H37"/>
  <c r="G37"/>
  <c r="D37"/>
  <c r="C37"/>
  <c r="J37"/>
  <c r="N37"/>
  <c r="I37"/>
  <c r="L37"/>
  <c r="K37"/>
  <c r="BF37"/>
  <c r="BE37"/>
  <c r="BD37"/>
  <c r="BC37"/>
  <c r="BJ35"/>
  <c r="BH35"/>
  <c r="BG35"/>
  <c r="BI35"/>
  <c r="AP36"/>
  <c r="AO36"/>
  <c r="AN36"/>
  <c r="AM36"/>
  <c r="AR36"/>
  <c r="AQ36"/>
  <c r="AH36"/>
  <c r="AL36"/>
  <c r="AJ36"/>
  <c r="AI36"/>
  <c r="AK36"/>
  <c r="AG36"/>
  <c r="AD36"/>
  <c r="AE36"/>
  <c r="AC36"/>
  <c r="AB36"/>
  <c r="AA36"/>
  <c r="AF36"/>
  <c r="V36"/>
  <c r="Z36"/>
  <c r="BB36"/>
  <c r="Y36"/>
  <c r="X36"/>
  <c r="W36"/>
  <c r="U36"/>
  <c r="BL35"/>
  <c r="BP35"/>
  <c r="BO35"/>
  <c r="BK35"/>
  <c r="R36"/>
  <c r="O36"/>
  <c r="T36"/>
  <c r="AZ36"/>
  <c r="S36"/>
  <c r="AY36"/>
  <c r="Q36"/>
  <c r="P36"/>
  <c r="BA36"/>
  <c r="BN35"/>
  <c r="BV35"/>
  <c r="BS35"/>
  <c r="BT35"/>
  <c r="BR35"/>
  <c r="BM35"/>
  <c r="BQ35"/>
  <c r="BU35"/>
  <c r="AT36"/>
  <c r="AX36"/>
  <c r="AU36"/>
  <c r="AS36"/>
  <c r="AW36"/>
  <c r="AV36"/>
  <c r="M38" l="1"/>
  <c r="M38" i="1"/>
  <c r="L38"/>
  <c r="J38"/>
  <c r="N38"/>
  <c r="K38"/>
  <c r="I38"/>
  <c r="F38"/>
  <c r="D38"/>
  <c r="C38"/>
  <c r="E38"/>
  <c r="H38"/>
  <c r="G38"/>
  <c r="BF38"/>
  <c r="BE38"/>
  <c r="BD38"/>
  <c r="BC38"/>
  <c r="BJ36"/>
  <c r="BI36"/>
  <c r="BH36"/>
  <c r="BG36"/>
  <c r="BN36"/>
  <c r="BV36"/>
  <c r="BT36"/>
  <c r="BS36"/>
  <c r="V37"/>
  <c r="Z37"/>
  <c r="BB37"/>
  <c r="U37"/>
  <c r="Y37"/>
  <c r="X37"/>
  <c r="W37"/>
  <c r="AH37"/>
  <c r="AL37"/>
  <c r="AG37"/>
  <c r="AK37"/>
  <c r="AJ37"/>
  <c r="AI37"/>
  <c r="R37"/>
  <c r="Q37"/>
  <c r="BA37"/>
  <c r="P37"/>
  <c r="O37"/>
  <c r="T37"/>
  <c r="AZ37"/>
  <c r="S37"/>
  <c r="AY37"/>
  <c r="AD37"/>
  <c r="AC37"/>
  <c r="AF37"/>
  <c r="AE37"/>
  <c r="AB37"/>
  <c r="AA37"/>
  <c r="BK36"/>
  <c r="BP36"/>
  <c r="BO36"/>
  <c r="BL36"/>
  <c r="AT37"/>
  <c r="AX37"/>
  <c r="AS37"/>
  <c r="AW37"/>
  <c r="AV37"/>
  <c r="AU37"/>
  <c r="BR36"/>
  <c r="BU36"/>
  <c r="BQ36"/>
  <c r="BM36"/>
  <c r="AP37"/>
  <c r="AO37"/>
  <c r="AN37"/>
  <c r="AM37"/>
  <c r="AR37"/>
  <c r="AQ37"/>
  <c r="F38" i="15"/>
  <c r="E38"/>
  <c r="H38"/>
  <c r="G38"/>
  <c r="D38"/>
  <c r="C38"/>
  <c r="J38"/>
  <c r="N38"/>
  <c r="I38"/>
  <c r="L38"/>
  <c r="K38"/>
  <c r="BF38"/>
  <c r="BE38"/>
  <c r="BD38"/>
  <c r="BC38"/>
  <c r="BK36"/>
  <c r="BP36"/>
  <c r="BO36"/>
  <c r="BL36"/>
  <c r="BN36"/>
  <c r="BV36"/>
  <c r="BT36"/>
  <c r="BS36"/>
  <c r="V37"/>
  <c r="Z37"/>
  <c r="BB37"/>
  <c r="U37"/>
  <c r="Y37"/>
  <c r="X37"/>
  <c r="W37"/>
  <c r="AH37"/>
  <c r="AL37"/>
  <c r="AG37"/>
  <c r="AK37"/>
  <c r="AJ37"/>
  <c r="AI37"/>
  <c r="BR36"/>
  <c r="BU36"/>
  <c r="BQ36"/>
  <c r="BM36"/>
  <c r="R37"/>
  <c r="Q37"/>
  <c r="BA37"/>
  <c r="P37"/>
  <c r="O37"/>
  <c r="T37"/>
  <c r="AZ37"/>
  <c r="S37"/>
  <c r="AY37"/>
  <c r="AD37"/>
  <c r="AC37"/>
  <c r="AF37"/>
  <c r="AE37"/>
  <c r="AB37"/>
  <c r="AA37"/>
  <c r="BJ36"/>
  <c r="BI36"/>
  <c r="BH36"/>
  <c r="BG36"/>
  <c r="AT37"/>
  <c r="AX37"/>
  <c r="AS37"/>
  <c r="AW37"/>
  <c r="AV37"/>
  <c r="AU37"/>
  <c r="AP37"/>
  <c r="AO37"/>
  <c r="AN37"/>
  <c r="AM37"/>
  <c r="AR37"/>
  <c r="AQ37"/>
  <c r="M39" l="1"/>
  <c r="M39" i="1"/>
  <c r="L39"/>
  <c r="J39"/>
  <c r="I39"/>
  <c r="K39"/>
  <c r="N39"/>
  <c r="D39"/>
  <c r="H39"/>
  <c r="F39"/>
  <c r="E39"/>
  <c r="C39"/>
  <c r="G39"/>
  <c r="BF39"/>
  <c r="BE39"/>
  <c r="BD39"/>
  <c r="BC39"/>
  <c r="V38"/>
  <c r="Z38"/>
  <c r="BB38"/>
  <c r="U38"/>
  <c r="Y38"/>
  <c r="X38"/>
  <c r="W38"/>
  <c r="AH38"/>
  <c r="AL38"/>
  <c r="AG38"/>
  <c r="AK38"/>
  <c r="AJ38"/>
  <c r="AI38"/>
  <c r="BJ37"/>
  <c r="BI37"/>
  <c r="BH37"/>
  <c r="BG37"/>
  <c r="R38"/>
  <c r="Q38"/>
  <c r="BA38"/>
  <c r="P38"/>
  <c r="O38"/>
  <c r="T38"/>
  <c r="AZ38"/>
  <c r="S38"/>
  <c r="AY38"/>
  <c r="AD38"/>
  <c r="AC38"/>
  <c r="AF38"/>
  <c r="AE38"/>
  <c r="AB38"/>
  <c r="AA38"/>
  <c r="BN37"/>
  <c r="BV37"/>
  <c r="BT37"/>
  <c r="BS37"/>
  <c r="AT38"/>
  <c r="AX38"/>
  <c r="AS38"/>
  <c r="AW38"/>
  <c r="AV38"/>
  <c r="AU38"/>
  <c r="BL37"/>
  <c r="BK37"/>
  <c r="BP37"/>
  <c r="BO37"/>
  <c r="BR37"/>
  <c r="BM37"/>
  <c r="BQ37"/>
  <c r="BU37"/>
  <c r="AP38"/>
  <c r="AO38"/>
  <c r="AN38"/>
  <c r="AM38"/>
  <c r="AR38"/>
  <c r="AQ38"/>
  <c r="F39" i="15"/>
  <c r="E39"/>
  <c r="H39"/>
  <c r="G39"/>
  <c r="D39"/>
  <c r="C39"/>
  <c r="J39"/>
  <c r="N39"/>
  <c r="I39"/>
  <c r="L39"/>
  <c r="K39"/>
  <c r="BF39"/>
  <c r="BE39"/>
  <c r="BD39"/>
  <c r="BC39"/>
  <c r="V38"/>
  <c r="Z38"/>
  <c r="BB38"/>
  <c r="U38"/>
  <c r="Y38"/>
  <c r="X38"/>
  <c r="W38"/>
  <c r="AH38"/>
  <c r="AL38"/>
  <c r="AG38"/>
  <c r="AK38"/>
  <c r="AJ38"/>
  <c r="AI38"/>
  <c r="BJ37"/>
  <c r="BI37"/>
  <c r="BH37"/>
  <c r="BG37"/>
  <c r="R38"/>
  <c r="Q38"/>
  <c r="BA38"/>
  <c r="P38"/>
  <c r="O38"/>
  <c r="T38"/>
  <c r="AZ38"/>
  <c r="S38"/>
  <c r="AY38"/>
  <c r="AD38"/>
  <c r="AC38"/>
  <c r="AF38"/>
  <c r="AE38"/>
  <c r="AB38"/>
  <c r="AA38"/>
  <c r="BN37"/>
  <c r="BV37"/>
  <c r="BT37"/>
  <c r="BS37"/>
  <c r="AT38"/>
  <c r="AX38"/>
  <c r="AS38"/>
  <c r="AW38"/>
  <c r="AV38"/>
  <c r="AU38"/>
  <c r="BL37"/>
  <c r="BK37"/>
  <c r="BP37"/>
  <c r="BO37"/>
  <c r="BR37"/>
  <c r="BM37"/>
  <c r="BQ37"/>
  <c r="BU37"/>
  <c r="AP38"/>
  <c r="AO38"/>
  <c r="AN38"/>
  <c r="AM38"/>
  <c r="AR38"/>
  <c r="AQ38"/>
  <c r="M40" l="1"/>
  <c r="M40" i="1"/>
  <c r="J40"/>
  <c r="N40"/>
  <c r="I40"/>
  <c r="L40"/>
  <c r="K40"/>
  <c r="F40"/>
  <c r="H40"/>
  <c r="G40"/>
  <c r="E40"/>
  <c r="D40"/>
  <c r="C40"/>
  <c r="BF40"/>
  <c r="BE40"/>
  <c r="BD40"/>
  <c r="BC40"/>
  <c r="V39"/>
  <c r="Z39"/>
  <c r="BB39"/>
  <c r="U39"/>
  <c r="Y39"/>
  <c r="X39"/>
  <c r="W39"/>
  <c r="AH39"/>
  <c r="AL39"/>
  <c r="AK39"/>
  <c r="AG39"/>
  <c r="AJ39"/>
  <c r="AI39"/>
  <c r="BJ38"/>
  <c r="BI38"/>
  <c r="BH38"/>
  <c r="BG38"/>
  <c r="R39"/>
  <c r="Q39"/>
  <c r="BA39"/>
  <c r="P39"/>
  <c r="O39"/>
  <c r="T39"/>
  <c r="AZ39"/>
  <c r="S39"/>
  <c r="AY39"/>
  <c r="AD39"/>
  <c r="AC39"/>
  <c r="AF39"/>
  <c r="AE39"/>
  <c r="AB39"/>
  <c r="AA39"/>
  <c r="BN38"/>
  <c r="BV38"/>
  <c r="BT38"/>
  <c r="BS38"/>
  <c r="AT39"/>
  <c r="AX39"/>
  <c r="AW39"/>
  <c r="AS39"/>
  <c r="AV39"/>
  <c r="AU39"/>
  <c r="BL38"/>
  <c r="BK38"/>
  <c r="BP38"/>
  <c r="BO38"/>
  <c r="BR38"/>
  <c r="BM38"/>
  <c r="BQ38"/>
  <c r="BU38"/>
  <c r="AP39"/>
  <c r="AO39"/>
  <c r="AN39"/>
  <c r="AM39"/>
  <c r="AR39"/>
  <c r="AQ39"/>
  <c r="F40" i="15"/>
  <c r="E40"/>
  <c r="H40"/>
  <c r="G40"/>
  <c r="D40"/>
  <c r="C40"/>
  <c r="J40"/>
  <c r="N40"/>
  <c r="I40"/>
  <c r="L40"/>
  <c r="K40"/>
  <c r="BF40"/>
  <c r="BE40"/>
  <c r="BD40"/>
  <c r="BC40"/>
  <c r="V39"/>
  <c r="Z39"/>
  <c r="BB39"/>
  <c r="U39"/>
  <c r="Y39"/>
  <c r="X39"/>
  <c r="W39"/>
  <c r="AH39"/>
  <c r="AL39"/>
  <c r="AG39"/>
  <c r="AK39"/>
  <c r="AJ39"/>
  <c r="AI39"/>
  <c r="BJ38"/>
  <c r="BI38"/>
  <c r="BH38"/>
  <c r="BG38"/>
  <c r="R39"/>
  <c r="Q39"/>
  <c r="BA39"/>
  <c r="P39"/>
  <c r="O39"/>
  <c r="T39"/>
  <c r="AZ39"/>
  <c r="S39"/>
  <c r="AY39"/>
  <c r="AD39"/>
  <c r="AC39"/>
  <c r="AF39"/>
  <c r="AE39"/>
  <c r="AB39"/>
  <c r="AA39"/>
  <c r="BN38"/>
  <c r="BV38"/>
  <c r="BT38"/>
  <c r="BS38"/>
  <c r="AT39"/>
  <c r="AX39"/>
  <c r="AS39"/>
  <c r="AW39"/>
  <c r="AV39"/>
  <c r="AU39"/>
  <c r="BL38"/>
  <c r="BK38"/>
  <c r="BP38"/>
  <c r="BO38"/>
  <c r="BR38"/>
  <c r="BM38"/>
  <c r="BQ38"/>
  <c r="BU38"/>
  <c r="AP39"/>
  <c r="AO39"/>
  <c r="AN39"/>
  <c r="AM39"/>
  <c r="AR39"/>
  <c r="AQ39"/>
  <c r="M41" l="1"/>
  <c r="M41" i="1"/>
  <c r="L41"/>
  <c r="K41"/>
  <c r="N41"/>
  <c r="I41"/>
  <c r="J41"/>
  <c r="D41"/>
  <c r="H41"/>
  <c r="C41"/>
  <c r="G41"/>
  <c r="F41"/>
  <c r="E41"/>
  <c r="BF41"/>
  <c r="BE41"/>
  <c r="BD41"/>
  <c r="BC41"/>
  <c r="V40"/>
  <c r="Z40"/>
  <c r="BB40"/>
  <c r="U40"/>
  <c r="Y40"/>
  <c r="X40"/>
  <c r="W40"/>
  <c r="AH40"/>
  <c r="AL40"/>
  <c r="AK40"/>
  <c r="AG40"/>
  <c r="AJ40"/>
  <c r="AI40"/>
  <c r="BJ39"/>
  <c r="BI39"/>
  <c r="BH39"/>
  <c r="BG39"/>
  <c r="R40"/>
  <c r="Q40"/>
  <c r="BA40"/>
  <c r="P40"/>
  <c r="O40"/>
  <c r="T40"/>
  <c r="AZ40"/>
  <c r="S40"/>
  <c r="AY40"/>
  <c r="AD40"/>
  <c r="AC40"/>
  <c r="AF40"/>
  <c r="AE40"/>
  <c r="AB40"/>
  <c r="AA40"/>
  <c r="BN39"/>
  <c r="BV39"/>
  <c r="BT39"/>
  <c r="BS39"/>
  <c r="AT40"/>
  <c r="AX40"/>
  <c r="AW40"/>
  <c r="AS40"/>
  <c r="AV40"/>
  <c r="AU40"/>
  <c r="BL39"/>
  <c r="BK39"/>
  <c r="BP39"/>
  <c r="BO39"/>
  <c r="BR39"/>
  <c r="BM39"/>
  <c r="BQ39"/>
  <c r="BU39"/>
  <c r="AP40"/>
  <c r="AO40"/>
  <c r="AN40"/>
  <c r="AM40"/>
  <c r="AR40"/>
  <c r="AQ40"/>
  <c r="F41" i="15"/>
  <c r="E41"/>
  <c r="H41"/>
  <c r="G41"/>
  <c r="D41"/>
  <c r="C41"/>
  <c r="J41"/>
  <c r="N41"/>
  <c r="I41"/>
  <c r="L41"/>
  <c r="K41"/>
  <c r="BF41"/>
  <c r="BE41"/>
  <c r="BD41"/>
  <c r="BC41"/>
  <c r="V40"/>
  <c r="Z40"/>
  <c r="BB40"/>
  <c r="U40"/>
  <c r="Y40"/>
  <c r="X40"/>
  <c r="W40"/>
  <c r="AH40"/>
  <c r="AL40"/>
  <c r="AG40"/>
  <c r="AK40"/>
  <c r="AJ40"/>
  <c r="AI40"/>
  <c r="BJ39"/>
  <c r="BI39"/>
  <c r="BH39"/>
  <c r="BG39"/>
  <c r="R40"/>
  <c r="Q40"/>
  <c r="BA40"/>
  <c r="P40"/>
  <c r="O40"/>
  <c r="T40"/>
  <c r="AZ40"/>
  <c r="S40"/>
  <c r="AY40"/>
  <c r="AD40"/>
  <c r="AC40"/>
  <c r="AF40"/>
  <c r="AE40"/>
  <c r="AB40"/>
  <c r="AA40"/>
  <c r="BN39"/>
  <c r="BV39"/>
  <c r="BT39"/>
  <c r="BS39"/>
  <c r="AT40"/>
  <c r="AX40"/>
  <c r="AS40"/>
  <c r="AW40"/>
  <c r="AV40"/>
  <c r="AU40"/>
  <c r="BL39"/>
  <c r="BK39"/>
  <c r="BP39"/>
  <c r="BO39"/>
  <c r="BR39"/>
  <c r="BM39"/>
  <c r="BQ39"/>
  <c r="BU39"/>
  <c r="AP40"/>
  <c r="AO40"/>
  <c r="AN40"/>
  <c r="AM40"/>
  <c r="AR40"/>
  <c r="AQ40"/>
  <c r="M42" l="1"/>
  <c r="M42" i="1"/>
  <c r="J42"/>
  <c r="N42"/>
  <c r="K42"/>
  <c r="I42"/>
  <c r="L42"/>
  <c r="F42"/>
  <c r="D42"/>
  <c r="C42"/>
  <c r="E42"/>
  <c r="H42"/>
  <c r="G42"/>
  <c r="BF42"/>
  <c r="BE42"/>
  <c r="BD42"/>
  <c r="BC42"/>
  <c r="V41"/>
  <c r="Z41"/>
  <c r="BB41"/>
  <c r="U41"/>
  <c r="Y41"/>
  <c r="X41"/>
  <c r="W41"/>
  <c r="AH41"/>
  <c r="AL41"/>
  <c r="AG41"/>
  <c r="AK41"/>
  <c r="AJ41"/>
  <c r="AI41"/>
  <c r="BJ40"/>
  <c r="BI40"/>
  <c r="BH40"/>
  <c r="BG40"/>
  <c r="R41"/>
  <c r="Q41"/>
  <c r="BA41"/>
  <c r="P41"/>
  <c r="O41"/>
  <c r="T41"/>
  <c r="AZ41"/>
  <c r="S41"/>
  <c r="AY41"/>
  <c r="AD41"/>
  <c r="AC41"/>
  <c r="AF41"/>
  <c r="AE41"/>
  <c r="AB41"/>
  <c r="AA41"/>
  <c r="BN40"/>
  <c r="BV40"/>
  <c r="BT40"/>
  <c r="BS40"/>
  <c r="AT41"/>
  <c r="AX41"/>
  <c r="AS41"/>
  <c r="AW41"/>
  <c r="AV41"/>
  <c r="AU41"/>
  <c r="BL40"/>
  <c r="BK40"/>
  <c r="BP40"/>
  <c r="BO40"/>
  <c r="BR40"/>
  <c r="BM40"/>
  <c r="BQ40"/>
  <c r="BU40"/>
  <c r="AP41"/>
  <c r="AO41"/>
  <c r="AN41"/>
  <c r="AM41"/>
  <c r="AR41"/>
  <c r="AQ41"/>
  <c r="F42" i="15"/>
  <c r="E42"/>
  <c r="H42"/>
  <c r="G42"/>
  <c r="D42"/>
  <c r="C42"/>
  <c r="J42"/>
  <c r="N42"/>
  <c r="I42"/>
  <c r="L42"/>
  <c r="K42"/>
  <c r="BF42"/>
  <c r="BE42"/>
  <c r="BD42"/>
  <c r="BC42"/>
  <c r="V41"/>
  <c r="Z41"/>
  <c r="BB41"/>
  <c r="U41"/>
  <c r="Y41"/>
  <c r="X41"/>
  <c r="W41"/>
  <c r="AH41"/>
  <c r="AL41"/>
  <c r="AG41"/>
  <c r="AK41"/>
  <c r="AJ41"/>
  <c r="AI41"/>
  <c r="BJ40"/>
  <c r="BI40"/>
  <c r="BH40"/>
  <c r="BG40"/>
  <c r="R41"/>
  <c r="Q41"/>
  <c r="BA41"/>
  <c r="P41"/>
  <c r="O41"/>
  <c r="T41"/>
  <c r="AZ41"/>
  <c r="S41"/>
  <c r="AY41"/>
  <c r="AD41"/>
  <c r="AC41"/>
  <c r="AF41"/>
  <c r="AE41"/>
  <c r="AB41"/>
  <c r="AA41"/>
  <c r="BN40"/>
  <c r="BV40"/>
  <c r="BT40"/>
  <c r="BS40"/>
  <c r="AT41"/>
  <c r="AX41"/>
  <c r="AS41"/>
  <c r="AW41"/>
  <c r="AV41"/>
  <c r="AU41"/>
  <c r="BL40"/>
  <c r="BK40"/>
  <c r="BP40"/>
  <c r="BO40"/>
  <c r="BR40"/>
  <c r="BM40"/>
  <c r="BQ40"/>
  <c r="BU40"/>
  <c r="AP41"/>
  <c r="AO41"/>
  <c r="AN41"/>
  <c r="AM41"/>
  <c r="AR41"/>
  <c r="AQ41"/>
  <c r="AA41" i="20"/>
  <c r="V42" i="1" l="1"/>
  <c r="Z42"/>
  <c r="BB42"/>
  <c r="U42"/>
  <c r="Y42"/>
  <c r="X42"/>
  <c r="W42"/>
  <c r="AH42"/>
  <c r="AL42"/>
  <c r="AG42"/>
  <c r="AK42"/>
  <c r="AJ42"/>
  <c r="AI42"/>
  <c r="BJ41"/>
  <c r="BI41"/>
  <c r="BH41"/>
  <c r="BG41"/>
  <c r="R42"/>
  <c r="Q42"/>
  <c r="BA42"/>
  <c r="P42"/>
  <c r="O42"/>
  <c r="T42"/>
  <c r="AZ42"/>
  <c r="S42"/>
  <c r="AY42"/>
  <c r="AD42"/>
  <c r="AC42"/>
  <c r="AF42"/>
  <c r="AE42"/>
  <c r="AB42"/>
  <c r="AA42"/>
  <c r="BN41"/>
  <c r="BV41"/>
  <c r="BT41"/>
  <c r="BS41"/>
  <c r="AT42"/>
  <c r="AX42"/>
  <c r="AW42"/>
  <c r="AS42"/>
  <c r="AV42"/>
  <c r="AU42"/>
  <c r="BL41"/>
  <c r="BK41"/>
  <c r="BP41"/>
  <c r="BO41"/>
  <c r="BR41"/>
  <c r="BM41"/>
  <c r="BQ41"/>
  <c r="BU41"/>
  <c r="AP42"/>
  <c r="AO42"/>
  <c r="AN42"/>
  <c r="AM42"/>
  <c r="AR42"/>
  <c r="AQ42"/>
  <c r="V42" i="15"/>
  <c r="Z42"/>
  <c r="BB42"/>
  <c r="U42"/>
  <c r="Y42"/>
  <c r="X42"/>
  <c r="W42"/>
  <c r="AH42"/>
  <c r="AL42"/>
  <c r="AG42"/>
  <c r="AK42"/>
  <c r="AJ42"/>
  <c r="AI42"/>
  <c r="BJ41"/>
  <c r="BI41"/>
  <c r="BH41"/>
  <c r="BG41"/>
  <c r="R42"/>
  <c r="Q42"/>
  <c r="BA42"/>
  <c r="P42"/>
  <c r="O42"/>
  <c r="T42"/>
  <c r="AZ42"/>
  <c r="S42"/>
  <c r="AY42"/>
  <c r="AD42"/>
  <c r="AC42"/>
  <c r="AF42"/>
  <c r="AE42"/>
  <c r="AB42"/>
  <c r="AA42"/>
  <c r="BN41"/>
  <c r="BV41"/>
  <c r="BT41"/>
  <c r="BS41"/>
  <c r="AT42"/>
  <c r="AX42"/>
  <c r="AS42"/>
  <c r="AW42"/>
  <c r="AV42"/>
  <c r="AU42"/>
  <c r="BL41"/>
  <c r="BK41"/>
  <c r="BP41"/>
  <c r="BO41"/>
  <c r="BR41"/>
  <c r="BM41"/>
  <c r="BQ41"/>
  <c r="BU41"/>
  <c r="AP42"/>
  <c r="AO42"/>
  <c r="AN42"/>
  <c r="AM42"/>
  <c r="AR42"/>
  <c r="AQ42"/>
  <c r="AA42" i="20"/>
  <c r="BJ42" i="1" l="1"/>
  <c r="BI42"/>
  <c r="BH42"/>
  <c r="BG42"/>
  <c r="BN42"/>
  <c r="BV42"/>
  <c r="BT42"/>
  <c r="BS42"/>
  <c r="BL42"/>
  <c r="BK42"/>
  <c r="BP42"/>
  <c r="BO42"/>
  <c r="BR42"/>
  <c r="BM42"/>
  <c r="BQ42"/>
  <c r="BU42"/>
  <c r="BJ42" i="15"/>
  <c r="BI42"/>
  <c r="BH42"/>
  <c r="BG42"/>
  <c r="BN42"/>
  <c r="BV42"/>
  <c r="BT42"/>
  <c r="BS42"/>
  <c r="BL42"/>
  <c r="BK42"/>
  <c r="BP42"/>
  <c r="BO42"/>
  <c r="BR42"/>
  <c r="BM42"/>
  <c r="BQ42"/>
  <c r="BU42"/>
  <c r="AA43" i="20"/>
  <c r="AA44" l="1"/>
  <c r="AA45" l="1"/>
  <c r="AA46" l="1"/>
  <c r="AA47" l="1"/>
  <c r="AA48" l="1"/>
  <c r="AA49" l="1"/>
  <c r="AA50" l="1"/>
  <c r="AA51" l="1"/>
  <c r="AA52" l="1"/>
  <c r="AA53" l="1"/>
  <c r="AA54" l="1"/>
  <c r="B5" i="1" l="1"/>
  <c r="B4" l="1"/>
  <c r="G6" i="21"/>
  <c r="H5"/>
  <c r="G5"/>
  <c r="B5"/>
  <c r="A2" i="20" s="1"/>
  <c r="H2" i="21"/>
  <c r="G2"/>
  <c r="AA2" i="20"/>
  <c r="BE5" i="1" l="1"/>
  <c r="BC5"/>
  <c r="BE5" i="15"/>
  <c r="BD5" i="1"/>
  <c r="BF5" i="15"/>
  <c r="BD5"/>
  <c r="BF5" i="1"/>
  <c r="BC5" i="15"/>
  <c r="A7" i="17"/>
  <c r="D2" i="71" s="1"/>
  <c r="H2" i="20"/>
  <c r="U2"/>
  <c r="N2"/>
  <c r="D2"/>
  <c r="Z2"/>
  <c r="P2"/>
  <c r="J2"/>
  <c r="L2"/>
  <c r="W2"/>
  <c r="Q2"/>
  <c r="S2"/>
  <c r="Y2"/>
  <c r="V2"/>
  <c r="X2"/>
  <c r="O2"/>
  <c r="R2"/>
  <c r="I2"/>
  <c r="C2"/>
  <c r="G2"/>
  <c r="B2"/>
  <c r="E2"/>
  <c r="K2"/>
  <c r="F2"/>
  <c r="M2"/>
  <c r="T2"/>
  <c r="BO5" i="15" l="1"/>
  <c r="BM5"/>
  <c r="BH5"/>
  <c r="BV5"/>
  <c r="BI5"/>
  <c r="BN5"/>
  <c r="BQ5"/>
  <c r="BP5"/>
  <c r="BJ5" i="1"/>
  <c r="BS5"/>
  <c r="BR5"/>
  <c r="BK5"/>
  <c r="BG5" i="15"/>
  <c r="BT5"/>
  <c r="BU5"/>
  <c r="BL5"/>
  <c r="BR5"/>
  <c r="BJ5"/>
  <c r="BS5"/>
  <c r="BK5"/>
  <c r="BP5" i="1"/>
  <c r="BI5"/>
  <c r="BQ5"/>
  <c r="BN5"/>
  <c r="BU5"/>
  <c r="BG5"/>
  <c r="BL5"/>
  <c r="BT5"/>
  <c r="BV5"/>
  <c r="BH5"/>
  <c r="BO5"/>
  <c r="BM5"/>
  <c r="M4" i="15"/>
  <c r="M4" i="1"/>
  <c r="K4"/>
  <c r="BF4" i="15"/>
  <c r="BE4"/>
  <c r="BD4"/>
  <c r="BC4"/>
  <c r="N4"/>
  <c r="L4"/>
  <c r="K4"/>
  <c r="J4"/>
  <c r="I4"/>
  <c r="H4"/>
  <c r="G4"/>
  <c r="F4"/>
  <c r="E4"/>
  <c r="D4"/>
  <c r="C4"/>
  <c r="BF4" i="1"/>
  <c r="BE4"/>
  <c r="BD4"/>
  <c r="BC4"/>
  <c r="N4"/>
  <c r="L4"/>
  <c r="J4"/>
  <c r="I4"/>
  <c r="H4"/>
  <c r="G4"/>
  <c r="F4"/>
  <c r="E4"/>
  <c r="D4"/>
  <c r="C4"/>
  <c r="AE4" i="15" l="1"/>
  <c r="AR4"/>
  <c r="AX4"/>
  <c r="AK4"/>
  <c r="AU4"/>
  <c r="AL4"/>
  <c r="P4"/>
  <c r="AV4"/>
  <c r="AW4"/>
  <c r="U4"/>
  <c r="AT4"/>
  <c r="AD4"/>
  <c r="AS4"/>
  <c r="V4"/>
  <c r="AP4"/>
  <c r="AN4"/>
  <c r="AM4"/>
  <c r="AO4"/>
  <c r="AQ4"/>
  <c r="AJ4"/>
  <c r="AI4"/>
  <c r="AG4"/>
  <c r="AA4"/>
  <c r="AH4"/>
  <c r="AC4"/>
  <c r="AB4"/>
  <c r="BB4"/>
  <c r="BN4" s="1"/>
  <c r="AF4"/>
  <c r="Z4"/>
  <c r="W4"/>
  <c r="Y4"/>
  <c r="X4"/>
  <c r="Q4"/>
  <c r="O4"/>
  <c r="S4"/>
  <c r="R4"/>
  <c r="AZ4"/>
  <c r="BP4" s="1"/>
  <c r="AY4"/>
  <c r="BI4" s="1"/>
  <c r="BA4"/>
  <c r="BQ4" s="1"/>
  <c r="T4"/>
  <c r="S5" i="66"/>
  <c r="S8"/>
  <c r="O8"/>
  <c r="S9"/>
  <c r="T10"/>
  <c r="O9"/>
  <c r="Q5"/>
  <c r="O10"/>
  <c r="P5"/>
  <c r="T7"/>
  <c r="P9"/>
  <c r="T5"/>
  <c r="R5"/>
  <c r="T6"/>
  <c r="Q10"/>
  <c r="Q8"/>
  <c r="S10"/>
  <c r="R6"/>
  <c r="Q7"/>
  <c r="P8"/>
  <c r="T9"/>
  <c r="O5"/>
  <c r="Q6"/>
  <c r="S6"/>
  <c r="R9"/>
  <c r="P6"/>
  <c r="P10"/>
  <c r="R10"/>
  <c r="Q9"/>
  <c r="S7"/>
  <c r="O7"/>
  <c r="R7"/>
  <c r="O6"/>
  <c r="P7"/>
  <c r="T8"/>
  <c r="R8"/>
  <c r="BT4" i="15" l="1"/>
  <c r="BR4"/>
  <c r="BS4"/>
  <c r="BV4"/>
  <c r="BJ4"/>
  <c r="BL4"/>
  <c r="BU4"/>
  <c r="BM4"/>
  <c r="BO4"/>
  <c r="BK4"/>
  <c r="BH4"/>
  <c r="BG4"/>
  <c r="AE4" i="1"/>
  <c r="AQ4"/>
  <c r="G6" i="66"/>
  <c r="I6"/>
  <c r="AD4" i="1" l="1"/>
  <c r="AB4"/>
  <c r="AL4"/>
  <c r="AM4"/>
  <c r="Y4"/>
  <c r="AK4"/>
  <c r="AV4"/>
  <c r="AU4"/>
  <c r="AO4"/>
  <c r="AR4"/>
  <c r="S4"/>
  <c r="AJ4"/>
  <c r="P4"/>
  <c r="V4"/>
  <c r="Z4"/>
  <c r="AF4"/>
  <c r="AG4"/>
  <c r="AT4"/>
  <c r="AP4"/>
  <c r="AN4"/>
  <c r="R4"/>
  <c r="T4"/>
  <c r="X4"/>
  <c r="AX4"/>
  <c r="AH4"/>
  <c r="AW4"/>
  <c r="O4"/>
  <c r="Q4"/>
  <c r="U4"/>
  <c r="W4"/>
  <c r="AA4"/>
  <c r="AC4"/>
  <c r="AI4"/>
  <c r="AS4"/>
  <c r="BA4"/>
  <c r="AZ4"/>
  <c r="BB4"/>
  <c r="AY4"/>
  <c r="F7" i="3"/>
  <c r="J9" i="66"/>
  <c r="E6" i="3"/>
  <c r="J8"/>
  <c r="G6"/>
  <c r="F6" i="66"/>
  <c r="J6"/>
  <c r="F9"/>
  <c r="I7"/>
  <c r="G5"/>
  <c r="J10" i="3"/>
  <c r="G7"/>
  <c r="F5" i="66"/>
  <c r="G7"/>
  <c r="F10" i="3"/>
  <c r="F10" i="66"/>
  <c r="J10"/>
  <c r="J6" i="3"/>
  <c r="G8" i="66"/>
  <c r="F7"/>
  <c r="H5"/>
  <c r="H9"/>
  <c r="I10" i="3"/>
  <c r="H10"/>
  <c r="I6"/>
  <c r="I9" i="66"/>
  <c r="I10"/>
  <c r="E9" i="3"/>
  <c r="H7"/>
  <c r="I8" i="66"/>
  <c r="I5"/>
  <c r="J5" i="3"/>
  <c r="F6"/>
  <c r="E8"/>
  <c r="J7" i="66"/>
  <c r="I8" i="3"/>
  <c r="G10"/>
  <c r="J8" i="66"/>
  <c r="G5" i="3"/>
  <c r="E9" i="66"/>
  <c r="E6"/>
  <c r="I5" i="3"/>
  <c r="H8"/>
  <c r="I9"/>
  <c r="F5"/>
  <c r="E10" i="66"/>
  <c r="G9"/>
  <c r="J5"/>
  <c r="F8" i="3"/>
  <c r="H7" i="66"/>
  <c r="H6" i="3"/>
  <c r="H9"/>
  <c r="F9"/>
  <c r="E10"/>
  <c r="H5"/>
  <c r="G10" i="66"/>
  <c r="G9" i="3"/>
  <c r="F8" i="66"/>
  <c r="I7" i="3"/>
  <c r="H6" i="66"/>
  <c r="E7" i="3"/>
  <c r="H8" i="66"/>
  <c r="G8" i="3"/>
  <c r="J7"/>
  <c r="J9"/>
  <c r="E8" i="66"/>
  <c r="H10"/>
  <c r="E7"/>
  <c r="BO4" i="1" l="1"/>
  <c r="BK4"/>
  <c r="BL4"/>
  <c r="BP4"/>
  <c r="BI4"/>
  <c r="BG4"/>
  <c r="BJ4"/>
  <c r="BH4"/>
  <c r="BS4"/>
  <c r="BV4"/>
  <c r="BT4"/>
  <c r="BN4"/>
  <c r="BU4"/>
  <c r="BQ4"/>
  <c r="BM4"/>
  <c r="BR4"/>
  <c r="Q9" i="3"/>
  <c r="P8"/>
  <c r="H8" i="69"/>
  <c r="Q10" i="3"/>
  <c r="F9" i="69"/>
  <c r="S10" i="3"/>
  <c r="R8"/>
  <c r="Q7"/>
  <c r="S8"/>
  <c r="E7" i="69"/>
  <c r="Q8" i="3"/>
  <c r="F6" i="69"/>
  <c r="P7" i="3"/>
  <c r="H6" i="69"/>
  <c r="E5" i="66"/>
  <c r="R10" i="3"/>
  <c r="G8" i="69"/>
  <c r="E9"/>
  <c r="G9"/>
  <c r="F8"/>
  <c r="R9" i="3"/>
  <c r="E5"/>
  <c r="G6" i="69"/>
  <c r="S7" i="3"/>
  <c r="P10"/>
  <c r="H7" i="69"/>
  <c r="P9" i="3"/>
  <c r="H9" i="69"/>
  <c r="E6"/>
  <c r="F7"/>
  <c r="E8"/>
  <c r="R7" i="3"/>
  <c r="G7" i="69"/>
  <c r="S9" i="3"/>
</calcChain>
</file>

<file path=xl/comments1.xml><?xml version="1.0" encoding="utf-8"?>
<comments xmlns="http://schemas.openxmlformats.org/spreadsheetml/2006/main">
  <authors>
    <author>AG</author>
  </authors>
  <commentList>
    <comment ref="C1" authorId="0">
      <text>
        <r>
          <rPr>
            <b/>
            <sz val="9"/>
            <color indexed="81"/>
            <rFont val="Tahoma"/>
            <family val="2"/>
          </rPr>
          <t>AG:</t>
        </r>
        <r>
          <rPr>
            <sz val="9"/>
            <color indexed="81"/>
            <rFont val="Tahoma"/>
            <family val="2"/>
          </rPr>
          <t xml:space="preserve">
Notez de 1 à 6
1 = Marginal
2= Faible
3= Modéré
4= Elevé
5= Critique
6= Catastrophique</t>
        </r>
      </text>
    </comment>
  </commentList>
</comments>
</file>

<file path=xl/connections.xml><?xml version="1.0" encoding="utf-8"?>
<connections xmlns="http://schemas.openxmlformats.org/spreadsheetml/2006/main">
  <connection id="1" name="Classeur1" type="6" refreshedVersion="3" deleted="1" background="1" saveData="1">
    <textPr sourceFile="C:\Users\021315\Documents\Base incident\Test\Classeur1.csv" decimal="," thousands=" " tab="0" delimiter=":">
      <textFields count="7">
        <textField/>
        <textField/>
        <textField/>
        <textField/>
        <textField/>
        <textField/>
        <textField/>
      </textFields>
    </textPr>
  </connection>
</connections>
</file>

<file path=xl/sharedStrings.xml><?xml version="1.0" encoding="utf-8"?>
<sst xmlns="http://schemas.openxmlformats.org/spreadsheetml/2006/main" count="1639" uniqueCount="1027">
  <si>
    <t>Maturité du niveau de contrôle</t>
  </si>
  <si>
    <t>n°</t>
  </si>
  <si>
    <t>Libellé</t>
  </si>
  <si>
    <t>Probabilité</t>
  </si>
  <si>
    <t>Rare</t>
  </si>
  <si>
    <t>Modérée</t>
  </si>
  <si>
    <t>Elevée</t>
  </si>
  <si>
    <t>Permanente</t>
  </si>
  <si>
    <t>Marginal</t>
  </si>
  <si>
    <t>Faible</t>
  </si>
  <si>
    <t>Modéré</t>
  </si>
  <si>
    <t>Elevé</t>
  </si>
  <si>
    <t>Critique</t>
  </si>
  <si>
    <t>Catastro.</t>
  </si>
  <si>
    <t>Except.</t>
  </si>
  <si>
    <t>Perma.</t>
  </si>
  <si>
    <t>Marg/Except</t>
  </si>
  <si>
    <t>Marg/Rare</t>
  </si>
  <si>
    <t>Marg/Mode.</t>
  </si>
  <si>
    <t>Catastrophique</t>
  </si>
  <si>
    <t>Exceptionnel</t>
  </si>
  <si>
    <t>Récurrente</t>
  </si>
  <si>
    <t>Faible/Rare</t>
  </si>
  <si>
    <t>Faible/Elevé</t>
  </si>
  <si>
    <t>Elevé/Except</t>
  </si>
  <si>
    <t>Elevé/Rare</t>
  </si>
  <si>
    <t>Marg/Perm</t>
  </si>
  <si>
    <t>Crit/Récu</t>
  </si>
  <si>
    <t>Cata/Rare</t>
  </si>
  <si>
    <t>Cata/Recu</t>
  </si>
  <si>
    <t>Cata/Perm</t>
  </si>
  <si>
    <t>Maitrisé</t>
  </si>
  <si>
    <t>Acceptable</t>
  </si>
  <si>
    <t>Accept.</t>
  </si>
  <si>
    <t>Insuffisant</t>
  </si>
  <si>
    <t>Mineur</t>
  </si>
  <si>
    <t>Très Elevé</t>
  </si>
  <si>
    <t>Gravité Brute</t>
  </si>
  <si>
    <t>IMPACT</t>
  </si>
  <si>
    <t>Marg/Elevé</t>
  </si>
  <si>
    <t>Marg/Recu</t>
  </si>
  <si>
    <t>Faible/Except</t>
  </si>
  <si>
    <t>Faible/Mod</t>
  </si>
  <si>
    <t>Faible/Récu</t>
  </si>
  <si>
    <t>Faible/Perm</t>
  </si>
  <si>
    <t>Mod/Excep</t>
  </si>
  <si>
    <t>Mod/Rare</t>
  </si>
  <si>
    <t>Mod/Mod</t>
  </si>
  <si>
    <t>Mod/Elev</t>
  </si>
  <si>
    <t>Mod/Recu</t>
  </si>
  <si>
    <t>Mod/Perm</t>
  </si>
  <si>
    <t>Eleve/Mod</t>
  </si>
  <si>
    <t>Eleve/Eleve</t>
  </si>
  <si>
    <t>Eleve/Recu</t>
  </si>
  <si>
    <t>Eleve/Perma</t>
  </si>
  <si>
    <t>Crit/Except</t>
  </si>
  <si>
    <t>Crit/Rare</t>
  </si>
  <si>
    <t>Crit/Modé</t>
  </si>
  <si>
    <t>Crit/Elevé</t>
  </si>
  <si>
    <t>Crit/Perma</t>
  </si>
  <si>
    <t>Cata/Except</t>
  </si>
  <si>
    <t>Cata/Mod</t>
  </si>
  <si>
    <t>Cata/Elev</t>
  </si>
  <si>
    <t>Risque issu du RCI RETRAITE 2017</t>
  </si>
  <si>
    <t>Exceptionnelle</t>
  </si>
  <si>
    <t>Recurrente</t>
  </si>
  <si>
    <t>Proba</t>
  </si>
  <si>
    <t>RB</t>
  </si>
  <si>
    <t>DMR</t>
  </si>
  <si>
    <t>Imp</t>
  </si>
  <si>
    <t>Inst</t>
  </si>
  <si>
    <t>IRPAUTO Retraite ARRCO</t>
  </si>
  <si>
    <t>IRPAUTO Retraite AGIRC</t>
  </si>
  <si>
    <t>Externes</t>
  </si>
  <si>
    <t>Ressources_humaines</t>
  </si>
  <si>
    <t>Processus_Procédure</t>
  </si>
  <si>
    <t>SI</t>
  </si>
  <si>
    <t>Pilotage</t>
  </si>
  <si>
    <t>Financier</t>
  </si>
  <si>
    <t>Stratégique</t>
  </si>
  <si>
    <t>IRPAUTO Prévoyance Santé</t>
  </si>
  <si>
    <t>Application des consignes et instructions</t>
  </si>
  <si>
    <t>Conformité</t>
  </si>
  <si>
    <t>Logiciels</t>
  </si>
  <si>
    <t>Gestion de projet</t>
  </si>
  <si>
    <t>Condamnation civile ou pénale d'un dirigeant et / ou d'un organisme</t>
  </si>
  <si>
    <t>Augmentation des appels téléphoniques/ réclamations</t>
  </si>
  <si>
    <t>Remise en cause d'un ou plusieurs axes/ projets stratégiques</t>
  </si>
  <si>
    <t>Maîtrisé</t>
  </si>
  <si>
    <t>IRPAUTO Iéna Prévoyance</t>
  </si>
  <si>
    <t>Catastrophes naturelles et autres sinistres</t>
  </si>
  <si>
    <t>Compétence/ formation</t>
  </si>
  <si>
    <t>Défaillance dans la conception du processus/ procédures</t>
  </si>
  <si>
    <t>Matériels</t>
  </si>
  <si>
    <t>Gestion des habilitations</t>
  </si>
  <si>
    <t>Litige réglé par transaction amiable ou judiciaire</t>
  </si>
  <si>
    <t>Coût ETP, fraudes</t>
  </si>
  <si>
    <t>Médias internet/ réseaux sociaux</t>
  </si>
  <si>
    <t>Remise en cause de la continuité/ poursuite d'activité</t>
  </si>
  <si>
    <t>IRPAUTO MPA</t>
  </si>
  <si>
    <t>Conflits sociaux</t>
  </si>
  <si>
    <t>Défaillance dans la réalisation du processus/ procédure</t>
  </si>
  <si>
    <t>Qualité des données</t>
  </si>
  <si>
    <t>Gestion des ressources, du budget</t>
  </si>
  <si>
    <t>Recommandations, sanctions, blâmes, retrait d'agrément des autorités de contrôle</t>
  </si>
  <si>
    <t>Coût logiciel, données</t>
  </si>
  <si>
    <t>Médias traditionnels (locaux, professionnels, nationaux)</t>
  </si>
  <si>
    <t>Remise en cause de la performance/ qualité des opérations</t>
  </si>
  <si>
    <t>Autres</t>
  </si>
  <si>
    <t>Législation, réglementation, normes</t>
  </si>
  <si>
    <t>Diffusion/ transmission/ compréhension des consignes et instructions</t>
  </si>
  <si>
    <t>Sécurité</t>
  </si>
  <si>
    <t>Indicateurs de pilotage, tableaux de bord</t>
  </si>
  <si>
    <t>Coût remplacement/ réparation</t>
  </si>
  <si>
    <t>Nombreux clients clés impactés (VIP, groupes,…)</t>
  </si>
  <si>
    <t>Remise en cause des outils/ systèmes d'information</t>
  </si>
  <si>
    <t>Toutes</t>
  </si>
  <si>
    <t xml:space="preserve">Information/ Communication
</t>
  </si>
  <si>
    <t>Indu, remboursement, chiffre d'affaires</t>
  </si>
  <si>
    <t>Nombreux clients impactés (TPE-PME, retraités, chômeurs,…)</t>
  </si>
  <si>
    <t>Presse, média, réseaux sociaux</t>
  </si>
  <si>
    <t>Objectifs</t>
  </si>
  <si>
    <t>Nombreux contrats résiliés</t>
  </si>
  <si>
    <t>CRITICITE</t>
  </si>
  <si>
    <t>Situation économique et sociale</t>
  </si>
  <si>
    <t>Zone de criticité très élevée / surveillance insuffisante</t>
  </si>
  <si>
    <t>Zone de criticité élevée / surveillance à renforcer</t>
  </si>
  <si>
    <t>Zone de criticité élevée / surveillance soutenue</t>
  </si>
  <si>
    <t>Zone de criticité modérée / surveillance modérée</t>
  </si>
  <si>
    <t>Zone de criticité faible / surveillance modérée</t>
  </si>
  <si>
    <t>Zone de criticité faible / surveillance faible</t>
  </si>
  <si>
    <t>Surveillance Faible</t>
  </si>
  <si>
    <t>Surveillance Modérée</t>
  </si>
  <si>
    <t>Surveillance à renforcer</t>
  </si>
  <si>
    <t>Mineur/Ins</t>
  </si>
  <si>
    <t>Mineur/Faible</t>
  </si>
  <si>
    <t>Mineur/Accept</t>
  </si>
  <si>
    <t>Surveillance modérée</t>
  </si>
  <si>
    <t>Mineur/Maitrisé</t>
  </si>
  <si>
    <t>Modéré/Maitrisé</t>
  </si>
  <si>
    <t>Modéré/Insu</t>
  </si>
  <si>
    <t>Elevé/Faible</t>
  </si>
  <si>
    <t>Très elevé/Accept</t>
  </si>
  <si>
    <t>Modéré/Faible</t>
  </si>
  <si>
    <t>Modéré/Acce</t>
  </si>
  <si>
    <t>Elevé/Accep</t>
  </si>
  <si>
    <t>Elevé/Maitrisé</t>
  </si>
  <si>
    <t>Très elevé/Maitrisé</t>
  </si>
  <si>
    <t>Criticité elevée</t>
  </si>
  <si>
    <t>Criticité Très élevée</t>
  </si>
  <si>
    <t>Très elevé/Insu</t>
  </si>
  <si>
    <t>Elevé/Insu</t>
  </si>
  <si>
    <t>Très elevé/Faible</t>
  </si>
  <si>
    <t>Gravité mineure</t>
  </si>
  <si>
    <t>Impact Brut</t>
  </si>
  <si>
    <t>Probabilité Brute</t>
  </si>
  <si>
    <t>Zone de Gravité Brute</t>
  </si>
  <si>
    <t>Impact Net</t>
  </si>
  <si>
    <t>Probabilité Nette</t>
  </si>
  <si>
    <t>Zone de Gravité Nette</t>
  </si>
  <si>
    <t>Période active</t>
  </si>
  <si>
    <t>Priorité</t>
  </si>
  <si>
    <t>origine de détection</t>
  </si>
  <si>
    <t>Haute</t>
  </si>
  <si>
    <t>Alliance prof. Retraite Arrco</t>
  </si>
  <si>
    <t>Appel/ Contact client</t>
  </si>
  <si>
    <t>Facteurs de risque</t>
  </si>
  <si>
    <t>Conséquence du risque</t>
  </si>
  <si>
    <t>Moyenne</t>
  </si>
  <si>
    <t>Alliance prof. Retraite Agirc</t>
  </si>
  <si>
    <t>Réclamation/ Conciliation/ Action en justice</t>
  </si>
  <si>
    <t>Conformité_Réglementaire</t>
  </si>
  <si>
    <t>Client_Image_Réputation</t>
  </si>
  <si>
    <t>Basse</t>
  </si>
  <si>
    <t>Presse/ Médias</t>
  </si>
  <si>
    <t>Autres évènements / actions externes</t>
  </si>
  <si>
    <t>Amendes, indemnisations, pénalités</t>
  </si>
  <si>
    <t>Dt jour pour test, Attention formule adaptée trim et traffiquée pour sem</t>
  </si>
  <si>
    <t>Dysfonctionnement des traitements informatiques</t>
  </si>
  <si>
    <t>Données d'entrées incorrectes ou inexploitables</t>
  </si>
  <si>
    <t>Fournisseurs / sous-traitant / partenaires</t>
  </si>
  <si>
    <t>Solidarité Prévention</t>
  </si>
  <si>
    <t>Procédure de contrôle</t>
  </si>
  <si>
    <t>Recommandation d'audit ou injonction des autorités</t>
  </si>
  <si>
    <t>Pratiques du marché / concurrence</t>
  </si>
  <si>
    <t>Fraude interne/ activité illicite par un salarié (vol, vandalisme)</t>
  </si>
  <si>
    <t>Autre</t>
  </si>
  <si>
    <t>Choix</t>
  </si>
  <si>
    <t>Oui</t>
  </si>
  <si>
    <t>Non</t>
  </si>
  <si>
    <t>Nature_perte</t>
  </si>
  <si>
    <t>Client (indu, remboursement, chiffre daffaires)</t>
  </si>
  <si>
    <t>Activité (J/H internes/externes suppl, fraude, …)</t>
  </si>
  <si>
    <t>SynthDMR</t>
  </si>
  <si>
    <t>Actif matériel (coût remplacement/réparation)</t>
  </si>
  <si>
    <t>Actif immatériel (logiciel, données, …)</t>
  </si>
  <si>
    <t>Sanction réglementaire (amende, indemnisation, pénalités, …)</t>
  </si>
  <si>
    <t>Directions</t>
  </si>
  <si>
    <t>Direction_Relation_Clients.</t>
  </si>
  <si>
    <t>Direction_du_Cabinet.</t>
  </si>
  <si>
    <t>Direction_Relation_Adhérent.</t>
  </si>
  <si>
    <t>Direction_Relation_Prestations_Clients.</t>
  </si>
  <si>
    <t>Direction_Réseau_Clients_Marketing_Communication.</t>
  </si>
  <si>
    <t>Direction_Action_Sociale_Culturelle.</t>
  </si>
  <si>
    <t>Direction_Instances_Juridique_Institutionnel.</t>
  </si>
  <si>
    <t>Direction_Finance_Risques.</t>
  </si>
  <si>
    <t>Direction_Technique_Stratégie_Assurentielle.</t>
  </si>
  <si>
    <t>Direction_Ressources_Humaines.</t>
  </si>
  <si>
    <t>Direction_SI_Moyens _Généraux.</t>
  </si>
  <si>
    <t>Département_Grds_Ent_Ctrs_Sant_Prév</t>
  </si>
  <si>
    <t>Département_Solid_Prévent</t>
  </si>
  <si>
    <t>Service_Conf_Proc_Part</t>
  </si>
  <si>
    <t>Département_Prév_Non_Vie_Santé</t>
  </si>
  <si>
    <t>Département_Rés_Clients</t>
  </si>
  <si>
    <t>Département_Act_Soc_Cult</t>
  </si>
  <si>
    <t>Département_Comptabilité</t>
  </si>
  <si>
    <t>Service_Actuariat</t>
  </si>
  <si>
    <t>Département_RH</t>
  </si>
  <si>
    <t>Depart_Budget_Sécu_gest_ddes</t>
  </si>
  <si>
    <t>Département_Ent_TPE_PME_Ctx</t>
  </si>
  <si>
    <t>Secrétariat_DG</t>
  </si>
  <si>
    <t>Département_Rel_Tél</t>
  </si>
  <si>
    <t>Département_Prév_vie_Capit_Fin_Carr</t>
  </si>
  <si>
    <t>Service_Etud_Jur</t>
  </si>
  <si>
    <t>Département_Gest_Risques</t>
  </si>
  <si>
    <t>Départ_Proj_Entreprise</t>
  </si>
  <si>
    <t>Départ_Org_Suiv_Proj_Strat_Act_Groupe</t>
  </si>
  <si>
    <t>Département_Ret_Part</t>
  </si>
  <si>
    <t>Service_Souscrip_Ctrs</t>
  </si>
  <si>
    <t>Service_Ctrl_Gestion</t>
  </si>
  <si>
    <t>Départ_Gouver_Données_Applic</t>
  </si>
  <si>
    <t>Service_Com</t>
  </si>
  <si>
    <t>Service_Finance</t>
  </si>
  <si>
    <t>Départ_Socle_Tech_Logistique</t>
  </si>
  <si>
    <t>Service_Web_Mark</t>
  </si>
  <si>
    <t>Service_Mark</t>
  </si>
  <si>
    <t>Dépt_Ent_TPE_PME_Ctx</t>
  </si>
  <si>
    <t>Dépt_Solid_Prévent</t>
  </si>
  <si>
    <t>Dépt_Rel_Tél</t>
  </si>
  <si>
    <t>Dépt_Prév_Non_Vie_Santé</t>
  </si>
  <si>
    <t>Dépt_Prév_vie_Capit_Fin_Carr</t>
  </si>
  <si>
    <t>Dépt_Ret_Part</t>
  </si>
  <si>
    <t>Dépt_Act_Soc_Cult</t>
  </si>
  <si>
    <t>Service_TPE_PME_1_Ents _DSN</t>
  </si>
  <si>
    <t>Service_Solid_Prévent</t>
  </si>
  <si>
    <t>PIT</t>
  </si>
  <si>
    <t>Service_Prest_Prév_Sant_Grds_Cpt</t>
  </si>
  <si>
    <t>Service_Indem_Fin_Carr</t>
  </si>
  <si>
    <t>Service_Liq_Ret_AA</t>
  </si>
  <si>
    <t>Service_Aid_Com_Soc</t>
  </si>
  <si>
    <t>Service_TPE_PME_2_Ents_Hors_DSN</t>
  </si>
  <si>
    <t>PRV</t>
  </si>
  <si>
    <t>Service_Non_Vie_Sant</t>
  </si>
  <si>
    <t>Prest_Inval_Dec</t>
  </si>
  <si>
    <t>Part</t>
  </si>
  <si>
    <t>Aid_Ind_Act_Coll</t>
  </si>
  <si>
    <t>Dépt_Grds_Ent_Ctrs_Sant_Prév</t>
  </si>
  <si>
    <t>Service_Ident_Ctx</t>
  </si>
  <si>
    <t>Service_Ctrs_Sant_Prév</t>
  </si>
  <si>
    <t>Service_Grds_Ent_Interloc</t>
  </si>
  <si>
    <t>Direction_Relation_Clients.Act</t>
  </si>
  <si>
    <t>Direction_du_Cabinet.Act</t>
  </si>
  <si>
    <t>Direction_Relation_Adhérent.Act</t>
  </si>
  <si>
    <t>Direction_Relation_Prestations_Clients.Act</t>
  </si>
  <si>
    <t>Direction_Réseau_Clients_Marketing_Communication.Act</t>
  </si>
  <si>
    <t>Direction_Action_Sociale_Culturelle.Act</t>
  </si>
  <si>
    <t>Julie Kirch</t>
  </si>
  <si>
    <t>Christine Noël</t>
  </si>
  <si>
    <t>Saisie manuelle si nécessaire</t>
  </si>
  <si>
    <t>Véronique Gatibelza</t>
  </si>
  <si>
    <t>Extraction du nom de fichier</t>
  </si>
  <si>
    <t>STXT(GAUCHE(STXT(CELLULE("nomfichier";A1);TROUVE("[";CELLULE("nomfichier";A1))+1;999);TROUVE("]";STXT(CELLULE("nomfichier";A1);TROUVE("[";CELLULE("nomfichier";A1))+1;999))-5);13;50)</t>
  </si>
  <si>
    <t>Direction_Relation_Clients.Risk</t>
  </si>
  <si>
    <t>Direction_du_Cabinet.Risk</t>
  </si>
  <si>
    <t>Direction_Relation_Adhérent.Risk</t>
  </si>
  <si>
    <t>Direction_Relation_Prestations_Clients.Risk</t>
  </si>
  <si>
    <t>Direction_Réseau_Clients_Marketing_Communication.Risk</t>
  </si>
  <si>
    <t>Direction_Action_Sociale_Culturelle.Risk</t>
  </si>
  <si>
    <t>Non-conformité du paramétrage et de l’enregistrement des contrats</t>
  </si>
  <si>
    <t>Absence ou erreur de paiement de la prestation Santé</t>
  </si>
  <si>
    <t>Non efficience du recouvrement de cotisations</t>
  </si>
  <si>
    <t>Prestations santé payées hors délais</t>
  </si>
  <si>
    <t>Direction_Relation_Clients.Ctrl</t>
  </si>
  <si>
    <t>Direction_du_Cabinet.Ctrl</t>
  </si>
  <si>
    <t>Direction_Relation_Adhérent.Ctrl</t>
  </si>
  <si>
    <t>Direction_Relation_Prestations_Clients.Ctrl</t>
  </si>
  <si>
    <t>Direction_Réseau_Clients_Marketing_Communication.Ctrl</t>
  </si>
  <si>
    <t>Direction_Action_Sociale_Culturelle.Ctrl</t>
  </si>
  <si>
    <t>Contrôle 1</t>
  </si>
  <si>
    <t>Contrôle 4 paiements prestations santé</t>
  </si>
  <si>
    <t>Contrôle 2</t>
  </si>
  <si>
    <t>Contrôle quotidien des 5 plus gros paiement prestations santé</t>
  </si>
  <si>
    <t>Direction_Relation_Clients.PM</t>
  </si>
  <si>
    <t>Direction_du_Cabinet.PM</t>
  </si>
  <si>
    <t>Direction_Relation_Adhérent.PM</t>
  </si>
  <si>
    <t>Direction_Relation_Prestations_Clients.PM</t>
  </si>
  <si>
    <t>Direction_Réseau_Clients_Marketing_Communication.PM</t>
  </si>
  <si>
    <t>Direction_Action_Sociale_Culturelle.PM</t>
  </si>
  <si>
    <t xml:space="preserve">Gérer les adhésions collectives </t>
  </si>
  <si>
    <t>Gérer les prestations prévoyance non-vie (arrêt de travail …)</t>
  </si>
  <si>
    <t>Gérer les adhésions et les cotisations individuelles</t>
  </si>
  <si>
    <t>Gérer les prestations prévoyance vie/non-vie</t>
  </si>
  <si>
    <t>Gérer le recouvrement des contrats collectifs</t>
  </si>
  <si>
    <t>Gérer les prestations retraites</t>
  </si>
  <si>
    <t>Gérer les déclarations et l'encaissement des contrats collectifs</t>
  </si>
  <si>
    <t>Gérer les prestations santé (optique…)</t>
  </si>
  <si>
    <t>Direction_Relation_Clients.PO</t>
  </si>
  <si>
    <t>Direction_du_Cabinet.PO</t>
  </si>
  <si>
    <t>Direction_Relation_Adhérent.PO</t>
  </si>
  <si>
    <t>Direction_Relation_Prestations_Clients.PO</t>
  </si>
  <si>
    <t>Direction_Réseau_Clients_Marketing_Communication.PO</t>
  </si>
  <si>
    <t>Direction_Action_Sociale_Culturelle.PO</t>
  </si>
  <si>
    <t>PO1</t>
  </si>
  <si>
    <t>Traiter les demandes de prestations santé</t>
  </si>
  <si>
    <t>PO2</t>
  </si>
  <si>
    <t>Traiter les devis et prises en charges hospitalières</t>
  </si>
  <si>
    <t>Contexte :</t>
  </si>
  <si>
    <t>Chaque direction dispose d'un fichier, couvrant une période trimestrielle (à l'exception de  l'exercice 2018 : fichier semestriel), à compléter et mettre à disposition du Département Gestion des Risques.</t>
  </si>
  <si>
    <t>Vous pouvez contrôler en haut de chaque fiche que vous utilisez, le fichier de votre direction  pour la période en cours.</t>
  </si>
  <si>
    <t>Architecture :</t>
  </si>
  <si>
    <t>Le fichier est protégé, ce qui signifie que vous avez accès uniquement aux zones à remplir par vos soins. Les autres informations restent néanmoins disponibles en lecture seule.</t>
  </si>
  <si>
    <t xml:space="preserve">Vous disposez de 4 types d'onglets : </t>
  </si>
  <si>
    <t xml:space="preserve"> - Procédure =&gt; que vous lisez actuellement et qui explique le fonctionnement du fichier.</t>
  </si>
  <si>
    <t xml:space="preserve"> - Annexes =&gt; contient la grille de scoring statique complète, la liste des Processus métiers présents dans MEGA ainsi que la liste des risques enregistrés dans MEGA.</t>
  </si>
  <si>
    <t xml:space="preserve">  (Cliquez  sur le sujet souhaité pour y accéder. Pour revenir au menu cliquez sur les barres latérales "Retour menu".)</t>
  </si>
  <si>
    <t xml:space="preserve"> - Conso  =&gt;  correspond à la consolidation automatique de toutes les fiches.  Accessible uniquement en consultation</t>
  </si>
  <si>
    <t xml:space="preserve"> - Fiches de saisie des incidents.</t>
  </si>
  <si>
    <t>( Vous pouvez renommer les onglets des fiches incidents. Les noms choisis seront mis à jour automatiquement dans la totalité du fichier.)</t>
  </si>
  <si>
    <t>Informations :</t>
  </si>
  <si>
    <t>Chaque zone à compléter est associée à une aide. Il suffit de se positionner sur la zone pour obtenir la description de l'action attendue.</t>
  </si>
  <si>
    <t>La description peut être déplacée si nécessaire pour atteindre la liste déroulante par exemple. Pour cela, il suffit de cliquer et maintenir la zone à déplacer.</t>
  </si>
  <si>
    <t>Evolutions :</t>
  </si>
  <si>
    <t>L'année 2018 vise à stabiliser l'outil qui pourra être amenagé en fonction de vos remarques.</t>
  </si>
  <si>
    <t>GRILLE DE SCORING DES IMPACTS DES INCIDENTS</t>
  </si>
  <si>
    <t>LISTE DES PROCESSUS MÉTIER NIVEAU 1, 2 et 3</t>
  </si>
  <si>
    <t>LISTE DES RISQUES</t>
  </si>
  <si>
    <t>GRILLE DE SCORING DES CAUSES DE L'INCIDENT</t>
  </si>
  <si>
    <t>RETOUR MENU          RETOUR MENU            RETOUR MENU</t>
  </si>
  <si>
    <t xml:space="preserve">Les impacts d'un incident correspondent à la gravité de réalisation de cet incident pour l'ensemble des entités du Groupe. </t>
  </si>
  <si>
    <t>Élevé</t>
  </si>
  <si>
    <t>Coût (en € ou J/H) non significatif sur le chiffre d'affaires, le résultat ou la solvabilité (fonds propres)</t>
  </si>
  <si>
    <t>Coût (en € ou J/H) limité au regard du chiffre d'affaires, le résultat ou  de la solvabilité (fonds propres)</t>
  </si>
  <si>
    <t>Coût (en € ou J/H) ayant un impact probable sur le résultat</t>
  </si>
  <si>
    <t>Coût (en € ou J/H) impliquant la nécessité de constituer une provision dans les comptes</t>
  </si>
  <si>
    <t>Coût (en € ou J/H) dépassant les seuils de signification pour les commissaires aux comptes</t>
  </si>
  <si>
    <t>Coût (en € ou J/H) remettant en cause la solvabilité du groupe</t>
  </si>
  <si>
    <t>&lt;= 0,0025% CA</t>
  </si>
  <si>
    <t>entre  0,0025% et 0,0075% CA</t>
  </si>
  <si>
    <t>entre  0,0075% et 0,0125% CA</t>
  </si>
  <si>
    <t>entre 0,0125% et 0,125% CA</t>
  </si>
  <si>
    <t>entre 0,125% et 2,5% CA</t>
  </si>
  <si>
    <t>&gt;=  2,5% CA</t>
  </si>
  <si>
    <t>&lt;= 0,005% SCR ou des Fonds propres</t>
  </si>
  <si>
    <t>entre  0,005% et 0,010% SCR ou des Fonds propres</t>
  </si>
  <si>
    <t>entre  0,010% et 0,025%SCR ou des Fonds propres</t>
  </si>
  <si>
    <t>entre 0,025% et 0,25% SCR ou des Fonds propres</t>
  </si>
  <si>
    <t>entre 0.25% et 5% SCR ou des Fonds propres</t>
  </si>
  <si>
    <t>&gt;= 5% SCR ou des Fonds propres groupe</t>
  </si>
  <si>
    <t>&lt; 5k€</t>
  </si>
  <si>
    <t>entre 5K€ et 10k€</t>
  </si>
  <si>
    <t xml:space="preserve">entre 11K€ et 50K€ </t>
  </si>
  <si>
    <t xml:space="preserve">entre 51K€ et 500K€ </t>
  </si>
  <si>
    <t>entre 500K€ et 10 M€</t>
  </si>
  <si>
    <t>&gt;= 10 M€</t>
  </si>
  <si>
    <t>&lt; 25 J/H</t>
  </si>
  <si>
    <t>entre 25 et 50 J/H</t>
  </si>
  <si>
    <t>entre 51 et 250 J/H</t>
  </si>
  <si>
    <t>entre 251 et 2500 J/H</t>
  </si>
  <si>
    <t>entre 2501 et 50000 J/H</t>
  </si>
  <si>
    <t>&gt;= 50000 J/H</t>
  </si>
  <si>
    <t>&lt; 0,125 ETP</t>
  </si>
  <si>
    <t>entre 0,125 et 0,25 ETP</t>
  </si>
  <si>
    <t>entre 0,26 et 1,25 ETP</t>
  </si>
  <si>
    <t>entre 1,26 et 12,5 ETP</t>
  </si>
  <si>
    <t>entre 12,6 et 250 ETP</t>
  </si>
  <si>
    <t>&gt;= 250 ETP</t>
  </si>
  <si>
    <t>Client / Image / Réputation</t>
  </si>
  <si>
    <r>
      <t xml:space="preserve">Perte d'un client hors </t>
    </r>
    <r>
      <rPr>
        <sz val="9"/>
        <rFont val="Arial"/>
        <family val="2"/>
      </rPr>
      <t>IC 110</t>
    </r>
  </si>
  <si>
    <r>
      <t xml:space="preserve">Perte &lt;10 clients </t>
    </r>
    <r>
      <rPr>
        <sz val="9"/>
        <rFont val="Arial"/>
        <family val="2"/>
      </rPr>
      <t>IC 110</t>
    </r>
  </si>
  <si>
    <r>
      <t>Perte entre 10 et 100 clients hors</t>
    </r>
    <r>
      <rPr>
        <sz val="9"/>
        <rFont val="Arial"/>
        <family val="2"/>
      </rPr>
      <t xml:space="preserve"> IC 110</t>
    </r>
  </si>
  <si>
    <r>
      <t xml:space="preserve">Perte entre 10 et 100 clients hors top 10 </t>
    </r>
    <r>
      <rPr>
        <sz val="9"/>
        <rFont val="Arial"/>
        <family val="2"/>
      </rPr>
      <t>ou IC110</t>
    </r>
  </si>
  <si>
    <t>Perte d'un client du top 10</t>
  </si>
  <si>
    <t>Perte &gt; 1 client du top 10</t>
  </si>
  <si>
    <t>Augmentation &lt; 10% des appels téléphoniques / Augmentation &lt; 5% des réclamations clients</t>
  </si>
  <si>
    <t>Augmentation &lt; 20% des appels téléphoniques / Augmentation &lt; 10% des réclamations clients</t>
  </si>
  <si>
    <t>Augmentation entre 20% et 100% des appels téléphoniques / Augmentation entre 10% et 50% des réclamations clients</t>
  </si>
  <si>
    <t>Augmentation entre 100% et 400% des appels téléphoniques / Augmentation entre 50% et 200% des réclamations clients</t>
  </si>
  <si>
    <t>Augmentation entre &gt; 400% et 1000% des appels téléphoniques / Augmentation entre 200% et 500% des réclamations clients</t>
  </si>
  <si>
    <t xml:space="preserve">Augmentation &gt; 1000% des appels téléphoniques / Augmentation &gt; 500% des réclamations clients </t>
  </si>
  <si>
    <t>Moins de 10 assurés / allocataires touchés</t>
  </si>
  <si>
    <t>Moins de 100 assurés / allocataires touchés</t>
  </si>
  <si>
    <t>De 100 à 1000 assurés / allocataires touchés</t>
  </si>
  <si>
    <t>De 1000 à 5000 assurés / allocataires touchés</t>
  </si>
  <si>
    <r>
      <t xml:space="preserve"> &gt; </t>
    </r>
    <r>
      <rPr>
        <sz val="9"/>
        <rFont val="Arial"/>
        <family val="2"/>
      </rPr>
      <t xml:space="preserve"> 5000 à 10000assurés /</t>
    </r>
    <r>
      <rPr>
        <sz val="9"/>
        <color rgb="FFFF0000"/>
        <rFont val="Arial"/>
        <family val="2"/>
      </rPr>
      <t xml:space="preserve"> </t>
    </r>
    <r>
      <rPr>
        <sz val="9"/>
        <color theme="1"/>
        <rFont val="Arial"/>
        <family val="2"/>
      </rPr>
      <t>allocataires touchés</t>
    </r>
  </si>
  <si>
    <r>
      <t xml:space="preserve">&gt; </t>
    </r>
    <r>
      <rPr>
        <sz val="9"/>
        <rFont val="Arial"/>
        <family val="2"/>
      </rPr>
      <t>10000</t>
    </r>
    <r>
      <rPr>
        <sz val="9"/>
        <color rgb="FFFF0000"/>
        <rFont val="Arial"/>
        <family val="2"/>
      </rPr>
      <t xml:space="preserve"> </t>
    </r>
    <r>
      <rPr>
        <sz val="9"/>
        <color theme="1"/>
        <rFont val="Arial"/>
        <family val="2"/>
      </rPr>
      <t>assurés / allocataires touchés</t>
    </r>
  </si>
  <si>
    <t>Moins de 5  entreprises clientes touchés</t>
  </si>
  <si>
    <t>Moins de 50 entreprises clientes touchés</t>
  </si>
  <si>
    <t xml:space="preserve"> 50 - 100 entreprises clientes touchés</t>
  </si>
  <si>
    <r>
      <t xml:space="preserve"> 100 - 500</t>
    </r>
    <r>
      <rPr>
        <sz val="9"/>
        <color rgb="FFFF0000"/>
        <rFont val="Arial"/>
        <family val="2"/>
      </rPr>
      <t xml:space="preserve"> </t>
    </r>
    <r>
      <rPr>
        <sz val="9"/>
        <rFont val="Arial"/>
        <family val="2"/>
      </rPr>
      <t>entreprises clientes touchés</t>
    </r>
  </si>
  <si>
    <r>
      <t xml:space="preserve"> &gt; </t>
    </r>
    <r>
      <rPr>
        <sz val="9"/>
        <rFont val="Arial"/>
        <family val="2"/>
      </rPr>
      <t>500 à 5000</t>
    </r>
    <r>
      <rPr>
        <sz val="9"/>
        <color theme="1"/>
        <rFont val="Arial"/>
        <family val="2"/>
      </rPr>
      <t xml:space="preserve"> entreprises clientes touchés</t>
    </r>
  </si>
  <si>
    <r>
      <t xml:space="preserve"> &gt;  </t>
    </r>
    <r>
      <rPr>
        <sz val="9"/>
        <rFont val="Arial"/>
        <family val="2"/>
      </rPr>
      <t>5000</t>
    </r>
    <r>
      <rPr>
        <sz val="9"/>
        <color rgb="FFFF0000"/>
        <rFont val="Arial"/>
        <family val="2"/>
      </rPr>
      <t xml:space="preserve"> </t>
    </r>
    <r>
      <rPr>
        <sz val="9"/>
        <color theme="1"/>
        <rFont val="Arial"/>
        <family val="2"/>
      </rPr>
      <t>entreprises clientes touchés</t>
    </r>
  </si>
  <si>
    <t>Médiatisation limitée à la presse locale ou régionale</t>
  </si>
  <si>
    <t>Médiatisation limitée à la presse spécialisée</t>
  </si>
  <si>
    <t>Médiatisation de grande ampleur via un seul canal au niveau national / Affluence sur internet et/ou réseaux sociaux</t>
  </si>
  <si>
    <t>Mise en cause à titre personnel ou professionnel d'un dirigeant effectif, d'un membre du codir, ou d'un administrateur</t>
  </si>
  <si>
    <t>Médiatisation de grande ampleur par tous les médias nationaux (hors internet et réseaux sociaux)</t>
  </si>
  <si>
    <t>Médiatisation de grande ampleur par tous les médias nationaux ,(y compris internet et réseaux sociaux)</t>
  </si>
  <si>
    <t>Conformité / Réglementaire</t>
  </si>
  <si>
    <t>Non-respect des directives du service concerné</t>
  </si>
  <si>
    <t>Non-respect des directives de la Direction générale</t>
  </si>
  <si>
    <t>Constats de non-conformité et recommandations importantes, remarques formelles des autorités de tutelles</t>
  </si>
  <si>
    <t>Blâme des autorités de tutelle / Sanctions financières des autorités de tutelle (capital add on)</t>
  </si>
  <si>
    <t>Condamnation pénale d'un dirigeant ou d'une personne morale</t>
  </si>
  <si>
    <t>Retrait d'agrément</t>
  </si>
  <si>
    <t>Litige isolé réglé par transaction amiable</t>
  </si>
  <si>
    <t>Litiges multiples réglés par transaction amiable</t>
  </si>
  <si>
    <t>Injonction ou mise en cause devant les tribunaux</t>
  </si>
  <si>
    <t>Condamnation civile d'un dirigeant ou d'une personne morale</t>
  </si>
  <si>
    <t>Stratégie</t>
  </si>
  <si>
    <t>Impact non significatif sur les activités, les SI, les axes stratégiques, ou la continuité d'activité</t>
  </si>
  <si>
    <t xml:space="preserve">Retard limité d'un Projet stratégique </t>
  </si>
  <si>
    <t xml:space="preserve">Remise en cause partielle d'une Orientation / Projet stratégique </t>
  </si>
  <si>
    <t>Remise en cause / abandon d'une orientation / projet stratégique</t>
  </si>
  <si>
    <t xml:space="preserve">Remise en cause du Plan stratégique d'une entité ou d'une branche d'activité du groupe </t>
  </si>
  <si>
    <t>Remise en cause du Plan stratégique / de la pérennité de l'ensemble des entités du groupe</t>
  </si>
  <si>
    <t>Perte limitée de la performance / qualité des opérations ou d'un outil</t>
  </si>
  <si>
    <t>Perte notable de la performance / qualité des opérations ou des outils / des SI</t>
  </si>
  <si>
    <t>Remise en cause du développement d'une entité ou d'une branche d'activité du groupe</t>
  </si>
  <si>
    <t>Remise en cause de la pérennité d'une entité ou d'une branche d'activité du groupe</t>
  </si>
  <si>
    <t>Remise en cause de la pérennité des SI</t>
  </si>
  <si>
    <t>Remise en cause de l'efficacité des opérations/ de la qualité des outils/ des SI</t>
  </si>
  <si>
    <t>Remise en cause du développement du groupe</t>
  </si>
  <si>
    <t>Synthèse impact marginal</t>
  </si>
  <si>
    <t>Synthèse impact faible</t>
  </si>
  <si>
    <t>Synthèse impact modéré</t>
  </si>
  <si>
    <t>Synthèse impact élevé</t>
  </si>
  <si>
    <t xml:space="preserve">Synthèse impact critique </t>
  </si>
  <si>
    <t xml:space="preserve">Synthèse impact catastrophique </t>
  </si>
  <si>
    <t>Synthèse des causes</t>
  </si>
  <si>
    <t>Impacts dont la gravité est sans conséquence directe sur l'activité de l'entreprise, mais nécessité néanmoins la mise en œuvre et le suivi d'un plan d'action.</t>
  </si>
  <si>
    <t>Impacts dont la gravité a des conséquences directes sur l'activité de l'entreprise, et nécessite la mise en œuvre immédiate d'un plan d'action correspondant.</t>
  </si>
  <si>
    <t>Impacts dont la gravité peut avoir des répercussions non négligeables sur les activités entrainant des pertes suffisantes pour nécessité la révision de tout ou partie des processus à l'origine des dysfonctionnements</t>
  </si>
  <si>
    <t>Impacts dont la gravité peut provoquer une dégradation importante du fonctionnement des processus d'activités entrainant des pertes (financières, clients, qualité, performances, …)  ayant des conséquences significatives sur la continuité et l'intégrité de l'entreprise.</t>
  </si>
  <si>
    <t>Impacts dont la gravité peut provoquer : 
- l'arrêt total ou partiel des processus clés/sensibles
- un dégradation jugée importante du chiffre d'affaire, et ou des fonds propres
ayant des conséquences majeurs pour l'entreprise.</t>
  </si>
  <si>
    <t>Impacts dont l'extrême  gravité peut entrainer à court ou moyen terme la disparition de l'entreprise</t>
  </si>
  <si>
    <t>RETOUR MENU</t>
  </si>
  <si>
    <t>PROCESSUS MÉTIER Niveau 1</t>
  </si>
  <si>
    <t>PROCESSUS MÉTIER Niveau 2</t>
  </si>
  <si>
    <t>PROCESSUS MÉTIER Niveau 3</t>
  </si>
  <si>
    <t>RETOUR MENU                                         RETOUR MENU                                                RETOUR MENU</t>
  </si>
  <si>
    <t>Animer la relation clients</t>
  </si>
  <si>
    <t>Assurer la communication externe</t>
  </si>
  <si>
    <t>Elaborer et animer le plan de communication  externe de l'entreprise</t>
  </si>
  <si>
    <t>Connaitre le client</t>
  </si>
  <si>
    <t>Garantir la fiabilité des données</t>
  </si>
  <si>
    <t>Identifier et recueillir les données clients (dont les différents canaux de contact)</t>
  </si>
  <si>
    <t>Développer la qualité de service</t>
  </si>
  <si>
    <t>Gérer les réclamations</t>
  </si>
  <si>
    <t>Identifier et analyser les remontées clients (lien avec double écouteé CTU)</t>
  </si>
  <si>
    <t>Mesurer la satisfaction clients</t>
  </si>
  <si>
    <t>Garantir la qualité de l'accueil du client</t>
  </si>
  <si>
    <t>Accueillir et informer le client</t>
  </si>
  <si>
    <t>Garantir la qualité de l'information</t>
  </si>
  <si>
    <t>Assurer la qualité de l'information (double écoute)</t>
  </si>
  <si>
    <t>Gérer le référentiel commun des connaissances</t>
  </si>
  <si>
    <t>Assurer la gestion comptable et financière</t>
  </si>
  <si>
    <t>Assurer la communication financière et réglementaire</t>
  </si>
  <si>
    <t>Produire et diffuser les rapport à destination du public</t>
  </si>
  <si>
    <t>Gérer le budget</t>
  </si>
  <si>
    <t>Assurer le contrôlle budgétaire et la comptabilité analytique</t>
  </si>
  <si>
    <t>Gérer les aspects financiers</t>
  </si>
  <si>
    <t>Suivre les placements</t>
  </si>
  <si>
    <t>Gérer les comptabilités</t>
  </si>
  <si>
    <t>Gérer la comptabilité de flux</t>
  </si>
  <si>
    <t>Gérer les interfaces et le paramétrage</t>
  </si>
  <si>
    <t>Produire les états financiers de chaque entité du Groupe</t>
  </si>
  <si>
    <t>Concevoir et promouvoir des services et des produits de protection sociale</t>
  </si>
  <si>
    <t>Concevoir et maintenir l'offre de produits</t>
  </si>
  <si>
    <t>Assurer le support juridique produits</t>
  </si>
  <si>
    <t>Concevoiré mettre à jour et diffuser l'information commerciale</t>
  </si>
  <si>
    <t>Concevoiré mettre à jour et diffuser l'information contractuelle</t>
  </si>
  <si>
    <t>Paramétrer les contrats et les garanties</t>
  </si>
  <si>
    <t>Conquérir et fidéliser les clients</t>
  </si>
  <si>
    <t>Mettre en ooeuvre le Business Plan</t>
  </si>
  <si>
    <t>Définir et mettre en ooeuvre le PAC</t>
  </si>
  <si>
    <t>Prospecter et vendre des contrats et services</t>
  </si>
  <si>
    <t>Animer le plan d'action commercial</t>
  </si>
  <si>
    <t>Animer le rebond commercial</t>
  </si>
  <si>
    <t>Diffuser les contrats</t>
  </si>
  <si>
    <t>Gérer les Ressources humaines</t>
  </si>
  <si>
    <t>Assurer l'administration du personnel</t>
  </si>
  <si>
    <t>Gérer le contrat de travail  ou assurer la vie du contrat</t>
  </si>
  <si>
    <t>Gérer les relations sociales individuelles et collectives</t>
  </si>
  <si>
    <t>Gérer la communication interne</t>
  </si>
  <si>
    <t>Gérer les relations avec les organisations syndicales et les instances représentatives du personnel</t>
  </si>
  <si>
    <t>Gérer les relations sociales individuelles</t>
  </si>
  <si>
    <t>Mettre en oeuvre la GPEC</t>
  </si>
  <si>
    <t>Analyser et ajuster les ressources et les compétences</t>
  </si>
  <si>
    <t>Gérer les ressources informatiques &amp; matérielles</t>
  </si>
  <si>
    <t>Acheter les biens et les prestations</t>
  </si>
  <si>
    <t>Maitriser les activités sous-traitées ou externalisées</t>
  </si>
  <si>
    <t>Mettre en oeuvre la politique achats</t>
  </si>
  <si>
    <t>Assurer la qualité de la donnée</t>
  </si>
  <si>
    <t>Gérer les statistiques sortantes</t>
  </si>
  <si>
    <t>Assurer la sécurité des biens et des personnes</t>
  </si>
  <si>
    <t>Assurer la continuité d'activité</t>
  </si>
  <si>
    <t>Assurer la sécurité des biens</t>
  </si>
  <si>
    <t>Assurer la sécurité des personnes</t>
  </si>
  <si>
    <t>Gérer et maintenir le SI</t>
  </si>
  <si>
    <t>Assurer la sécurité du SI</t>
  </si>
  <si>
    <t>Gérer le parc applicatif</t>
  </si>
  <si>
    <t>Gérer les demandes</t>
  </si>
  <si>
    <t>Gérer les infrastructures</t>
  </si>
  <si>
    <t>Gérer les aspects logistiques</t>
  </si>
  <si>
    <t>Assurer la gestion des courriers et archives</t>
  </si>
  <si>
    <t>Assurer la maintenance des sitesé des locaux et du matériel</t>
  </si>
  <si>
    <t>Gérer les projets et les évolutions</t>
  </si>
  <si>
    <t>Gérer et suivre les demandes d'évolutions/demandes</t>
  </si>
  <si>
    <t>Mettre en ooeuvre et gérer les produits et services clients</t>
  </si>
  <si>
    <t>Gérer les contrats (adhésion et affiliation)</t>
  </si>
  <si>
    <t>Gérer les adhésions collectives</t>
  </si>
  <si>
    <t>Mettre en oeuvre les prestations</t>
  </si>
  <si>
    <t>Gérer et réaliser les actions (solidarité prévention)</t>
  </si>
  <si>
    <t>Gérer les prestations d'actions sociales et culturelles</t>
  </si>
  <si>
    <t>Gérer les prestations prévoyance non-vie (arrêt de travail ?)</t>
  </si>
  <si>
    <t>Gérer les prestations santé (optique?)</t>
  </si>
  <si>
    <t>Recouvrer les cotisations</t>
  </si>
  <si>
    <t>Piloter la stratégie du Groupe</t>
  </si>
  <si>
    <t>Définir et piloter la gouvernance</t>
  </si>
  <si>
    <t>Animer et gérer les instances (réunionsé mandatsé élections)</t>
  </si>
  <si>
    <t>Définir et gérer les relations avec les partenaires (Amicapé CNPAé Alliance Proé Korélio)</t>
  </si>
  <si>
    <t>Définir et piloter la gouvernance opérationnelle (subdélégationé DGé Codiré Comités internes)</t>
  </si>
  <si>
    <t>Gérer les aspect juridiques institutionnels (statuts et pouvoirsé formalitésé conventions)</t>
  </si>
  <si>
    <t>Définir et piloter la stratégie du Groupe</t>
  </si>
  <si>
    <t>Définir et actualiser le plan stratégique</t>
  </si>
  <si>
    <t>Définir et suivre les projets stratégiques</t>
  </si>
  <si>
    <t>Définir le business plan</t>
  </si>
  <si>
    <t>Définir les axes de communication interne/externe</t>
  </si>
  <si>
    <t>Piloter la qualité et la performance</t>
  </si>
  <si>
    <t>Définir et piloter les trajectoires/direction (dont GPEC)</t>
  </si>
  <si>
    <t>Piloter les activités du Groupe</t>
  </si>
  <si>
    <t>Piloter et contrôler les activités</t>
  </si>
  <si>
    <t>Assurer la conformité des activités</t>
  </si>
  <si>
    <t>Piloter l'audit interne</t>
  </si>
  <si>
    <t>Piloter le dispositif de contrôle permanent (desciription des 2 niveaux de contrôle)</t>
  </si>
  <si>
    <t>Assurer la veille organisationnelle  et prospective</t>
  </si>
  <si>
    <t>Définir les axes de management des connaissances du Groupe</t>
  </si>
  <si>
    <t>Déterminer et déployer les normes qualité et performance des activités du Groupe</t>
  </si>
  <si>
    <t>Piloter et gérer le portefeuille des projets</t>
  </si>
  <si>
    <t>Piloter les processus du Groupe</t>
  </si>
  <si>
    <t>Piloter les aspect financiers et budgétaires</t>
  </si>
  <si>
    <t>Définir et suivre le budget (pluriannuel/annuel)é investissement/fonctionnement</t>
  </si>
  <si>
    <t>Piloter la gestion financière (placements et trésorerie)</t>
  </si>
  <si>
    <t>Piloter les Risques et la Solvabilité (ORSA)</t>
  </si>
  <si>
    <t>Piloter la Solvabilité (ORSA)</t>
  </si>
  <si>
    <t>Piloter les Risques</t>
  </si>
  <si>
    <t>Suivre l'équilibre assurantiel</t>
  </si>
  <si>
    <t>Assurer les activités actuarielles</t>
  </si>
  <si>
    <t>Produire les comptes de résultats techniques (prévoyance santé) et suivre les risques</t>
  </si>
  <si>
    <t>Réaliser les études actuarielles et les travaux périodiques</t>
  </si>
  <si>
    <t>Mettre en oeuvre la politique de réassurance et de courtage</t>
  </si>
  <si>
    <t>A définir</t>
  </si>
  <si>
    <t>Risques enregistrés dans MEGA</t>
  </si>
  <si>
    <t>Code</t>
  </si>
  <si>
    <t>Nom Local</t>
  </si>
  <si>
    <t>RETOUR MENU                       RETOUR MENU                             RETOUR MENU                          RETOUR MENU</t>
  </si>
  <si>
    <t>2016-R-ACC-01 (INC)</t>
  </si>
  <si>
    <t>Dégradation de la qualité de la relation client</t>
  </si>
  <si>
    <t>2016-R-MGX-01(INC)</t>
  </si>
  <si>
    <t>Non-conformité aux normes de sécurité, aux accès physiques, et à la détérioration ou à la destruction des locaux ou des matériels mis à disposition du personnel</t>
  </si>
  <si>
    <t>2016-R-RCL-01 (INC)</t>
  </si>
  <si>
    <t>Non-respect des engagements en matière de délais de traitement</t>
  </si>
  <si>
    <t>2016-R-RCL-02 (INC)</t>
  </si>
  <si>
    <t>Processus non conforme aux orientations et recommandations des organismes tutélaires (AGIRC/ARRCO, CTIP, ACPR, …)</t>
  </si>
  <si>
    <t>2016-R-REC-11(INC)</t>
  </si>
  <si>
    <t>Non efficience du recouvrement de cotisations (risque 11 SMR-RC)</t>
  </si>
  <si>
    <t>2017-R-ACHAT-01carto</t>
  </si>
  <si>
    <t>Défaillance dans la contractualisation</t>
  </si>
  <si>
    <t>2017-R-ACT-01(INC)</t>
  </si>
  <si>
    <t>Non réalisation des calculs d'engagements dans les délais</t>
  </si>
  <si>
    <t>2017-R-ACTIF-01</t>
  </si>
  <si>
    <t>Ne pas réaliser la volumétrie des EIR (objectif COM 4)</t>
  </si>
  <si>
    <t>2017-R-ACTIF-13</t>
  </si>
  <si>
    <t>Comptes de points individuels non à jour dans un délai acceptable</t>
  </si>
  <si>
    <t>2017-R-ACTIF-14carto</t>
  </si>
  <si>
    <t>Droits inscrits sans contrepartie de cotisations entreprise (risque 14 SMR-RC)</t>
  </si>
  <si>
    <t>2017-R-ADH-01(carto)</t>
  </si>
  <si>
    <t>2017-R-AI-01</t>
  </si>
  <si>
    <t>Couverture incomplète des zones de risques au travers du plan d'audit</t>
  </si>
  <si>
    <t>2017-R-AI-02</t>
  </si>
  <si>
    <t>Défaillance dans la procédure d'appel d'offre / suivi et pilotage des prestataires</t>
  </si>
  <si>
    <t>2017-R-AI-03</t>
  </si>
  <si>
    <t>Absence de détection d'un risque important au cours d'une mission</t>
  </si>
  <si>
    <t>2017-R-AI-04</t>
  </si>
  <si>
    <t>Absence ou défaillance du suivi des recommandations</t>
  </si>
  <si>
    <t>2017-R-AI-05</t>
  </si>
  <si>
    <t>Absence de prise en compte des obligations réglementaires et de leurs évolutions</t>
  </si>
  <si>
    <t>2017-R-AI-06</t>
  </si>
  <si>
    <t>Absence ou défaillance de la production / diffusion des reportings</t>
  </si>
  <si>
    <t>2017-R-ALL-05</t>
  </si>
  <si>
    <t>Non paiement ou paiement hors délai des allocations</t>
  </si>
  <si>
    <t>2017-R-ALL-06</t>
  </si>
  <si>
    <t>Non recouvrement des allocations versées à tort</t>
  </si>
  <si>
    <t>2017-R-ALL-07</t>
  </si>
  <si>
    <t>Paiement à tort des allocations</t>
  </si>
  <si>
    <t>2017-R-ALL-08</t>
  </si>
  <si>
    <t>Non-suivi des soldes débiteurs</t>
  </si>
  <si>
    <t>2017-R-ALL-09(carto)</t>
  </si>
  <si>
    <t>Non paiement des réversions dans les délais</t>
  </si>
  <si>
    <t>2017-R-AMO-01(INC)</t>
  </si>
  <si>
    <t>risques liés au pilotage et à la gestion des projets, pouvant avoir pour conséquence une mauvaise prise en compte des besoins, un retard de livraison et/ou un dépassement budgétaire</t>
  </si>
  <si>
    <t>2017-R-AS-01(carto)</t>
  </si>
  <si>
    <t>Non respect des décisions prises en commissions sociales (conditions, bénéficiaires, destinataires de paiement).</t>
  </si>
  <si>
    <t>2017-R-AS-02(carto)</t>
  </si>
  <si>
    <t>Non complétude des dossiers (orientations, type d'aide, qualité d'ayant droit)</t>
  </si>
  <si>
    <t>2017-R-AS-21(carto)</t>
  </si>
  <si>
    <t>Non-respect des orientations prioritaires (risque 21 SMR RC)</t>
  </si>
  <si>
    <t>2017-R-AS-22(carto)</t>
  </si>
  <si>
    <t>Manque d’efficience de l’action sociale (risque 22 SMR RC)</t>
  </si>
  <si>
    <t>2017-R-CG-01(carto)</t>
  </si>
  <si>
    <t>Non-respect des délais dans la transmission des documents</t>
  </si>
  <si>
    <t>2017-R-CG-02(carto)</t>
  </si>
  <si>
    <t>Le manque de pertinence ou de qualité des clés de répartition pour la ventilation des institutions</t>
  </si>
  <si>
    <t>2017-R-CG-03(carto)</t>
  </si>
  <si>
    <t>Une estimation partielle ou erronée des données budgétaires issues des orientations stratégiques et des trajectoires fixées en matière de Retraite complémentaire</t>
  </si>
  <si>
    <t>2017-R-CG-04(carto)</t>
  </si>
  <si>
    <t>Une absence ou une erreur de mesure et d’analyse des activités du groupe (valeur cible/budget/réel)</t>
  </si>
  <si>
    <t>2017-R-COM-01</t>
  </si>
  <si>
    <t>Le risque d’image, de réputation et d'insatisfaction client</t>
  </si>
  <si>
    <t>2017-R-CPTA-01</t>
  </si>
  <si>
    <t>Non paiement des prestations allocations</t>
  </si>
  <si>
    <t>2017-R-CPTA-03</t>
  </si>
  <si>
    <t>Encaissement non traité dans les délais</t>
  </si>
  <si>
    <t>2017-R-CPTA-05 (INC)</t>
  </si>
  <si>
    <t>Non qualité des données</t>
  </si>
  <si>
    <t>2017-R-CPTA-16</t>
  </si>
  <si>
    <t>Trésorerie insuffisante pour le paiement des prestations</t>
  </si>
  <si>
    <t>2017-R-CPTA-25 (INC)</t>
  </si>
  <si>
    <t>non établissement des comptes fiables dans les délais et les normes applicables</t>
  </si>
  <si>
    <t>2017-R-DC-01</t>
  </si>
  <si>
    <t>Défaillance dans la capacité à fidéliser le client</t>
  </si>
  <si>
    <t>2017-R-EXTER-04carto</t>
  </si>
  <si>
    <t>Non-respect des engagements contractuels de la part du sous-traitant</t>
  </si>
  <si>
    <t>2017-R-EXTER-05carto</t>
  </si>
  <si>
    <t>Non-suivi ou mauvais suivi du contrat, et perte de contrôle de la prestation sous-traitée</t>
  </si>
  <si>
    <t>2017-R-EXTER-10carto</t>
  </si>
  <si>
    <t>Sous-traitance de l’activité encaissement des cotisations (risque 10 SMR-RC)</t>
  </si>
  <si>
    <t>2017-R-EXTER-12carto</t>
  </si>
  <si>
    <t>Délégation d’une partie de l’activité du recouvrement des cotisations (risque 12 SMR-RC)</t>
  </si>
  <si>
    <t>2017-R-EXTER-17carto</t>
  </si>
  <si>
    <t>Délégation de la gestion financière (risque 17 SMR-RC)</t>
  </si>
  <si>
    <t>2017-R-FIN-01(carto)</t>
  </si>
  <si>
    <t>Respect des délais de transmission à l’AGIRC/ARRCO</t>
  </si>
  <si>
    <t>2017-R-FIN-15(carto)</t>
  </si>
  <si>
    <t>Non-respect du règlement financier des fédérations (risque 15 SMR-RC)</t>
  </si>
  <si>
    <t>2017-R-FIN-16(carto)</t>
  </si>
  <si>
    <t>Trésorerie insuffisante pour le paiement des allocations à l'échéance (risque 16 SMR-RC)</t>
  </si>
  <si>
    <t>2017-R-INST-01carto</t>
  </si>
  <si>
    <t>Risque de fonctionnement des instances non conformes aux statuts.</t>
  </si>
  <si>
    <t>2017-R-INST-02carto</t>
  </si>
  <si>
    <t>Risque de remboursement indu des frais de mandat</t>
  </si>
  <si>
    <t>2017-R-INST-03carto</t>
  </si>
  <si>
    <t>Risque de conflits d’intérêts</t>
  </si>
  <si>
    <t>2017-R-INST-04carto</t>
  </si>
  <si>
    <t>Risque de non-efficience du fonctionnement des instances de gouvernance</t>
  </si>
  <si>
    <t>2017-R-LIQ-01</t>
  </si>
  <si>
    <t>Erreur dans l'instruction des dossiers retraite</t>
  </si>
  <si>
    <t>2017-R-LIQ-02</t>
  </si>
  <si>
    <t>Non mise en paiement dans les délais</t>
  </si>
  <si>
    <t>2017-R-LIQ-03</t>
  </si>
  <si>
    <t>Mise en paiement à tort d’allocations / conditions d’ouverture de droits</t>
  </si>
  <si>
    <t>2017-R-LIQ-04</t>
  </si>
  <si>
    <t>Non exhaustivité des liquidations retraite (dossier incomplet)</t>
  </si>
  <si>
    <t>2017-R-MGX-02carto</t>
  </si>
  <si>
    <t>Absence de prise en charge, ou de prise en charge tardive ou par un mauvais interlocuteur des demandes clients externes et internes quel que soit le canal d’entrée (courrier, téléphone, fax, mail…)</t>
  </si>
  <si>
    <t>2017-R-PFLIJ-01(INC)</t>
  </si>
  <si>
    <t>Absence de paiement de l'indemnité journalière dans les délais</t>
  </si>
  <si>
    <t>2017-R-PSTRAT-01</t>
  </si>
  <si>
    <t>Risque de non couverture du plan stratégique ou des orientations stratégiques par le portefeuille des projets stratégiques</t>
  </si>
  <si>
    <t>2017-R-PSTRAT-02</t>
  </si>
  <si>
    <t>Risque d'inadéquation avec les objectifs stratégiques</t>
  </si>
  <si>
    <t>2017-R-PSTRAT-03</t>
  </si>
  <si>
    <t>Risque de divergences entre les objectifs initiaux du projet et la réalisation effective</t>
  </si>
  <si>
    <t>2017-R-PSTRAT-04</t>
  </si>
  <si>
    <t>Risque d'inadéquation ou de dépassement des budgets alloués (selon axe coûts, ressources, charges, délais)</t>
  </si>
  <si>
    <t>2017-R-PSTRAT-05</t>
  </si>
  <si>
    <t>Risque d'erreur, absence d'information dans l'élaboration des relevés de décision et des tableaux de bord</t>
  </si>
  <si>
    <t>2017-R-PSTRAT-06</t>
  </si>
  <si>
    <t>Risque de non-respect des délais de diffusion des relevés de décision et des tableaux de bord</t>
  </si>
  <si>
    <t>2017-R-REC-01(carto)</t>
  </si>
  <si>
    <t>Retard dans la mise à disposition d’une situation à jour des comptes entreprises (risque complémentaire)</t>
  </si>
  <si>
    <t>2017-R-REC-02(carto)</t>
  </si>
  <si>
    <t>Défaillance dans la prise en charge des demandes clients</t>
  </si>
  <si>
    <t>2017-R-REC-08(INC)</t>
  </si>
  <si>
    <t>Encaissement non traité dans les délais (risque 8 SMR-RC).</t>
  </si>
  <si>
    <t>2017-R-REC-09(carto)</t>
  </si>
  <si>
    <t>Retard dans la ventilation du paiement sur les comptes des régimes Agirc-Arrco (risque 9 SMR-RC)</t>
  </si>
  <si>
    <t>2017-R-RH-01(carto)</t>
  </si>
  <si>
    <t>Risques relatifs au droit social</t>
  </si>
  <si>
    <t>2017-R-RH-02(carto)</t>
  </si>
  <si>
    <t>Risques liés à la gestion du capital humain</t>
  </si>
  <si>
    <t>2017-R-RH-03(carto)</t>
  </si>
  <si>
    <t>Risques psychosociaux</t>
  </si>
  <si>
    <t>2017-R-SCRER-01</t>
  </si>
  <si>
    <t>Risque d'erreur de traitement de l'indu</t>
  </si>
  <si>
    <t>2017-R-SCRNT-01</t>
  </si>
  <si>
    <t>Risque de ne pas réclamer l'indu</t>
  </si>
  <si>
    <t>2017-R-SDC-01</t>
  </si>
  <si>
    <t>Absence ou défaillance (absente / erronnée / incohérente) dans l'élaboration et/ou la mise à jour d'un règlement</t>
  </si>
  <si>
    <t>2017-R-SDC-02</t>
  </si>
  <si>
    <t>Absence ou défaillance (absente / erronnée / incohérente) dans la diffusion du règlement</t>
  </si>
  <si>
    <t>2017-R-SDC-03</t>
  </si>
  <si>
    <t>Absence ou défaillance (absente / erronnée / incohérente) dans l'élaboration et/ou la mise à jour des documents contractuels</t>
  </si>
  <si>
    <t>2017-R-SDC-04</t>
  </si>
  <si>
    <t>Absence ou défaillance (absente / erronnée / incohérente) dans la diffusion des documents contractuels</t>
  </si>
  <si>
    <t>2017-R-SDC-05</t>
  </si>
  <si>
    <t>Non respect des délais légaux de mise à disposition de l'information contractuelle</t>
  </si>
  <si>
    <t>2017-R-SDPER-01</t>
  </si>
  <si>
    <t>Absence de traitement ou erreur sur devis et prise en charge prestations santé</t>
  </si>
  <si>
    <t>2017-R-SDPHD-01</t>
  </si>
  <si>
    <t>Devis et prises en charge prestations  santé traités hors délais</t>
  </si>
  <si>
    <t>2017-R-SEC-01(INC)</t>
  </si>
  <si>
    <t>Risques liés à des actes de malveillance globale, principalement le risque d’intrusion dans les systèmes d’information par des attaques extérieures</t>
  </si>
  <si>
    <t>2017-R-SI-01(carto)</t>
  </si>
  <si>
    <t>Risques liés à la gestion des infrastructures et des matériels informatiques</t>
  </si>
  <si>
    <t>2017-R-SI-02(carto)</t>
  </si>
  <si>
    <t>Risques liés à l’exploitation quotidienne et aux opérations de maintenance</t>
  </si>
  <si>
    <t>2017-R-SI-03(carto)</t>
  </si>
  <si>
    <t>Risques liés à la gestion des projets</t>
  </si>
  <si>
    <t>2017-R-SI-04(carto)</t>
  </si>
  <si>
    <t>Risques liés à l’exploitation des données issues des systèmes</t>
  </si>
  <si>
    <t>2017-R-SMJDL-01</t>
  </si>
  <si>
    <t>Mises à jour administratives prestations santé traitées hors délais</t>
  </si>
  <si>
    <t>2017-R-SMJER-01</t>
  </si>
  <si>
    <t>Absence ou erreur de traitement des Maj prestations santé</t>
  </si>
  <si>
    <t>2017-R-SPMER-01</t>
  </si>
  <si>
    <t>2017-R-SPMHD-01</t>
  </si>
  <si>
    <t>Nom Onglet</t>
  </si>
  <si>
    <t>Nom du risque</t>
  </si>
  <si>
    <t>Entité du déclarant</t>
  </si>
  <si>
    <t>Déclaré par</t>
  </si>
  <si>
    <t>Code MEGA</t>
  </si>
  <si>
    <t>Date de déclaration</t>
  </si>
  <si>
    <t>Description du risque</t>
  </si>
  <si>
    <t>Processus Métier</t>
  </si>
  <si>
    <t xml:space="preserve">Probabilité Brute </t>
  </si>
  <si>
    <t>Synthèse des impacts bruts</t>
  </si>
  <si>
    <t>Synthèse du DMR</t>
  </si>
  <si>
    <t>Synthèse des impacts Nets</t>
  </si>
  <si>
    <t>Synthèse Impact
Direction Générale</t>
  </si>
  <si>
    <t>Commentaires et Suivi</t>
  </si>
  <si>
    <t>Sélectionner votre Direction :</t>
  </si>
  <si>
    <t>Nom Onglet :</t>
  </si>
  <si>
    <t>Entité du déclarant :</t>
  </si>
  <si>
    <t>Déclaré par :</t>
  </si>
  <si>
    <t>Date de déclaration :</t>
  </si>
  <si>
    <t>Eval Dir opérationnelle
(Si nécessaire)</t>
  </si>
  <si>
    <t>commentaires</t>
  </si>
  <si>
    <t>Probabilité Brute :</t>
  </si>
  <si>
    <t xml:space="preserve"> --------------------------------------&gt;</t>
  </si>
  <si>
    <t>Synthèse des impacts bruts :</t>
  </si>
  <si>
    <t>Synthèse du DMR :</t>
  </si>
  <si>
    <t>Probabilité Nette :</t>
  </si>
  <si>
    <t>Synthèse des impacts Nets :</t>
  </si>
  <si>
    <t>Synthèse de l'impact :
(Dept gestion des risques)</t>
  </si>
  <si>
    <t>Synthèse de l'impact :
(Direction Générale)</t>
  </si>
  <si>
    <t>Commentaires et Suivi :</t>
  </si>
  <si>
    <t>(Réservé gest des risques 
et Direction Générale)</t>
  </si>
  <si>
    <t>Perte &lt;10 clients IC 110
Augmentation &lt; 20% des appels téléphoniques / Augmentation &lt; 10% des réclamations clients
Moins de 100 assurés / allocataires touchés
Moins de 50 entreprises clientes touchés
Médiatisation limitée à la presse spécialisée</t>
  </si>
  <si>
    <t>Non-respect des directives du service concerné
Litige isolé réglé par transaction amiable</t>
  </si>
  <si>
    <t>Non-respect des directives de la Direction générale
Litiges multiples réglés par transaction amiable</t>
  </si>
  <si>
    <t>Constats de non-conformité et recommandations importantes, remarques formelles des autorités de tutelles
Injonction ou mise en cause devant les tribunaux</t>
  </si>
  <si>
    <t>Blâme des autorités de tutelle / Sanctions financières des autorités de tutelle (capital add on)
Condamnation civile d'un dirigeant ou d'une personne morale</t>
  </si>
  <si>
    <t>Retard limité d'un Projet stratégique 
Perte limitée de la performance / qualité des opérations ou d'un outil</t>
  </si>
  <si>
    <t>Remise en cause partielle d'une Orientation / Projet stratégique 
Perte notable de la performance / qualité des opérations ou des outils / des SI</t>
  </si>
  <si>
    <t>Remise en cause / abandon d'une orientation / projet stratégique
Remise en cause du développement d'une entité ou d'une branche d'activité du groupe
Remise en cause de l'efficacité des opérations/ de la qualité des outils/ des SI</t>
  </si>
  <si>
    <t>Retraite</t>
  </si>
  <si>
    <t>Impacts dont la gravité peut provoquer : 
- l'arrêt total ou partiel des processus clés/sensibles
- un dégradation jugée importante du chiffre d'affaire, et ou des fonds propres ayant des conséquences majeurs pour l'entreprise.</t>
  </si>
  <si>
    <t>Santé</t>
  </si>
  <si>
    <t>Risk N°2</t>
  </si>
  <si>
    <t>Risk N°3</t>
  </si>
  <si>
    <t>Risk N°4</t>
  </si>
  <si>
    <t>Risk N°5</t>
  </si>
  <si>
    <t>Risk N°6</t>
  </si>
  <si>
    <t>Risk N°7</t>
  </si>
  <si>
    <t>Risk N°8</t>
  </si>
  <si>
    <t>Risk N°9</t>
  </si>
  <si>
    <t>Risk N°10</t>
  </si>
  <si>
    <t>Risk N°11</t>
  </si>
  <si>
    <t>Risk N°12</t>
  </si>
  <si>
    <t>Risk N°13</t>
  </si>
  <si>
    <t>Risk N°14</t>
  </si>
  <si>
    <t>Risk N°15</t>
  </si>
  <si>
    <t>Risk N°16</t>
  </si>
  <si>
    <t>Risk N°17</t>
  </si>
  <si>
    <t>Risk N°18</t>
  </si>
  <si>
    <t>Risk N°19</t>
  </si>
  <si>
    <t>Risk N°20</t>
  </si>
  <si>
    <t>Risk N°21</t>
  </si>
  <si>
    <t>Risk N°22</t>
  </si>
  <si>
    <t>Risk N°23</t>
  </si>
  <si>
    <t>Risk N°24</t>
  </si>
  <si>
    <t>Risk N°25</t>
  </si>
  <si>
    <t>Risk N°26</t>
  </si>
  <si>
    <t>Risk N°27</t>
  </si>
  <si>
    <t>Risk N°28</t>
  </si>
  <si>
    <t>Risk N°29</t>
  </si>
  <si>
    <t>Risk N°30</t>
  </si>
  <si>
    <t>Risk N°31</t>
  </si>
  <si>
    <t>Risk N°32</t>
  </si>
  <si>
    <t>Risk N°33</t>
  </si>
  <si>
    <t>Risk N°34</t>
  </si>
  <si>
    <t>Risk N°35</t>
  </si>
  <si>
    <t>Risk N°36</t>
  </si>
  <si>
    <t>Risk N°37</t>
  </si>
  <si>
    <t>Risk N°38</t>
  </si>
  <si>
    <t>Risk N°39</t>
  </si>
  <si>
    <t>R1B</t>
  </si>
  <si>
    <t>R2B</t>
  </si>
  <si>
    <t>R3B</t>
  </si>
  <si>
    <t>R4B</t>
  </si>
  <si>
    <t>R5B</t>
  </si>
  <si>
    <t>R6B</t>
  </si>
  <si>
    <t>R7B</t>
  </si>
  <si>
    <t>R8B</t>
  </si>
  <si>
    <t>R9B</t>
  </si>
  <si>
    <t>R10B</t>
  </si>
  <si>
    <t>R11B</t>
  </si>
  <si>
    <t>R12B</t>
  </si>
  <si>
    <t>R13B</t>
  </si>
  <si>
    <t>R14B</t>
  </si>
  <si>
    <t>R15B</t>
  </si>
  <si>
    <t>R16B</t>
  </si>
  <si>
    <t>R17B</t>
  </si>
  <si>
    <t>R18B</t>
  </si>
  <si>
    <t>R19B</t>
  </si>
  <si>
    <t>R20B</t>
  </si>
  <si>
    <t>R21B</t>
  </si>
  <si>
    <t>R22B</t>
  </si>
  <si>
    <t>R23B</t>
  </si>
  <si>
    <t>R24B</t>
  </si>
  <si>
    <t>R25B</t>
  </si>
  <si>
    <t>R26B</t>
  </si>
  <si>
    <t>R27B</t>
  </si>
  <si>
    <t>R28B</t>
  </si>
  <si>
    <t>R29B</t>
  </si>
  <si>
    <t>R30B</t>
  </si>
  <si>
    <t>R31B</t>
  </si>
  <si>
    <t>R32B</t>
  </si>
  <si>
    <t>R33B</t>
  </si>
  <si>
    <t>R34B</t>
  </si>
  <si>
    <t>R35B</t>
  </si>
  <si>
    <t>R36B</t>
  </si>
  <si>
    <t>R37B</t>
  </si>
  <si>
    <t>R1N</t>
  </si>
  <si>
    <t>R2N</t>
  </si>
  <si>
    <t>R3N</t>
  </si>
  <si>
    <t>R4N</t>
  </si>
  <si>
    <t>R5N</t>
  </si>
  <si>
    <t>R6N</t>
  </si>
  <si>
    <t>R7N</t>
  </si>
  <si>
    <t>R8N</t>
  </si>
  <si>
    <t>R9N</t>
  </si>
  <si>
    <t>R10N</t>
  </si>
  <si>
    <t>R11N</t>
  </si>
  <si>
    <t>R12N</t>
  </si>
  <si>
    <t>R13N</t>
  </si>
  <si>
    <t>R14N</t>
  </si>
  <si>
    <t>R15N</t>
  </si>
  <si>
    <t>R16N</t>
  </si>
  <si>
    <t>R17N</t>
  </si>
  <si>
    <t>R18N</t>
  </si>
  <si>
    <t>R19N</t>
  </si>
  <si>
    <t>R20N</t>
  </si>
  <si>
    <t>R21N</t>
  </si>
  <si>
    <t>R22N</t>
  </si>
  <si>
    <t>R23N</t>
  </si>
  <si>
    <t>R24N</t>
  </si>
  <si>
    <t>R25N</t>
  </si>
  <si>
    <t>R26N</t>
  </si>
  <si>
    <t>R27N</t>
  </si>
  <si>
    <t>R28N</t>
  </si>
  <si>
    <t>R29N</t>
  </si>
  <si>
    <t>R30N</t>
  </si>
  <si>
    <t>R31N</t>
  </si>
  <si>
    <t>R32N</t>
  </si>
  <si>
    <t>R33N</t>
  </si>
  <si>
    <t>R34N</t>
  </si>
  <si>
    <t>R35N</t>
  </si>
  <si>
    <t>R36N</t>
  </si>
  <si>
    <t>R37N</t>
  </si>
  <si>
    <t>R38N</t>
  </si>
  <si>
    <t>R39N</t>
  </si>
  <si>
    <t>COTATION RISQUE BRUT/NET</t>
  </si>
  <si>
    <t>Nom risque Criticité</t>
  </si>
  <si>
    <t>Risk1</t>
  </si>
  <si>
    <t>Risk2</t>
  </si>
  <si>
    <t>Risk3</t>
  </si>
  <si>
    <t>Risk4</t>
  </si>
  <si>
    <t>Risk5</t>
  </si>
  <si>
    <t>Risk6</t>
  </si>
  <si>
    <t>Risk7</t>
  </si>
  <si>
    <t>Risk8</t>
  </si>
  <si>
    <t>Risk9</t>
  </si>
  <si>
    <t>Risk10</t>
  </si>
  <si>
    <t>Risk11</t>
  </si>
  <si>
    <t>Risk12</t>
  </si>
  <si>
    <t>Risk13</t>
  </si>
  <si>
    <t>Risk14</t>
  </si>
  <si>
    <t>Risk15</t>
  </si>
  <si>
    <t>Risk16</t>
  </si>
  <si>
    <t>Risk17</t>
  </si>
  <si>
    <t>Risk18</t>
  </si>
  <si>
    <t>Risk19</t>
  </si>
  <si>
    <t>Risk20</t>
  </si>
  <si>
    <t>Risk21</t>
  </si>
  <si>
    <t>Risk22</t>
  </si>
  <si>
    <t>Risk23</t>
  </si>
  <si>
    <t>Risk24</t>
  </si>
  <si>
    <t>Risk25</t>
  </si>
  <si>
    <t>Risk26</t>
  </si>
  <si>
    <t>Risk27</t>
  </si>
  <si>
    <t>Risk28</t>
  </si>
  <si>
    <t>Risk29</t>
  </si>
  <si>
    <t>Risk30</t>
  </si>
  <si>
    <t>Risk31</t>
  </si>
  <si>
    <t>Risk32</t>
  </si>
  <si>
    <t>Risk33</t>
  </si>
  <si>
    <t>Risk34</t>
  </si>
  <si>
    <t>Risk35</t>
  </si>
  <si>
    <t>Risk36</t>
  </si>
  <si>
    <t>Risk37</t>
  </si>
  <si>
    <t>Risk38</t>
  </si>
  <si>
    <t>Risk39</t>
  </si>
  <si>
    <t>CARTOGRAPHIE DES RISQUES BRUTS</t>
  </si>
  <si>
    <t>CARTOGRAPHIE DES RISQUES NETS</t>
  </si>
  <si>
    <t>Nom Risk Net</t>
  </si>
  <si>
    <t>Institution</t>
  </si>
  <si>
    <t>Institution :</t>
  </si>
  <si>
    <t>Risque Majeur :</t>
  </si>
  <si>
    <t>Risque Clé :</t>
  </si>
  <si>
    <t>Processus métier :</t>
  </si>
  <si>
    <t xml:space="preserve">Description du risque :  </t>
  </si>
  <si>
    <t>Nom du risque :</t>
  </si>
  <si>
    <t>Processus Organisationnel :</t>
  </si>
  <si>
    <t>Code MEGA :</t>
  </si>
  <si>
    <t>Processus Orga.</t>
  </si>
  <si>
    <t>Risque 
Majeur</t>
  </si>
  <si>
    <t>Risque Clé</t>
  </si>
  <si>
    <t>Impact Financier :</t>
  </si>
  <si>
    <t>Impact Image / Client :</t>
  </si>
  <si>
    <t>Impact Réglementaire / Conformité :</t>
  </si>
  <si>
    <t>Impact Stratégique :</t>
  </si>
  <si>
    <t>Commentaires</t>
  </si>
  <si>
    <t>Synthèse de l'évaluation à dire d'expert (CMR)</t>
  </si>
  <si>
    <t>Niveau de maîtrise Processus et procédure :</t>
  </si>
  <si>
    <t>Niveau de maîtrise SI :</t>
  </si>
  <si>
    <t>Niveau de maîtrise 
Homme et organisation:</t>
  </si>
  <si>
    <t>Niveau de maîtrise Conformité/Réglementaire :</t>
  </si>
  <si>
    <t>Champs</t>
  </si>
  <si>
    <t>Domaine</t>
  </si>
  <si>
    <t>Domaine :</t>
  </si>
  <si>
    <t>IRPAUTO Iéna Prévoyance Santé</t>
  </si>
  <si>
    <t>Impact Financier</t>
  </si>
  <si>
    <t>Évènement extrêmement rare</t>
  </si>
  <si>
    <t>Évènement peu attendu ou rare au regard du volume d'actes réalisés</t>
  </si>
  <si>
    <t>Évènement potentiellement attendu ou probable au regard du volume d'actes réalisés</t>
  </si>
  <si>
    <t>Évènement pouvant se produire souvent du fait du volume et/ou de l'acteur de l'acte de gestion</t>
  </si>
  <si>
    <t>Évènement attendu régulièrement du fait du volume et/ou de l'acteur de l'acte de gestion</t>
  </si>
  <si>
    <t>Évènement attendu de façon chronique du fait du volume et/ou de l'acteur de l'acte de gestion</t>
  </si>
  <si>
    <t>Coût non significatif sur le chiffre d'affaires, le résultat ou la solvabilité (fonds propres)</t>
  </si>
  <si>
    <t>Coût limité au regard du chiffre d'affaires, le résultat ou  de la solvabilité (fonds propres)</t>
  </si>
  <si>
    <t>Coût ayant un impact probable sur le résultat</t>
  </si>
  <si>
    <t>Coût impliquant la nécessité de constituer une provision dans les comptes</t>
  </si>
  <si>
    <t>Coût dépassant les seuils de signification pour les commissaires aux comptes</t>
  </si>
  <si>
    <t>Coût remettant en cause la solvabilité du groupe</t>
  </si>
  <si>
    <t>Organisation très complexe et / ou ressources inadaptées, très insuffisantes</t>
  </si>
  <si>
    <t>Organisation complexe et / ou ressources partiellement inadaptées, insuffisantes</t>
  </si>
  <si>
    <t>Organisation pleinement satisfaisante. Ressources adaptées, suffisantes</t>
  </si>
  <si>
    <t>Système d'information régulièrement défaillant (indisponible, nombreux bug en suspens…)</t>
  </si>
  <si>
    <t>Système d'information pleinement satisfaisant et capable d'évoluer / aux besoins utilisateurs</t>
  </si>
  <si>
    <t xml:space="preserve">Non-conformité importante identifiée et temps de mise en conformité inadapté au regard des contraintes  réglementaires </t>
  </si>
  <si>
    <t xml:space="preserve">Non-conformité identifiées tardivement et temps de mise en conformité réduit au regard des contraintes réglementaires </t>
  </si>
  <si>
    <t xml:space="preserve">Non-conformité  identifiées au fil de l'eau et actions de mises en conformités planifiées </t>
  </si>
  <si>
    <t>Non-conformité  anticipées au fil de l'eau et actions de mises en conformités planifiées</t>
  </si>
  <si>
    <t>Absence d’élément de maîtrise : pas ou peu de règle, on se fie à l’expérience, pas ou peu de remontées d’informations, pas ou peu de sensibilisation du personnel aux risques.</t>
  </si>
  <si>
    <t xml:space="preserve">Dispositifs mis en place ne permettant pas de réduire significativement la fréquence ou l’impact du risque : règles orales, éléments de maîtrise partiellement existants ou pertinents et peu formalisés. </t>
  </si>
  <si>
    <t>Dispositifs mis en place permettant de réduire notablement la fréquence ou l’impact du risque : règles écrites mais à compléter, éléments de maîtrise existants et  pertinents, formalisés mais à compléter.</t>
  </si>
  <si>
    <t>Dispositifs mis en place permettant de réduire la fréquence ou l’impact du risque à un niveau satisfaisant : règles écrites et détaillées, contrôles formalisés et appliqués (indicateurs de suivi et de contrôle, évaluation des procédures, etc.).</t>
  </si>
  <si>
    <t>Détail de l'évaluation de la synthèse des impacts bruts</t>
  </si>
  <si>
    <t>Détail de l'évaluation de la synthèse du Dispositif de Maitrise des Risques (DMR)</t>
  </si>
  <si>
    <t>Synthèse des DMR</t>
  </si>
  <si>
    <t>Probabilité Brute/Nette</t>
  </si>
  <si>
    <t>Synthèse des impacts Bruts/Nets</t>
  </si>
  <si>
    <t>DMR : Homme</t>
  </si>
  <si>
    <t>Organisation satisfaisante mais pas optimale. Ressources adaptées, suffisantes.</t>
  </si>
  <si>
    <t>DMR : SI</t>
  </si>
  <si>
    <t>Pas de système d'information (alors que nécessaire). Système d'information obsolète (inadapté aux besoins métiers),</t>
  </si>
  <si>
    <t>Système d'information satisfaisant (aux besoins utilisateurs, peu de bugs...).</t>
  </si>
  <si>
    <t>DMR : Procédure</t>
  </si>
  <si>
    <t>Processus complexe (trop vaste, trop d'acteurs, pas de responsabilité…), non documenté. Processus avec des dysfonctionnements réguliers.</t>
  </si>
  <si>
    <t>Processus ou procédure non formalisés.Processus avec quelques dysfonctionnements importants non résolus ou  temps de résolution, d’adaptation long.</t>
  </si>
  <si>
    <t xml:space="preserve">Processus et ou procédure formalisés.Processus avec quelques dysfonctionnements  mineurs et temps de résolution court / rapide </t>
  </si>
  <si>
    <t>Processus formalisé,  procédure et mis à jour régulièrement. Processus avec très peu de dysfonctionnements (en général mineurs)</t>
  </si>
  <si>
    <t>DMR : Règlementaire</t>
  </si>
  <si>
    <t>DMR : Image</t>
  </si>
  <si>
    <t>Impacts Financiers</t>
  </si>
  <si>
    <t>Impacts Clients</t>
  </si>
  <si>
    <t xml:space="preserve">Perte d'un client hors IC 110, 
Augmentation &lt; 10% des appels téléphoniques / Augmentation &lt; 5% des réclamations clients
Moins de 10 assurés / allocataires touchés
Moins de 5  entreprises clientes touchés
Médiatisation limitée à la presse locale ou régionale
</t>
  </si>
  <si>
    <t>Perte entre 10 et 100 clients hors IC 110
Augmentation entre 20% et 100% des appels téléphoniques / Augmentation entre 10% et 50% des réclamations clients
De 100 à 1000 assurés / allocataires touchés
 50 - 100 entreprises clientes touchés
Médiatisation de grande ampleur via un seul canal au niveau national / Affluence sur internet et/ou réseaux sociaux</t>
  </si>
  <si>
    <t>Perte d'un client du top 10
Augmentation entre &gt; 400% et 1000% des appels téléphoniques / Augmentation entre 200% et 500% des réclamations clients
 &gt;  5000 à 10000assurés / allocataires touchés
 &gt; 500 à 5000 entreprises clientes touchés
Médiatisation de grande ampleur par tous les médias nationaux (hors internet et réseaux sociaux)</t>
  </si>
  <si>
    <t>Perte entre 10 et 100 clients hors top 10 ou IC110
Augmentation entre 100% et 400% des appels téléphoniques / Augmentation entre 50% et 200% des réclamations clients
De 1000 à 5000 assurés / allocataires touchés
De 100 - 500 entreprises clientes touchés
Mise en cause à titre personnel ou professionnel d'un dirigeant effectif, d'un membre du codir, ou d'un administrateur</t>
  </si>
  <si>
    <t>Perte &gt; 1 client du top 10
Augmentation &gt; 1000% des appels téléphoniques Augmentation &gt; 500% des réclamations clients
&gt; 10000 assurés / allocataires touchés 
&gt;  5000 entreprises clientes touchés
Médiatisation de grande ampleur par tous les médias nationaux ,(y compris internet et réseaux sociaux)</t>
  </si>
  <si>
    <t>Impacts Conformité</t>
  </si>
  <si>
    <t>Impacts Stratégie</t>
  </si>
  <si>
    <t>Remise en cause du Plan stratégique d'une entité ou d'une branche d'activité du groupe 
Remise en cause de la pérennité d'une entité ou d'une branche d'activité du groupe
Remise en cause de la pérennité des SI
Remise en cause du développement du groupe</t>
  </si>
  <si>
    <t>Impact 
Image / Client</t>
  </si>
  <si>
    <t>Impact 
RéglementaireConformité</t>
  </si>
  <si>
    <t>Impact Stratégique</t>
  </si>
  <si>
    <t>DMR Homme</t>
  </si>
  <si>
    <t>DMR SI</t>
  </si>
  <si>
    <t>DMR Procédure</t>
  </si>
  <si>
    <t>DMR Conformité</t>
  </si>
  <si>
    <t>Analyse Gestion des risques et Direction Générale</t>
  </si>
  <si>
    <t>IRPAUTO Retraite AGIRC et ARRCO</t>
  </si>
  <si>
    <t>IRPAUTO IPSA</t>
  </si>
  <si>
    <t>ADP</t>
  </si>
</sst>
</file>

<file path=xl/styles.xml><?xml version="1.0" encoding="utf-8"?>
<styleSheet xmlns="http://schemas.openxmlformats.org/spreadsheetml/2006/main">
  <numFmts count="2">
    <numFmt numFmtId="44" formatCode="_-* #,##0.00\ &quot;€&quot;_-;\-* #,##0.00\ &quot;€&quot;_-;_-* &quot;-&quot;??\ &quot;€&quot;_-;_-@_-"/>
    <numFmt numFmtId="164" formatCode="[$-F800]dddd\,\ mmmm\ dd\,\ yyyy"/>
  </numFmts>
  <fonts count="74">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8"/>
      <name val="Arial"/>
      <family val="2"/>
    </font>
    <font>
      <b/>
      <sz val="10"/>
      <name val="Verdana"/>
      <family val="2"/>
    </font>
    <font>
      <b/>
      <sz val="14"/>
      <name val="Verdana"/>
      <family val="2"/>
    </font>
    <font>
      <b/>
      <sz val="8"/>
      <name val="Verdana"/>
      <family val="2"/>
    </font>
    <font>
      <i/>
      <sz val="8"/>
      <name val="Verdana"/>
      <family val="2"/>
    </font>
    <font>
      <b/>
      <sz val="18"/>
      <name val="Verdana"/>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indexed="9"/>
      <name val="Calibri"/>
      <family val="2"/>
    </font>
    <font>
      <b/>
      <sz val="7"/>
      <name val="Arial"/>
      <family val="2"/>
    </font>
    <font>
      <sz val="9"/>
      <name val="Arial"/>
      <family val="2"/>
    </font>
    <font>
      <b/>
      <sz val="12"/>
      <name val="Arial"/>
      <family val="2"/>
    </font>
    <font>
      <b/>
      <sz val="9"/>
      <name val="Verdana"/>
      <family val="2"/>
    </font>
    <font>
      <i/>
      <u/>
      <sz val="10"/>
      <name val="Verdana"/>
      <family val="2"/>
    </font>
    <font>
      <sz val="9"/>
      <color indexed="81"/>
      <name val="Tahoma"/>
      <family val="2"/>
    </font>
    <font>
      <b/>
      <sz val="9"/>
      <color indexed="81"/>
      <name val="Tahoma"/>
      <family val="2"/>
    </font>
    <font>
      <sz val="8"/>
      <color theme="1"/>
      <name val="Calibri"/>
      <family val="2"/>
      <scheme val="minor"/>
    </font>
    <font>
      <b/>
      <sz val="8"/>
      <color theme="1"/>
      <name val="Calibri"/>
      <family val="2"/>
      <scheme val="minor"/>
    </font>
    <font>
      <b/>
      <sz val="8"/>
      <name val="Arial"/>
      <family val="2"/>
    </font>
    <font>
      <b/>
      <sz val="14"/>
      <name val="Arial"/>
      <family val="2"/>
    </font>
    <font>
      <sz val="8"/>
      <color theme="0"/>
      <name val="Calibri"/>
      <family val="2"/>
      <scheme val="minor"/>
    </font>
    <font>
      <sz val="8.25"/>
      <color rgb="FF000000"/>
      <name val="Arial"/>
      <family val="2"/>
    </font>
    <font>
      <i/>
      <sz val="8"/>
      <color theme="1"/>
      <name val="Calibri"/>
      <family val="2"/>
      <scheme val="minor"/>
    </font>
    <font>
      <sz val="8"/>
      <color rgb="FFFF0000"/>
      <name val="Calibri"/>
      <family val="2"/>
      <scheme val="minor"/>
    </font>
    <font>
      <b/>
      <u/>
      <sz val="10"/>
      <color theme="9" tint="-0.249977111117893"/>
      <name val="Calibri"/>
      <family val="2"/>
      <scheme val="minor"/>
    </font>
    <font>
      <i/>
      <sz val="10"/>
      <color theme="1"/>
      <name val="Calibri"/>
      <family val="2"/>
      <scheme val="minor"/>
    </font>
    <font>
      <sz val="10"/>
      <color theme="1"/>
      <name val="Calibri"/>
      <family val="2"/>
      <scheme val="minor"/>
    </font>
    <font>
      <b/>
      <u/>
      <sz val="10"/>
      <color theme="3"/>
      <name val="Calibri"/>
      <family val="2"/>
      <scheme val="minor"/>
    </font>
    <font>
      <b/>
      <u/>
      <sz val="10"/>
      <color theme="5" tint="-0.249977111117893"/>
      <name val="Calibri"/>
      <family val="2"/>
      <scheme val="minor"/>
    </font>
    <font>
      <b/>
      <u/>
      <sz val="10"/>
      <color theme="7" tint="-0.499984740745262"/>
      <name val="Calibri"/>
      <family val="2"/>
      <scheme val="minor"/>
    </font>
    <font>
      <u/>
      <sz val="11"/>
      <color theme="10"/>
      <name val="Calibri"/>
      <family val="2"/>
    </font>
    <font>
      <sz val="26"/>
      <color theme="0"/>
      <name val="Calibri"/>
      <family val="2"/>
    </font>
    <font>
      <sz val="26"/>
      <name val="Calibri"/>
      <family val="2"/>
      <scheme val="minor"/>
    </font>
    <font>
      <sz val="11"/>
      <name val="Calibri"/>
      <family val="2"/>
      <scheme val="minor"/>
    </font>
    <font>
      <sz val="28"/>
      <color theme="0"/>
      <name val="Calibri"/>
      <family val="2"/>
    </font>
    <font>
      <sz val="9"/>
      <color theme="1"/>
      <name val="Calibri"/>
      <family val="2"/>
      <scheme val="minor"/>
    </font>
    <font>
      <b/>
      <sz val="9"/>
      <color theme="0"/>
      <name val="Arial"/>
      <family val="2"/>
    </font>
    <font>
      <b/>
      <sz val="9"/>
      <name val="Arial"/>
      <family val="2"/>
    </font>
    <font>
      <b/>
      <sz val="9"/>
      <color theme="1"/>
      <name val="Arial"/>
      <family val="2"/>
    </font>
    <font>
      <sz val="9"/>
      <color theme="1"/>
      <name val="Arial"/>
      <family val="2"/>
    </font>
    <font>
      <sz val="9"/>
      <color rgb="FFFF0000"/>
      <name val="Arial"/>
      <family val="2"/>
    </font>
    <font>
      <b/>
      <i/>
      <sz val="14"/>
      <color theme="0"/>
      <name val="Calibri"/>
      <family val="2"/>
      <scheme val="minor"/>
    </font>
    <font>
      <sz val="12"/>
      <color theme="1"/>
      <name val="Calibri"/>
      <family val="2"/>
      <scheme val="minor"/>
    </font>
    <font>
      <b/>
      <sz val="10"/>
      <color theme="3"/>
      <name val="Calibri"/>
      <family val="2"/>
      <scheme val="minor"/>
    </font>
    <font>
      <sz val="9"/>
      <name val="Calibri"/>
      <family val="2"/>
      <scheme val="minor"/>
    </font>
    <font>
      <sz val="9"/>
      <color theme="0"/>
      <name val="Calibri"/>
      <family val="2"/>
      <scheme val="minor"/>
    </font>
    <font>
      <b/>
      <i/>
      <u/>
      <sz val="10"/>
      <color rgb="FFFF0000"/>
      <name val="Calibri"/>
      <family val="2"/>
      <scheme val="minor"/>
    </font>
    <font>
      <b/>
      <sz val="9"/>
      <color rgb="FFFF0000"/>
      <name val="Calibri"/>
      <family val="2"/>
      <scheme val="minor"/>
    </font>
    <font>
      <b/>
      <sz val="9"/>
      <color theme="0"/>
      <name val="Calibri"/>
      <family val="2"/>
      <scheme val="minor"/>
    </font>
    <font>
      <b/>
      <sz val="9"/>
      <name val="Calibri"/>
      <family val="2"/>
      <scheme val="minor"/>
    </font>
    <font>
      <b/>
      <sz val="20"/>
      <name val="Verdana"/>
      <family val="2"/>
    </font>
    <font>
      <b/>
      <sz val="11"/>
      <name val="Verdana"/>
      <family val="2"/>
    </font>
    <font>
      <sz val="11"/>
      <name val="Arial"/>
      <family val="2"/>
    </font>
    <font>
      <b/>
      <sz val="16"/>
      <name val="Arial"/>
      <family val="2"/>
    </font>
  </fonts>
  <fills count="4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indexed="42"/>
        <bgColor indexed="64"/>
      </patternFill>
    </fill>
    <fill>
      <patternFill patternType="solid">
        <fgColor indexed="29"/>
        <bgColor indexed="64"/>
      </patternFill>
    </fill>
    <fill>
      <patternFill patternType="solid">
        <fgColor rgb="FF00B050"/>
        <bgColor indexed="64"/>
      </patternFill>
    </fill>
    <fill>
      <patternFill patternType="solid">
        <fgColor theme="1" tint="0.499984740745262"/>
        <bgColor indexed="64"/>
      </patternFill>
    </fill>
    <fill>
      <patternFill patternType="solid">
        <fgColor theme="5"/>
        <bgColor indexed="64"/>
      </patternFill>
    </fill>
    <fill>
      <patternFill patternType="solid">
        <fgColor rgb="FFFFFF00"/>
        <bgColor indexed="64"/>
      </patternFill>
    </fill>
    <fill>
      <patternFill patternType="solid">
        <fgColor rgb="FFFFC000"/>
        <bgColor indexed="64"/>
      </patternFill>
    </fill>
    <fill>
      <patternFill patternType="solid">
        <fgColor theme="9"/>
        <bgColor indexed="64"/>
      </patternFill>
    </fill>
    <fill>
      <patternFill patternType="solid">
        <fgColor rgb="FFFF0000"/>
        <bgColor indexed="64"/>
      </patternFill>
    </fill>
    <fill>
      <patternFill patternType="solid">
        <fgColor theme="5" tint="0.59999389629810485"/>
        <bgColor indexed="64"/>
      </patternFill>
    </fill>
    <fill>
      <patternFill patternType="solid">
        <fgColor theme="0" tint="-0.14999847407452621"/>
        <bgColor indexed="64"/>
      </patternFill>
    </fill>
    <fill>
      <patternFill patternType="solid">
        <fgColor rgb="FF92D050"/>
        <bgColor indexed="64"/>
      </patternFill>
    </fill>
    <fill>
      <patternFill patternType="solid">
        <fgColor theme="3"/>
        <bgColor indexed="64"/>
      </patternFill>
    </fill>
    <fill>
      <patternFill patternType="solid">
        <fgColor theme="9" tint="0.39997558519241921"/>
        <bgColor indexed="64"/>
      </patternFill>
    </fill>
    <fill>
      <patternFill patternType="solid">
        <fgColor theme="4" tint="-0.249977111117893"/>
        <bgColor indexed="64"/>
      </patternFill>
    </fill>
    <fill>
      <patternFill patternType="solid">
        <fgColor theme="3" tint="0.79998168889431442"/>
        <bgColor indexed="64"/>
      </patternFill>
    </fill>
    <fill>
      <patternFill patternType="solid">
        <fgColor theme="3" tint="-0.249977111117893"/>
        <bgColor indexed="64"/>
      </patternFill>
    </fill>
    <fill>
      <patternFill patternType="solid">
        <fgColor theme="4" tint="0.79998168889431442"/>
        <bgColor indexed="64"/>
      </patternFill>
    </fill>
    <fill>
      <patternFill patternType="solid">
        <fgColor theme="1"/>
        <bgColor indexed="64"/>
      </patternFill>
    </fill>
    <fill>
      <patternFill patternType="solid">
        <fgColor rgb="FFC6D9F1"/>
        <bgColor indexed="64"/>
      </patternFill>
    </fill>
    <fill>
      <patternFill patternType="solid">
        <fgColor theme="3" tint="0.59999389629810485"/>
        <bgColor indexed="64"/>
      </patternFill>
    </fill>
    <fill>
      <patternFill patternType="solid">
        <fgColor theme="3" tint="0.39997558519241921"/>
        <bgColor indexed="64"/>
      </patternFill>
    </fill>
    <fill>
      <patternFill patternType="solid">
        <fgColor theme="6" tint="0.59999389629810485"/>
        <bgColor indexed="64"/>
      </patternFill>
    </fill>
    <fill>
      <patternFill patternType="solid">
        <fgColor theme="7" tint="0.59999389629810485"/>
        <bgColor indexed="64"/>
      </patternFill>
    </fill>
  </fills>
  <borders count="67">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slantDashDot">
        <color auto="1"/>
      </left>
      <right/>
      <top style="slantDashDot">
        <color auto="1"/>
      </top>
      <bottom style="slantDashDot">
        <color auto="1"/>
      </bottom>
      <diagonal/>
    </border>
    <border>
      <left/>
      <right/>
      <top style="slantDashDot">
        <color auto="1"/>
      </top>
      <bottom style="slantDashDot">
        <color auto="1"/>
      </bottom>
      <diagonal/>
    </border>
    <border>
      <left/>
      <right style="slantDashDot">
        <color auto="1"/>
      </right>
      <top style="slantDashDot">
        <color auto="1"/>
      </top>
      <bottom style="slantDashDot">
        <color auto="1"/>
      </bottom>
      <diagonal/>
    </border>
    <border>
      <left style="dashDot">
        <color indexed="64"/>
      </left>
      <right style="dashDot">
        <color indexed="64"/>
      </right>
      <top style="dashDot">
        <color indexed="64"/>
      </top>
      <bottom style="dashDot">
        <color indexed="64"/>
      </bottom>
      <diagonal/>
    </border>
    <border>
      <left style="dashDot">
        <color indexed="64"/>
      </left>
      <right/>
      <top/>
      <bottom/>
      <diagonal/>
    </border>
    <border>
      <left/>
      <right/>
      <top style="dashDotDot">
        <color auto="1"/>
      </top>
      <bottom/>
      <diagonal/>
    </border>
    <border>
      <left style="dotted">
        <color indexed="64"/>
      </left>
      <right/>
      <top style="dotted">
        <color indexed="64"/>
      </top>
      <bottom/>
      <diagonal/>
    </border>
    <border>
      <left style="dotted">
        <color indexed="64"/>
      </left>
      <right/>
      <top/>
      <bottom style="dotted">
        <color indexed="64"/>
      </bottom>
      <diagonal/>
    </border>
    <border>
      <left style="dashed">
        <color auto="1"/>
      </left>
      <right style="dashed">
        <color auto="1"/>
      </right>
      <top style="dashed">
        <color auto="1"/>
      </top>
      <bottom style="dashed">
        <color auto="1"/>
      </bottom>
      <diagonal/>
    </border>
    <border>
      <left/>
      <right/>
      <top/>
      <bottom style="thick">
        <color auto="1"/>
      </bottom>
      <diagonal/>
    </border>
    <border>
      <left/>
      <right style="thick">
        <color auto="1"/>
      </right>
      <top/>
      <bottom style="thick">
        <color auto="1"/>
      </bottom>
      <diagonal/>
    </border>
    <border>
      <left/>
      <right style="thick">
        <color auto="1"/>
      </right>
      <top/>
      <bottom/>
      <diagonal/>
    </border>
    <border>
      <left/>
      <right style="thick">
        <color auto="1"/>
      </right>
      <top style="dotted">
        <color indexed="64"/>
      </top>
      <bottom/>
      <diagonal/>
    </border>
    <border>
      <left/>
      <right style="thick">
        <color auto="1"/>
      </right>
      <top/>
      <bottom style="dotted">
        <color indexed="64"/>
      </bottom>
      <diagonal/>
    </border>
    <border>
      <left/>
      <right style="thick">
        <color auto="1"/>
      </right>
      <top style="dotted">
        <color indexed="64"/>
      </top>
      <bottom style="dotted">
        <color indexed="64"/>
      </bottom>
      <diagonal/>
    </border>
    <border>
      <left style="slantDashDot">
        <color auto="1"/>
      </left>
      <right style="thick">
        <color auto="1"/>
      </right>
      <top style="slantDashDot">
        <color auto="1"/>
      </top>
      <bottom style="slantDashDot">
        <color auto="1"/>
      </bottom>
      <diagonal/>
    </border>
    <border>
      <left style="dotted">
        <color indexed="64"/>
      </left>
      <right style="thick">
        <color auto="1"/>
      </right>
      <top style="dotted">
        <color indexed="64"/>
      </top>
      <bottom style="dotted">
        <color indexed="64"/>
      </bottom>
      <diagonal/>
    </border>
    <border>
      <left style="dashed">
        <color auto="1"/>
      </left>
      <right style="thick">
        <color auto="1"/>
      </right>
      <top style="dashed">
        <color auto="1"/>
      </top>
      <bottom style="dashed">
        <color auto="1"/>
      </bottom>
      <diagonal/>
    </border>
    <border>
      <left/>
      <right style="thick">
        <color auto="1"/>
      </right>
      <top style="slantDashDot">
        <color auto="1"/>
      </top>
      <bottom style="slantDashDot">
        <color auto="1"/>
      </bottom>
      <diagonal/>
    </border>
    <border>
      <left/>
      <right style="thick">
        <color auto="1"/>
      </right>
      <top style="thick">
        <color auto="1"/>
      </top>
      <bottom/>
      <diagonal/>
    </border>
    <border>
      <left/>
      <right/>
      <top style="thick">
        <color auto="1"/>
      </top>
      <bottom/>
      <diagonal/>
    </border>
    <border>
      <left style="dashed">
        <color indexed="64"/>
      </left>
      <right style="dashed">
        <color indexed="64"/>
      </right>
      <top style="dashed">
        <color indexed="64"/>
      </top>
      <bottom/>
      <diagonal/>
    </border>
    <border>
      <left style="dashed">
        <color indexed="64"/>
      </left>
      <right style="dashed">
        <color indexed="64"/>
      </right>
      <top/>
      <bottom style="dashed">
        <color indexed="64"/>
      </bottom>
      <diagonal/>
    </border>
  </borders>
  <cellStyleXfs count="51">
    <xf numFmtId="0" fontId="0" fillId="0" borderId="0"/>
    <xf numFmtId="0" fontId="12" fillId="2" borderId="0" applyNumberFormat="0" applyBorder="0" applyAlignment="0" applyProtection="0"/>
    <xf numFmtId="0" fontId="12" fillId="3"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8" borderId="0" applyNumberFormat="0" applyBorder="0" applyAlignment="0" applyProtection="0"/>
    <xf numFmtId="0" fontId="12" fillId="11" borderId="0" applyNumberFormat="0" applyBorder="0" applyAlignment="0" applyProtection="0"/>
    <xf numFmtId="0" fontId="13" fillId="12"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6" borderId="0" applyNumberFormat="0" applyBorder="0" applyAlignment="0" applyProtection="0"/>
    <xf numFmtId="0" fontId="13" fillId="17" borderId="0" applyNumberFormat="0" applyBorder="0" applyAlignment="0" applyProtection="0"/>
    <xf numFmtId="0" fontId="13" fillId="18"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9" borderId="0" applyNumberFormat="0" applyBorder="0" applyAlignment="0" applyProtection="0"/>
    <xf numFmtId="0" fontId="14" fillId="0" borderId="0" applyNumberFormat="0" applyFill="0" applyBorder="0" applyAlignment="0" applyProtection="0"/>
    <xf numFmtId="0" fontId="15" fillId="20" borderId="1" applyNumberFormat="0" applyAlignment="0" applyProtection="0"/>
    <xf numFmtId="0" fontId="16" fillId="0" borderId="2" applyNumberFormat="0" applyFill="0" applyAlignment="0" applyProtection="0"/>
    <xf numFmtId="0" fontId="12" fillId="21" borderId="3" applyNumberFormat="0" applyFont="0" applyAlignment="0" applyProtection="0"/>
    <xf numFmtId="0" fontId="17" fillId="7" borderId="1" applyNumberFormat="0" applyAlignment="0" applyProtection="0"/>
    <xf numFmtId="0" fontId="18" fillId="3" borderId="0" applyNumberFormat="0" applyBorder="0" applyAlignment="0" applyProtection="0"/>
    <xf numFmtId="0" fontId="19" fillId="22" borderId="0" applyNumberFormat="0" applyBorder="0" applyAlignment="0" applyProtection="0"/>
    <xf numFmtId="164" fontId="12" fillId="0" borderId="0"/>
    <xf numFmtId="0" fontId="20" fillId="4" borderId="0" applyNumberFormat="0" applyBorder="0" applyAlignment="0" applyProtection="0"/>
    <xf numFmtId="0" fontId="21" fillId="20" borderId="4" applyNumberFormat="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4" fillId="0" borderId="5" applyNumberFormat="0" applyFill="0" applyAlignment="0" applyProtection="0"/>
    <xf numFmtId="0" fontId="25" fillId="0" borderId="6" applyNumberFormat="0" applyFill="0" applyAlignment="0" applyProtection="0"/>
    <xf numFmtId="0" fontId="26" fillId="0" borderId="7" applyNumberFormat="0" applyFill="0" applyAlignment="0" applyProtection="0"/>
    <xf numFmtId="0" fontId="26" fillId="0" borderId="0" applyNumberFormat="0" applyFill="0" applyBorder="0" applyAlignment="0" applyProtection="0"/>
    <xf numFmtId="0" fontId="27" fillId="0" borderId="8" applyNumberFormat="0" applyFill="0" applyAlignment="0" applyProtection="0"/>
    <xf numFmtId="0" fontId="28" fillId="23" borderId="9" applyNumberFormat="0" applyAlignment="0" applyProtection="0"/>
    <xf numFmtId="0" fontId="3" fillId="0" borderId="0"/>
    <xf numFmtId="0" fontId="2" fillId="0" borderId="0"/>
    <xf numFmtId="0" fontId="1" fillId="0" borderId="0"/>
    <xf numFmtId="0" fontId="50" fillId="0" borderId="0" applyNumberFormat="0" applyFill="0" applyBorder="0" applyAlignment="0" applyProtection="0">
      <alignment vertical="top"/>
      <protection locked="0"/>
    </xf>
    <xf numFmtId="9" fontId="1" fillId="0" borderId="0" applyFont="0" applyFill="0" applyBorder="0" applyAlignment="0" applyProtection="0"/>
    <xf numFmtId="44" fontId="1" fillId="0" borderId="0" applyFont="0" applyFill="0" applyBorder="0" applyAlignment="0" applyProtection="0"/>
    <xf numFmtId="0" fontId="1" fillId="0" borderId="0"/>
    <xf numFmtId="0" fontId="4" fillId="0" borderId="0"/>
  </cellStyleXfs>
  <cellXfs count="358">
    <xf numFmtId="0" fontId="0" fillId="0" borderId="0" xfId="0"/>
    <xf numFmtId="0" fontId="0" fillId="0" borderId="0" xfId="0" applyAlignment="1">
      <alignment wrapText="1"/>
    </xf>
    <xf numFmtId="0" fontId="0" fillId="0" borderId="0" xfId="0" applyAlignment="1">
      <alignment horizontal="center"/>
    </xf>
    <xf numFmtId="0" fontId="5" fillId="0" borderId="0" xfId="0" applyFont="1" applyAlignment="1">
      <alignment horizontal="center"/>
    </xf>
    <xf numFmtId="0" fontId="5" fillId="0" borderId="0" xfId="0" applyFont="1"/>
    <xf numFmtId="0" fontId="0" fillId="0" borderId="0" xfId="0" applyAlignment="1">
      <alignment horizontal="centerContinuous"/>
    </xf>
    <xf numFmtId="0" fontId="8" fillId="0" borderId="0" xfId="0" applyFont="1" applyAlignment="1">
      <alignment horizontal="centerContinuous"/>
    </xf>
    <xf numFmtId="0" fontId="0" fillId="0" borderId="0" xfId="0" applyAlignment="1">
      <alignment horizontal="centerContinuous" vertical="center"/>
    </xf>
    <xf numFmtId="0" fontId="7" fillId="0" borderId="10" xfId="0" applyFont="1" applyBorder="1" applyAlignment="1">
      <alignment horizontal="centerContinuous" vertical="center"/>
    </xf>
    <xf numFmtId="0" fontId="0" fillId="0" borderId="10" xfId="0" applyBorder="1" applyAlignment="1">
      <alignment horizontal="centerContinuous" vertical="center"/>
    </xf>
    <xf numFmtId="0" fontId="10" fillId="0" borderId="0" xfId="0" applyFont="1"/>
    <xf numFmtId="0" fontId="11" fillId="0" borderId="0" xfId="0" applyFont="1" applyAlignment="1">
      <alignment horizontal="centerContinuous" vertical="center"/>
    </xf>
    <xf numFmtId="0" fontId="9" fillId="0" borderId="0" xfId="0" applyFont="1" applyFill="1" applyBorder="1" applyAlignment="1">
      <alignment horizontal="center" vertical="center" textRotation="90"/>
    </xf>
    <xf numFmtId="0" fontId="32" fillId="0" borderId="10" xfId="0" applyFont="1" applyFill="1" applyBorder="1" applyAlignment="1">
      <alignment horizontal="center" vertical="center"/>
    </xf>
    <xf numFmtId="0" fontId="30" fillId="0" borderId="0" xfId="0" applyFont="1"/>
    <xf numFmtId="0" fontId="33" fillId="0" borderId="0" xfId="0" applyFont="1" applyAlignment="1">
      <alignment horizontal="center" vertical="center"/>
    </xf>
    <xf numFmtId="0" fontId="0" fillId="0" borderId="0" xfId="0" applyAlignment="1">
      <alignment horizontal="left"/>
    </xf>
    <xf numFmtId="0" fontId="9" fillId="0" borderId="0" xfId="0" applyFont="1" applyAlignment="1">
      <alignment horizontal="center"/>
    </xf>
    <xf numFmtId="0" fontId="32" fillId="0" borderId="10" xfId="0" applyFont="1" applyFill="1" applyBorder="1" applyAlignment="1">
      <alignment horizontal="center" vertical="center" textRotation="90"/>
    </xf>
    <xf numFmtId="0" fontId="32" fillId="0" borderId="16" xfId="0" applyFont="1" applyFill="1" applyBorder="1" applyAlignment="1">
      <alignment horizontal="center" vertical="center" textRotation="90"/>
    </xf>
    <xf numFmtId="16" fontId="32" fillId="0" borderId="16" xfId="0" applyNumberFormat="1" applyFont="1" applyFill="1" applyBorder="1" applyAlignment="1">
      <alignment horizontal="center" vertical="center" textRotation="90"/>
    </xf>
    <xf numFmtId="0" fontId="32" fillId="0" borderId="12" xfId="0" applyFont="1" applyFill="1" applyBorder="1" applyAlignment="1">
      <alignment vertical="center" textRotation="90" wrapText="1"/>
    </xf>
    <xf numFmtId="0" fontId="36" fillId="0" borderId="0" xfId="44" applyFont="1" applyProtection="1"/>
    <xf numFmtId="0" fontId="36" fillId="0" borderId="0" xfId="44" applyFont="1" applyFill="1" applyProtection="1"/>
    <xf numFmtId="0" fontId="36" fillId="0" borderId="0" xfId="44" applyFont="1" applyFill="1" applyAlignment="1" applyProtection="1">
      <alignment horizontal="center" vertical="center"/>
    </xf>
    <xf numFmtId="0" fontId="36" fillId="0" borderId="17" xfId="44" applyFont="1" applyBorder="1" applyProtection="1"/>
    <xf numFmtId="0" fontId="36" fillId="0" borderId="0" xfId="44" applyFont="1" applyBorder="1" applyProtection="1"/>
    <xf numFmtId="0" fontId="0" fillId="0" borderId="0" xfId="0" applyAlignment="1">
      <alignment horizontal="center" vertical="center"/>
    </xf>
    <xf numFmtId="0" fontId="31" fillId="32" borderId="10" xfId="0" applyNumberFormat="1" applyFont="1" applyFill="1" applyBorder="1" applyAlignment="1">
      <alignment horizontal="center" vertical="center" wrapText="1"/>
    </xf>
    <xf numFmtId="0" fontId="31" fillId="25" borderId="10" xfId="0" applyNumberFormat="1" applyFont="1" applyFill="1" applyBorder="1" applyAlignment="1">
      <alignment horizontal="center" vertical="center" wrapText="1"/>
    </xf>
    <xf numFmtId="0" fontId="31" fillId="31" borderId="10" xfId="0" applyNumberFormat="1" applyFont="1" applyFill="1" applyBorder="1" applyAlignment="1">
      <alignment horizontal="center" vertical="center" wrapText="1"/>
    </xf>
    <xf numFmtId="0" fontId="31" fillId="29" borderId="10" xfId="0" applyNumberFormat="1" applyFont="1" applyFill="1" applyBorder="1" applyAlignment="1">
      <alignment horizontal="center" vertical="center" wrapText="1"/>
    </xf>
    <xf numFmtId="0" fontId="31" fillId="24" borderId="10" xfId="0" applyNumberFormat="1" applyFont="1" applyFill="1" applyBorder="1" applyAlignment="1">
      <alignment horizontal="center" vertical="center" wrapText="1"/>
    </xf>
    <xf numFmtId="0" fontId="31" fillId="26" borderId="10" xfId="0" applyNumberFormat="1" applyFont="1" applyFill="1" applyBorder="1" applyAlignment="1">
      <alignment horizontal="center" vertical="center" wrapText="1"/>
    </xf>
    <xf numFmtId="0" fontId="31" fillId="30" borderId="10" xfId="0" applyNumberFormat="1" applyFont="1" applyFill="1" applyBorder="1" applyAlignment="1">
      <alignment horizontal="center" vertical="center" wrapText="1"/>
    </xf>
    <xf numFmtId="0" fontId="31" fillId="28" borderId="10" xfId="0" applyNumberFormat="1" applyFont="1" applyFill="1" applyBorder="1" applyAlignment="1">
      <alignment horizontal="center" vertical="center" wrapText="1"/>
    </xf>
    <xf numFmtId="0" fontId="29" fillId="29" borderId="15" xfId="0" applyFont="1" applyFill="1" applyBorder="1" applyAlignment="1" applyProtection="1">
      <alignment vertical="center"/>
    </xf>
    <xf numFmtId="0" fontId="29" fillId="30" borderId="15" xfId="0" applyFont="1" applyFill="1" applyBorder="1" applyAlignment="1" applyProtection="1">
      <alignment vertical="center"/>
    </xf>
    <xf numFmtId="0" fontId="29" fillId="30" borderId="16" xfId="0" applyFont="1" applyFill="1" applyBorder="1" applyAlignment="1" applyProtection="1">
      <alignment vertical="center"/>
    </xf>
    <xf numFmtId="0" fontId="29" fillId="32" borderId="16" xfId="0" applyFont="1" applyFill="1" applyBorder="1" applyAlignment="1" applyProtection="1">
      <alignment vertical="center"/>
    </xf>
    <xf numFmtId="0" fontId="29" fillId="26" borderId="14" xfId="0" applyFont="1" applyFill="1" applyBorder="1" applyAlignment="1" applyProtection="1">
      <alignment vertical="center"/>
    </xf>
    <xf numFmtId="0" fontId="29" fillId="29" borderId="14" xfId="0" applyFont="1" applyFill="1" applyBorder="1" applyAlignment="1" applyProtection="1">
      <alignment vertical="center"/>
    </xf>
    <xf numFmtId="0" fontId="29" fillId="32" borderId="15" xfId="0" applyFont="1" applyFill="1" applyBorder="1" applyAlignment="1" applyProtection="1">
      <alignment vertical="center"/>
    </xf>
    <xf numFmtId="0" fontId="29" fillId="25" borderId="14" xfId="0" applyFont="1" applyFill="1" applyBorder="1" applyAlignment="1" applyProtection="1">
      <alignment vertical="center"/>
    </xf>
    <xf numFmtId="0" fontId="29" fillId="25" borderId="15" xfId="0" applyFont="1" applyFill="1" applyBorder="1" applyAlignment="1" applyProtection="1">
      <alignment vertical="center"/>
    </xf>
    <xf numFmtId="0" fontId="29" fillId="25" borderId="16" xfId="0" applyFont="1" applyFill="1" applyBorder="1" applyAlignment="1" applyProtection="1">
      <alignment vertical="center"/>
    </xf>
    <xf numFmtId="0" fontId="5" fillId="24" borderId="10" xfId="0" applyFont="1" applyFill="1" applyBorder="1" applyAlignment="1" applyProtection="1">
      <alignment horizontal="centerContinuous" vertical="center"/>
    </xf>
    <xf numFmtId="16" fontId="29" fillId="33" borderId="12" xfId="0" applyNumberFormat="1" applyFont="1" applyFill="1" applyBorder="1" applyAlignment="1" applyProtection="1">
      <alignment horizontal="center" vertical="center" wrapText="1"/>
    </xf>
    <xf numFmtId="0" fontId="5" fillId="24" borderId="10" xfId="0" applyFont="1" applyFill="1" applyBorder="1" applyAlignment="1" applyProtection="1">
      <alignment horizontal="center" vertical="center" wrapText="1"/>
    </xf>
    <xf numFmtId="0" fontId="5" fillId="26" borderId="10" xfId="0" applyFont="1" applyFill="1" applyBorder="1" applyAlignment="1" applyProtection="1">
      <alignment horizontal="center" vertical="center" wrapText="1"/>
    </xf>
    <xf numFmtId="0" fontId="29" fillId="24" borderId="11" xfId="0" applyFont="1" applyFill="1" applyBorder="1" applyAlignment="1" applyProtection="1">
      <alignment horizontal="center" vertical="center" wrapText="1"/>
    </xf>
    <xf numFmtId="0" fontId="29" fillId="29" borderId="11" xfId="0" applyFont="1" applyFill="1" applyBorder="1" applyAlignment="1" applyProtection="1">
      <alignment horizontal="center" vertical="center" wrapText="1"/>
    </xf>
    <xf numFmtId="0" fontId="29" fillId="30" borderId="11" xfId="0" applyFont="1" applyFill="1" applyBorder="1" applyAlignment="1" applyProtection="1">
      <alignment horizontal="center" vertical="center" wrapText="1"/>
    </xf>
    <xf numFmtId="0" fontId="29" fillId="26" borderId="11" xfId="0" applyFont="1" applyFill="1" applyBorder="1" applyAlignment="1" applyProtection="1">
      <alignment horizontal="center" vertical="center" wrapText="1"/>
    </xf>
    <xf numFmtId="0" fontId="29" fillId="32" borderId="11" xfId="0" applyFont="1" applyFill="1" applyBorder="1" applyAlignment="1" applyProtection="1">
      <alignment horizontal="center" vertical="center" wrapText="1"/>
    </xf>
    <xf numFmtId="0" fontId="29" fillId="25" borderId="11" xfId="0" applyFont="1" applyFill="1" applyBorder="1" applyAlignment="1" applyProtection="1">
      <alignment horizontal="center" vertical="center" wrapText="1"/>
    </xf>
    <xf numFmtId="0" fontId="5" fillId="29" borderId="10" xfId="0" applyFont="1" applyFill="1" applyBorder="1" applyAlignment="1" applyProtection="1">
      <alignment horizontal="center" vertical="center" wrapText="1"/>
    </xf>
    <xf numFmtId="0" fontId="5" fillId="30" borderId="10" xfId="0" applyFont="1" applyFill="1" applyBorder="1" applyAlignment="1" applyProtection="1">
      <alignment horizontal="center" vertical="center" wrapText="1"/>
    </xf>
    <xf numFmtId="0" fontId="5" fillId="32" borderId="10" xfId="0" applyFont="1" applyFill="1" applyBorder="1" applyAlignment="1" applyProtection="1">
      <alignment horizontal="center" vertical="center" wrapText="1"/>
    </xf>
    <xf numFmtId="0" fontId="29" fillId="26" borderId="10" xfId="0" applyFont="1" applyFill="1" applyBorder="1" applyAlignment="1" applyProtection="1">
      <alignment vertical="center" wrapText="1"/>
    </xf>
    <xf numFmtId="0" fontId="29" fillId="35" borderId="10" xfId="0" applyFont="1" applyFill="1" applyBorder="1" applyAlignment="1" applyProtection="1">
      <alignment vertical="center" wrapText="1"/>
    </xf>
    <xf numFmtId="0" fontId="29" fillId="33" borderId="10" xfId="0" applyFont="1" applyFill="1" applyBorder="1" applyAlignment="1" applyProtection="1">
      <alignment horizontal="centerContinuous" vertical="center" wrapText="1"/>
    </xf>
    <xf numFmtId="0" fontId="29" fillId="33" borderId="14" xfId="0" applyFont="1" applyFill="1" applyBorder="1" applyAlignment="1" applyProtection="1">
      <alignment horizontal="centerContinuous" vertical="center" wrapText="1"/>
    </xf>
    <xf numFmtId="0" fontId="29" fillId="29" borderId="14" xfId="0" applyFont="1" applyFill="1" applyBorder="1" applyAlignment="1" applyProtection="1">
      <alignment vertical="center" wrapText="1"/>
    </xf>
    <xf numFmtId="0" fontId="29" fillId="29" borderId="10" xfId="0" applyFont="1" applyFill="1" applyBorder="1" applyAlignment="1" applyProtection="1">
      <alignment vertical="center" wrapText="1"/>
    </xf>
    <xf numFmtId="0" fontId="29" fillId="31" borderId="10" xfId="0" applyFont="1" applyFill="1" applyBorder="1" applyAlignment="1" applyProtection="1">
      <alignment vertical="center" wrapText="1"/>
    </xf>
    <xf numFmtId="0" fontId="29" fillId="32" borderId="10" xfId="0" applyFont="1" applyFill="1" applyBorder="1" applyAlignment="1" applyProtection="1">
      <alignment vertical="center" wrapText="1"/>
    </xf>
    <xf numFmtId="0" fontId="0" fillId="0" borderId="10" xfId="0" applyBorder="1" applyAlignment="1" applyProtection="1">
      <alignment horizontal="center" vertical="center"/>
    </xf>
    <xf numFmtId="0" fontId="0" fillId="0" borderId="10" xfId="0" applyBorder="1" applyAlignment="1" applyProtection="1">
      <alignment horizontal="left" vertical="center" wrapText="1"/>
    </xf>
    <xf numFmtId="0" fontId="6" fillId="0" borderId="10" xfId="0" applyFont="1" applyBorder="1" applyAlignment="1" applyProtection="1">
      <alignment horizontal="center" vertical="center"/>
    </xf>
    <xf numFmtId="0" fontId="5" fillId="0" borderId="10" xfId="0" applyFont="1" applyBorder="1" applyAlignment="1" applyProtection="1">
      <alignment horizontal="center" vertical="center"/>
    </xf>
    <xf numFmtId="0" fontId="4" fillId="0" borderId="10" xfId="0" applyFont="1" applyBorder="1" applyAlignment="1" applyProtection="1">
      <alignment horizontal="left" vertical="center"/>
    </xf>
    <xf numFmtId="0" fontId="4" fillId="0" borderId="10" xfId="0" applyFont="1" applyBorder="1" applyAlignment="1" applyProtection="1">
      <alignment horizontal="left" vertical="center" wrapText="1"/>
    </xf>
    <xf numFmtId="0" fontId="5" fillId="0" borderId="10" xfId="0" applyNumberFormat="1" applyFont="1" applyBorder="1" applyAlignment="1" applyProtection="1">
      <alignment horizontal="center" vertical="center"/>
    </xf>
    <xf numFmtId="0" fontId="38" fillId="0" borderId="10" xfId="0" applyNumberFormat="1" applyFont="1" applyBorder="1" applyAlignment="1" applyProtection="1">
      <alignment horizontal="center" vertical="center"/>
    </xf>
    <xf numFmtId="0" fontId="5" fillId="0" borderId="10" xfId="0" applyNumberFormat="1" applyFont="1" applyFill="1" applyBorder="1" applyAlignment="1" applyProtection="1">
      <alignment horizontal="center" vertical="center"/>
    </xf>
    <xf numFmtId="0" fontId="39" fillId="0" borderId="0" xfId="0" applyFont="1" applyAlignment="1">
      <alignment horizontal="centerContinuous"/>
    </xf>
    <xf numFmtId="0" fontId="40" fillId="36" borderId="0" xfId="45" applyFont="1" applyFill="1" applyAlignment="1">
      <alignment horizontal="center" vertical="center"/>
    </xf>
    <xf numFmtId="0" fontId="40" fillId="0" borderId="0" xfId="45" applyFont="1" applyFill="1" applyAlignment="1">
      <alignment horizontal="center" vertical="center"/>
    </xf>
    <xf numFmtId="0" fontId="36" fillId="0" borderId="0" xfId="45" applyFont="1"/>
    <xf numFmtId="0" fontId="36" fillId="0" borderId="0" xfId="45" applyFont="1" applyAlignment="1"/>
    <xf numFmtId="14" fontId="36" fillId="0" borderId="0" xfId="45" applyNumberFormat="1" applyFont="1" applyFill="1"/>
    <xf numFmtId="0" fontId="36" fillId="0" borderId="0" xfId="45" applyFont="1" applyFill="1"/>
    <xf numFmtId="0" fontId="36" fillId="0" borderId="0" xfId="45" applyFont="1" applyFill="1" applyAlignment="1">
      <alignment horizontal="center" vertical="center"/>
    </xf>
    <xf numFmtId="0" fontId="36" fillId="0" borderId="0" xfId="45" applyFont="1" applyFill="1" applyAlignment="1">
      <alignment horizontal="left" vertical="center"/>
    </xf>
    <xf numFmtId="0" fontId="36" fillId="0" borderId="0" xfId="45" applyFont="1" applyFill="1" applyAlignment="1">
      <alignment horizontal="center" vertical="center" wrapText="1"/>
    </xf>
    <xf numFmtId="0" fontId="37" fillId="34" borderId="0" xfId="45" applyFont="1" applyFill="1" applyAlignment="1">
      <alignment horizontal="center" vertical="center"/>
    </xf>
    <xf numFmtId="0" fontId="36" fillId="29" borderId="0" xfId="45" applyFont="1" applyFill="1"/>
    <xf numFmtId="0" fontId="36" fillId="29" borderId="0" xfId="45" applyFont="1" applyFill="1" applyAlignment="1">
      <alignment horizontal="left" vertical="center"/>
    </xf>
    <xf numFmtId="0" fontId="36" fillId="29" borderId="0" xfId="45" applyFont="1" applyFill="1" applyAlignment="1">
      <alignment horizontal="left"/>
    </xf>
    <xf numFmtId="0" fontId="36" fillId="0" borderId="0" xfId="45" applyFont="1" applyAlignment="1">
      <alignment horizontal="left"/>
    </xf>
    <xf numFmtId="14" fontId="40" fillId="36" borderId="0" xfId="45" applyNumberFormat="1" applyFont="1" applyFill="1"/>
    <xf numFmtId="0" fontId="40" fillId="36" borderId="0" xfId="45" applyFont="1" applyFill="1" applyBorder="1"/>
    <xf numFmtId="0" fontId="40" fillId="36" borderId="0" xfId="45" applyFont="1" applyFill="1"/>
    <xf numFmtId="0" fontId="36" fillId="0" borderId="0" xfId="45" applyFont="1" applyBorder="1"/>
    <xf numFmtId="0" fontId="36" fillId="0" borderId="0" xfId="45" applyFont="1" applyFill="1" applyBorder="1"/>
    <xf numFmtId="0" fontId="1" fillId="0" borderId="0" xfId="45"/>
    <xf numFmtId="0" fontId="41" fillId="0" borderId="0" xfId="45" applyFont="1"/>
    <xf numFmtId="0" fontId="36" fillId="0" borderId="0" xfId="45" applyFont="1" applyAlignment="1">
      <alignment horizontal="left" vertical="center"/>
    </xf>
    <xf numFmtId="0" fontId="40" fillId="36" borderId="0" xfId="45" applyFont="1" applyFill="1" applyAlignment="1">
      <alignment horizontal="left" vertical="center"/>
    </xf>
    <xf numFmtId="0" fontId="1" fillId="0" borderId="0" xfId="45" applyAlignment="1">
      <alignment horizontal="left" vertical="center"/>
    </xf>
    <xf numFmtId="0" fontId="36" fillId="0" borderId="0" xfId="45" applyFont="1" applyFill="1" applyAlignment="1">
      <alignment horizontal="left" vertical="center" wrapText="1"/>
    </xf>
    <xf numFmtId="0" fontId="42" fillId="0" borderId="0" xfId="45" applyFont="1"/>
    <xf numFmtId="0" fontId="43" fillId="0" borderId="0" xfId="45" applyFont="1" applyFill="1" applyBorder="1" applyAlignment="1">
      <alignment horizontal="left" vertical="center"/>
    </xf>
    <xf numFmtId="0" fontId="40" fillId="0" borderId="0" xfId="45" applyFont="1" applyFill="1" applyBorder="1" applyAlignment="1">
      <alignment horizontal="center" vertical="center"/>
    </xf>
    <xf numFmtId="14" fontId="36" fillId="0" borderId="0" xfId="45" applyNumberFormat="1" applyFont="1"/>
    <xf numFmtId="0" fontId="43" fillId="0" borderId="0" xfId="45" applyFont="1" applyFill="1" applyBorder="1"/>
    <xf numFmtId="0" fontId="36" fillId="0" borderId="0" xfId="45" applyFont="1" applyAlignment="1">
      <alignment wrapText="1"/>
    </xf>
    <xf numFmtId="0" fontId="44" fillId="0" borderId="0" xfId="45" applyFont="1" applyAlignment="1">
      <alignment horizontal="left" vertical="center"/>
    </xf>
    <xf numFmtId="0" fontId="45" fillId="0" borderId="0" xfId="45" applyFont="1" applyAlignment="1">
      <alignment vertical="center"/>
    </xf>
    <xf numFmtId="0" fontId="46" fillId="0" borderId="0" xfId="45" applyFont="1" applyAlignment="1">
      <alignment vertical="center"/>
    </xf>
    <xf numFmtId="0" fontId="47" fillId="0" borderId="0" xfId="45" applyFont="1" applyAlignment="1">
      <alignment vertical="center"/>
    </xf>
    <xf numFmtId="0" fontId="46" fillId="32" borderId="0" xfId="45" applyFont="1" applyFill="1" applyAlignment="1">
      <alignment vertical="center"/>
    </xf>
    <xf numFmtId="0" fontId="46" fillId="37" borderId="0" xfId="45" applyFont="1" applyFill="1" applyAlignment="1">
      <alignment vertical="center"/>
    </xf>
    <xf numFmtId="0" fontId="46" fillId="38" borderId="0" xfId="45" applyFont="1" applyFill="1" applyAlignment="1">
      <alignment vertical="center"/>
    </xf>
    <xf numFmtId="0" fontId="46" fillId="39" borderId="0" xfId="45" applyFont="1" applyFill="1" applyAlignment="1">
      <alignment vertical="center"/>
    </xf>
    <xf numFmtId="0" fontId="48" fillId="0" borderId="0" xfId="45" applyFont="1" applyAlignment="1">
      <alignment vertical="center"/>
    </xf>
    <xf numFmtId="0" fontId="49" fillId="0" borderId="0" xfId="45" applyFont="1" applyAlignment="1">
      <alignment vertical="center"/>
    </xf>
    <xf numFmtId="0" fontId="52" fillId="0" borderId="0" xfId="45" applyFont="1" applyFill="1" applyAlignment="1">
      <alignment vertical="center"/>
    </xf>
    <xf numFmtId="0" fontId="53" fillId="0" borderId="0" xfId="45" applyFont="1" applyFill="1"/>
    <xf numFmtId="0" fontId="1" fillId="0" borderId="21" xfId="45" applyBorder="1"/>
    <xf numFmtId="0" fontId="1" fillId="0" borderId="0" xfId="45" applyBorder="1"/>
    <xf numFmtId="0" fontId="1" fillId="0" borderId="0" xfId="45" applyBorder="1" applyAlignment="1">
      <alignment wrapText="1"/>
    </xf>
    <xf numFmtId="0" fontId="1" fillId="0" borderId="17" xfId="45" applyBorder="1" applyAlignment="1">
      <alignment wrapText="1"/>
    </xf>
    <xf numFmtId="0" fontId="55" fillId="0" borderId="21" xfId="45" applyFont="1" applyBorder="1" applyAlignment="1">
      <alignment horizontal="center" vertical="center"/>
    </xf>
    <xf numFmtId="0" fontId="30" fillId="0" borderId="21" xfId="45" applyFont="1" applyBorder="1" applyAlignment="1">
      <alignment horizontal="center" vertical="center" wrapText="1"/>
    </xf>
    <xf numFmtId="0" fontId="57" fillId="0" borderId="21" xfId="45" applyFont="1" applyFill="1" applyBorder="1" applyAlignment="1">
      <alignment horizontal="center" vertical="center" wrapText="1"/>
    </xf>
    <xf numFmtId="0" fontId="30" fillId="0" borderId="27" xfId="45" applyFont="1" applyFill="1" applyBorder="1" applyAlignment="1">
      <alignment horizontal="center" vertical="center" wrapText="1" readingOrder="1"/>
    </xf>
    <xf numFmtId="0" fontId="30" fillId="0" borderId="28" xfId="45" applyFont="1" applyFill="1" applyBorder="1" applyAlignment="1">
      <alignment horizontal="center" vertical="center" wrapText="1"/>
    </xf>
    <xf numFmtId="0" fontId="30" fillId="0" borderId="29" xfId="45" applyFont="1" applyFill="1" applyBorder="1" applyAlignment="1">
      <alignment horizontal="center" vertical="center" wrapText="1" readingOrder="1"/>
    </xf>
    <xf numFmtId="0" fontId="30" fillId="0" borderId="10" xfId="45" applyFont="1" applyFill="1" applyBorder="1" applyAlignment="1">
      <alignment horizontal="center" vertical="center" wrapText="1" readingOrder="1"/>
    </xf>
    <xf numFmtId="0" fontId="30" fillId="0" borderId="14" xfId="45" applyFont="1" applyFill="1" applyBorder="1" applyAlignment="1">
      <alignment horizontal="center" vertical="center" wrapText="1"/>
    </xf>
    <xf numFmtId="0" fontId="30" fillId="0" borderId="24" xfId="45" applyFont="1" applyFill="1" applyBorder="1" applyAlignment="1">
      <alignment horizontal="center" vertical="center" wrapText="1" readingOrder="1"/>
    </xf>
    <xf numFmtId="0" fontId="57" fillId="0" borderId="12" xfId="45" applyFont="1" applyFill="1" applyBorder="1" applyAlignment="1">
      <alignment horizontal="center" vertical="center" wrapText="1" readingOrder="1"/>
    </xf>
    <xf numFmtId="0" fontId="57" fillId="0" borderId="31" xfId="45" applyFont="1" applyFill="1" applyBorder="1" applyAlignment="1">
      <alignment horizontal="center" vertical="center" wrapText="1"/>
    </xf>
    <xf numFmtId="0" fontId="57" fillId="0" borderId="25" xfId="45" applyFont="1" applyFill="1" applyBorder="1" applyAlignment="1">
      <alignment horizontal="center" vertical="center" wrapText="1" readingOrder="1"/>
    </xf>
    <xf numFmtId="0" fontId="30" fillId="0" borderId="12" xfId="45" applyFont="1" applyFill="1" applyBorder="1" applyAlignment="1">
      <alignment horizontal="center" vertical="center" wrapText="1" readingOrder="1"/>
    </xf>
    <xf numFmtId="0" fontId="30" fillId="0" borderId="31" xfId="45" applyFont="1" applyFill="1" applyBorder="1" applyAlignment="1">
      <alignment horizontal="center" vertical="center" wrapText="1"/>
    </xf>
    <xf numFmtId="0" fontId="30" fillId="0" borderId="24" xfId="45" applyFont="1" applyFill="1" applyBorder="1" applyAlignment="1">
      <alignment horizontal="center" vertical="center" wrapText="1"/>
    </xf>
    <xf numFmtId="0" fontId="30" fillId="0" borderId="32" xfId="45" applyFont="1" applyFill="1" applyBorder="1" applyAlignment="1">
      <alignment horizontal="center" vertical="center" wrapText="1"/>
    </xf>
    <xf numFmtId="0" fontId="59" fillId="0" borderId="27" xfId="45" applyFont="1" applyFill="1" applyBorder="1" applyAlignment="1">
      <alignment horizontal="center" vertical="center" wrapText="1"/>
    </xf>
    <xf numFmtId="0" fontId="59" fillId="0" borderId="28" xfId="45" applyFont="1" applyFill="1" applyBorder="1" applyAlignment="1">
      <alignment horizontal="center" vertical="center" wrapText="1"/>
    </xf>
    <xf numFmtId="0" fontId="59" fillId="0" borderId="29" xfId="45" applyFont="1" applyFill="1" applyBorder="1" applyAlignment="1">
      <alignment horizontal="center" vertical="center" wrapText="1"/>
    </xf>
    <xf numFmtId="0" fontId="30" fillId="0" borderId="10" xfId="45" applyFont="1" applyFill="1" applyBorder="1" applyAlignment="1">
      <alignment horizontal="center" vertical="center" wrapText="1"/>
    </xf>
    <xf numFmtId="0" fontId="59" fillId="0" borderId="10" xfId="45" applyFont="1" applyFill="1" applyBorder="1" applyAlignment="1">
      <alignment horizontal="center" vertical="center" wrapText="1"/>
    </xf>
    <xf numFmtId="0" fontId="59" fillId="0" borderId="24" xfId="45" applyFont="1" applyFill="1" applyBorder="1" applyAlignment="1">
      <alignment horizontal="center" vertical="center" wrapText="1"/>
    </xf>
    <xf numFmtId="0" fontId="59" fillId="0" borderId="34" xfId="45" applyFont="1" applyFill="1" applyBorder="1" applyAlignment="1">
      <alignment horizontal="center" vertical="center" wrapText="1"/>
    </xf>
    <xf numFmtId="0" fontId="30" fillId="0" borderId="35" xfId="45" applyFont="1" applyFill="1" applyBorder="1" applyAlignment="1">
      <alignment horizontal="center" vertical="center" wrapText="1"/>
    </xf>
    <xf numFmtId="0" fontId="30" fillId="0" borderId="34" xfId="45" applyFont="1" applyFill="1" applyBorder="1" applyAlignment="1">
      <alignment horizontal="center" vertical="center" wrapText="1"/>
    </xf>
    <xf numFmtId="0" fontId="58" fillId="0" borderId="21" xfId="45" applyFont="1" applyFill="1" applyBorder="1" applyAlignment="1">
      <alignment horizontal="center" vertical="center" wrapText="1"/>
    </xf>
    <xf numFmtId="0" fontId="1" fillId="0" borderId="21" xfId="45" applyBorder="1" applyAlignment="1">
      <alignment wrapText="1"/>
    </xf>
    <xf numFmtId="0" fontId="58" fillId="26" borderId="14" xfId="45" applyFont="1" applyFill="1" applyBorder="1" applyAlignment="1">
      <alignment horizontal="center" vertical="center" wrapText="1"/>
    </xf>
    <xf numFmtId="0" fontId="58" fillId="35" borderId="14" xfId="45" applyFont="1" applyFill="1" applyBorder="1" applyAlignment="1">
      <alignment horizontal="center" vertical="center" wrapText="1"/>
    </xf>
    <xf numFmtId="0" fontId="58" fillId="29" borderId="14" xfId="45" applyFont="1" applyFill="1" applyBorder="1" applyAlignment="1">
      <alignment horizontal="center" vertical="center" wrapText="1"/>
    </xf>
    <xf numFmtId="0" fontId="58" fillId="30" borderId="14" xfId="45" applyFont="1" applyFill="1" applyBorder="1" applyAlignment="1">
      <alignment horizontal="center" vertical="center" wrapText="1"/>
    </xf>
    <xf numFmtId="0" fontId="58" fillId="32" borderId="14" xfId="45" applyFont="1" applyFill="1" applyBorder="1" applyAlignment="1">
      <alignment horizontal="center" vertical="center" wrapText="1"/>
    </xf>
    <xf numFmtId="0" fontId="56" fillId="42" borderId="24" xfId="45" applyFont="1" applyFill="1" applyBorder="1" applyAlignment="1">
      <alignment horizontal="center" vertical="center" wrapText="1"/>
    </xf>
    <xf numFmtId="0" fontId="58" fillId="41" borderId="37" xfId="45" applyFont="1" applyFill="1" applyBorder="1" applyAlignment="1">
      <alignment horizontal="center" vertical="center" wrapText="1"/>
    </xf>
    <xf numFmtId="0" fontId="59" fillId="0" borderId="14" xfId="45" applyFont="1" applyBorder="1" applyAlignment="1">
      <alignment horizontal="center" vertical="center" wrapText="1"/>
    </xf>
    <xf numFmtId="0" fontId="59" fillId="0" borderId="24" xfId="45" applyFont="1" applyBorder="1" applyAlignment="1">
      <alignment horizontal="center" vertical="center" wrapText="1"/>
    </xf>
    <xf numFmtId="0" fontId="62" fillId="0" borderId="0" xfId="45" applyFont="1"/>
    <xf numFmtId="0" fontId="63" fillId="39" borderId="0" xfId="45" applyNumberFormat="1" applyFont="1" applyFill="1" applyBorder="1" applyAlignment="1" applyProtection="1">
      <alignment vertical="center"/>
    </xf>
    <xf numFmtId="0" fontId="64" fillId="39" borderId="12" xfId="45" applyFont="1" applyFill="1" applyBorder="1" applyAlignment="1">
      <alignment horizontal="center" vertical="center" wrapText="1"/>
    </xf>
    <xf numFmtId="0" fontId="55" fillId="0" borderId="0" xfId="45" applyFont="1" applyAlignment="1">
      <alignment horizontal="center"/>
    </xf>
    <xf numFmtId="0" fontId="36" fillId="0" borderId="10" xfId="45" applyFont="1" applyBorder="1" applyAlignment="1">
      <alignment horizontal="center" vertical="center" wrapText="1"/>
    </xf>
    <xf numFmtId="14" fontId="36" fillId="0" borderId="10" xfId="45" applyNumberFormat="1" applyFont="1" applyBorder="1" applyAlignment="1">
      <alignment horizontal="center" vertical="center" wrapText="1"/>
    </xf>
    <xf numFmtId="9" fontId="36" fillId="0" borderId="10" xfId="47" applyFont="1" applyBorder="1" applyAlignment="1">
      <alignment horizontal="center" vertical="center" wrapText="1"/>
    </xf>
    <xf numFmtId="0" fontId="55" fillId="0" borderId="16" xfId="45" applyFont="1" applyBorder="1"/>
    <xf numFmtId="0" fontId="55" fillId="0" borderId="10" xfId="45" applyFont="1" applyBorder="1"/>
    <xf numFmtId="0" fontId="55" fillId="0" borderId="0" xfId="45" applyFont="1"/>
    <xf numFmtId="0" fontId="64" fillId="39" borderId="0" xfId="45" applyFont="1" applyFill="1" applyBorder="1" applyProtection="1"/>
    <xf numFmtId="0" fontId="65" fillId="0" borderId="0" xfId="45" applyFont="1" applyFill="1" applyBorder="1" applyProtection="1"/>
    <xf numFmtId="0" fontId="64" fillId="0" borderId="0" xfId="45" applyFont="1" applyFill="1" applyBorder="1" applyProtection="1"/>
    <xf numFmtId="0" fontId="64" fillId="39" borderId="0" xfId="45" applyFont="1" applyFill="1" applyBorder="1" applyAlignment="1" applyProtection="1">
      <alignment horizontal="right" vertical="center"/>
    </xf>
    <xf numFmtId="14" fontId="66" fillId="39" borderId="0" xfId="45" applyNumberFormat="1" applyFont="1" applyFill="1" applyBorder="1" applyAlignment="1" applyProtection="1">
      <alignment horizontal="left" vertical="center"/>
    </xf>
    <xf numFmtId="0" fontId="67" fillId="39" borderId="0" xfId="45" applyFont="1" applyFill="1" applyBorder="1" applyAlignment="1" applyProtection="1">
      <alignment horizontal="left" vertical="center"/>
    </xf>
    <xf numFmtId="0" fontId="64" fillId="39" borderId="0" xfId="45" applyFont="1" applyFill="1" applyBorder="1" applyAlignment="1" applyProtection="1">
      <alignment horizontal="center" vertical="center" wrapText="1"/>
    </xf>
    <xf numFmtId="0" fontId="65" fillId="39" borderId="0" xfId="45" applyNumberFormat="1" applyFont="1" applyFill="1" applyBorder="1" applyAlignment="1" applyProtection="1">
      <alignment horizontal="center" vertical="center" wrapText="1"/>
    </xf>
    <xf numFmtId="0" fontId="64" fillId="39" borderId="0" xfId="45" applyFont="1" applyFill="1" applyBorder="1" applyAlignment="1" applyProtection="1">
      <alignment horizontal="right" vertical="center" wrapText="1"/>
    </xf>
    <xf numFmtId="0" fontId="64" fillId="39" borderId="0" xfId="45" applyFont="1" applyFill="1" applyBorder="1" applyAlignment="1" applyProtection="1">
      <alignment horizontal="right" vertical="center" wrapText="1" indent="1"/>
    </xf>
    <xf numFmtId="0" fontId="64" fillId="0" borderId="43" xfId="45" applyFont="1" applyFill="1" applyBorder="1" applyAlignment="1" applyProtection="1">
      <alignment horizontal="center" vertical="center" wrapText="1"/>
    </xf>
    <xf numFmtId="0" fontId="64" fillId="39" borderId="0" xfId="45" applyFont="1" applyFill="1" applyBorder="1" applyAlignment="1" applyProtection="1">
      <alignment vertical="center" wrapText="1"/>
    </xf>
    <xf numFmtId="0" fontId="64" fillId="39" borderId="0" xfId="45" applyFont="1" applyFill="1" applyBorder="1" applyAlignment="1" applyProtection="1">
      <alignment vertical="center"/>
    </xf>
    <xf numFmtId="14" fontId="64" fillId="0" borderId="43" xfId="45" applyNumberFormat="1" applyFont="1" applyFill="1" applyBorder="1" applyAlignment="1" applyProtection="1">
      <alignment horizontal="center" vertical="center" wrapText="1"/>
      <protection locked="0"/>
    </xf>
    <xf numFmtId="0" fontId="68" fillId="45" borderId="44" xfId="45" applyFont="1" applyFill="1" applyBorder="1" applyAlignment="1" applyProtection="1">
      <alignment horizontal="center" vertical="center" wrapText="1"/>
    </xf>
    <xf numFmtId="14" fontId="68" fillId="45" borderId="45" xfId="45" applyNumberFormat="1" applyFont="1" applyFill="1" applyBorder="1" applyAlignment="1" applyProtection="1">
      <alignment horizontal="center" vertical="center" wrapText="1"/>
    </xf>
    <xf numFmtId="0" fontId="69" fillId="39" borderId="0" xfId="45" applyFont="1" applyFill="1" applyBorder="1" applyAlignment="1" applyProtection="1">
      <alignment horizontal="center" vertical="center" wrapText="1"/>
    </xf>
    <xf numFmtId="14" fontId="69" fillId="39" borderId="0" xfId="45" applyNumberFormat="1" applyFont="1" applyFill="1" applyBorder="1" applyAlignment="1" applyProtection="1">
      <alignment horizontal="center" vertical="center" wrapText="1"/>
    </xf>
    <xf numFmtId="0" fontId="69" fillId="0" borderId="47" xfId="45" applyFont="1" applyFill="1" applyBorder="1" applyAlignment="1" applyProtection="1">
      <alignment horizontal="center" vertical="center" wrapText="1"/>
      <protection locked="0"/>
    </xf>
    <xf numFmtId="0" fontId="64" fillId="39" borderId="49" xfId="45" applyFont="1" applyFill="1" applyBorder="1" applyAlignment="1" applyProtection="1">
      <alignment vertical="center" textRotation="180"/>
    </xf>
    <xf numFmtId="0" fontId="64" fillId="39" borderId="0" xfId="45" applyFont="1" applyFill="1" applyBorder="1" applyAlignment="1" applyProtection="1">
      <alignment vertical="center" textRotation="180"/>
    </xf>
    <xf numFmtId="0" fontId="65" fillId="0" borderId="0" xfId="45" applyFont="1" applyFill="1" applyBorder="1" applyAlignment="1" applyProtection="1">
      <alignment horizontal="right" vertical="center" wrapText="1" indent="1"/>
    </xf>
    <xf numFmtId="0" fontId="64" fillId="47" borderId="0" xfId="45" applyFont="1" applyFill="1" applyBorder="1" applyAlignment="1" applyProtection="1">
      <alignment horizontal="right" vertical="center" wrapText="1" indent="1"/>
    </xf>
    <xf numFmtId="0" fontId="64" fillId="47" borderId="0" xfId="45" applyFont="1" applyFill="1" applyBorder="1" applyAlignment="1" applyProtection="1">
      <alignment horizontal="center"/>
    </xf>
    <xf numFmtId="0" fontId="64" fillId="47" borderId="0" xfId="45" applyFont="1" applyFill="1" applyBorder="1" applyAlignment="1" applyProtection="1">
      <alignment horizontal="center" vertical="center" wrapText="1"/>
    </xf>
    <xf numFmtId="0" fontId="64" fillId="0" borderId="0" xfId="45" applyFont="1" applyFill="1" applyBorder="1" applyAlignment="1" applyProtection="1">
      <alignment horizontal="center" vertical="center" wrapText="1"/>
    </xf>
    <xf numFmtId="0" fontId="50" fillId="0" borderId="10" xfId="46" applyBorder="1" applyAlignment="1" applyProtection="1">
      <alignment horizontal="center" vertical="center"/>
    </xf>
    <xf numFmtId="0" fontId="1" fillId="0" borderId="0" xfId="49"/>
    <xf numFmtId="0" fontId="1" fillId="0" borderId="0" xfId="49" applyAlignment="1">
      <alignment horizontal="center" vertical="center"/>
    </xf>
    <xf numFmtId="0" fontId="58" fillId="41" borderId="37" xfId="49" applyFont="1" applyFill="1" applyBorder="1" applyAlignment="1">
      <alignment horizontal="center" vertical="center" wrapText="1"/>
    </xf>
    <xf numFmtId="0" fontId="30" fillId="0" borderId="0" xfId="49" applyFont="1" applyFill="1" applyBorder="1" applyAlignment="1">
      <alignment horizontal="left" vertical="center" wrapText="1" readingOrder="1"/>
    </xf>
    <xf numFmtId="0" fontId="58" fillId="26" borderId="14" xfId="49" applyFont="1" applyFill="1" applyBorder="1" applyAlignment="1">
      <alignment horizontal="center" vertical="center" wrapText="1"/>
    </xf>
    <xf numFmtId="0" fontId="36" fillId="0" borderId="0" xfId="49" applyFont="1" applyFill="1" applyAlignment="1">
      <alignment horizontal="right" vertical="center"/>
    </xf>
    <xf numFmtId="0" fontId="1" fillId="0" borderId="0" xfId="49" applyAlignment="1">
      <alignment horizontal="left" vertical="center" indent="3"/>
    </xf>
    <xf numFmtId="0" fontId="58" fillId="35" borderId="14" xfId="49" applyFont="1" applyFill="1" applyBorder="1" applyAlignment="1">
      <alignment horizontal="center" vertical="center" wrapText="1"/>
    </xf>
    <xf numFmtId="0" fontId="58" fillId="29" borderId="14" xfId="49" applyFont="1" applyFill="1" applyBorder="1" applyAlignment="1">
      <alignment horizontal="center" vertical="center" wrapText="1"/>
    </xf>
    <xf numFmtId="0" fontId="58" fillId="30" borderId="14" xfId="49" applyFont="1" applyFill="1" applyBorder="1" applyAlignment="1">
      <alignment horizontal="center" vertical="center" wrapText="1"/>
    </xf>
    <xf numFmtId="0" fontId="58" fillId="32" borderId="14" xfId="49" applyFont="1" applyFill="1" applyBorder="1" applyAlignment="1">
      <alignment horizontal="center" vertical="center" wrapText="1"/>
    </xf>
    <xf numFmtId="0" fontId="56" fillId="42" borderId="14" xfId="49" applyFont="1" applyFill="1" applyBorder="1" applyAlignment="1">
      <alignment horizontal="center" vertical="center" wrapText="1"/>
    </xf>
    <xf numFmtId="0" fontId="36" fillId="0" borderId="0" xfId="49" applyFont="1" applyAlignment="1">
      <alignment horizontal="right" vertical="center"/>
    </xf>
    <xf numFmtId="0" fontId="50" fillId="0" borderId="10" xfId="46" applyFill="1" applyBorder="1" applyAlignment="1" applyProtection="1">
      <alignment horizontal="center" vertical="center"/>
    </xf>
    <xf numFmtId="0" fontId="4" fillId="0" borderId="10" xfId="0" applyFont="1" applyBorder="1" applyAlignment="1" applyProtection="1">
      <alignment horizontal="center" vertical="center"/>
    </xf>
    <xf numFmtId="0" fontId="5" fillId="30" borderId="10" xfId="0" applyNumberFormat="1" applyFont="1" applyFill="1" applyBorder="1" applyAlignment="1">
      <alignment horizontal="center" vertical="center" wrapText="1"/>
    </xf>
    <xf numFmtId="0" fontId="5" fillId="28" borderId="10" xfId="0" applyNumberFormat="1" applyFont="1" applyFill="1" applyBorder="1" applyAlignment="1">
      <alignment horizontal="center" vertical="center" wrapText="1"/>
    </xf>
    <xf numFmtId="0" fontId="5" fillId="29" borderId="10" xfId="0" applyNumberFormat="1" applyFont="1" applyFill="1" applyBorder="1" applyAlignment="1">
      <alignment horizontal="center" vertical="center" wrapText="1"/>
    </xf>
    <xf numFmtId="0" fontId="5" fillId="24" borderId="10" xfId="0" applyNumberFormat="1" applyFont="1" applyFill="1" applyBorder="1" applyAlignment="1">
      <alignment horizontal="center" vertical="center" wrapText="1"/>
    </xf>
    <xf numFmtId="0" fontId="4" fillId="0" borderId="10" xfId="0" applyFont="1" applyBorder="1" applyAlignment="1" applyProtection="1">
      <alignment horizontal="center" vertical="center" wrapText="1"/>
    </xf>
    <xf numFmtId="0" fontId="71" fillId="0" borderId="12" xfId="0" applyFont="1" applyFill="1" applyBorder="1" applyAlignment="1">
      <alignment vertical="center" textRotation="90" wrapText="1"/>
    </xf>
    <xf numFmtId="0" fontId="71" fillId="0" borderId="16" xfId="0" applyFont="1" applyFill="1" applyBorder="1" applyAlignment="1">
      <alignment horizontal="center" vertical="center" textRotation="90"/>
    </xf>
    <xf numFmtId="16" fontId="71" fillId="0" borderId="16" xfId="0" applyNumberFormat="1" applyFont="1" applyFill="1" applyBorder="1" applyAlignment="1">
      <alignment horizontal="center" vertical="center" textRotation="90"/>
    </xf>
    <xf numFmtId="0" fontId="72" fillId="0" borderId="0" xfId="0" applyFont="1"/>
    <xf numFmtId="0" fontId="71" fillId="0" borderId="10" xfId="0" applyFont="1" applyBorder="1" applyAlignment="1">
      <alignment horizontal="centerContinuous" vertical="center"/>
    </xf>
    <xf numFmtId="0" fontId="72" fillId="0" borderId="10" xfId="0" applyFont="1" applyBorder="1" applyAlignment="1">
      <alignment horizontal="centerContinuous" vertical="center"/>
    </xf>
    <xf numFmtId="0" fontId="71" fillId="0" borderId="10" xfId="0" applyFont="1" applyFill="1" applyBorder="1" applyAlignment="1">
      <alignment horizontal="center" vertical="center"/>
    </xf>
    <xf numFmtId="0" fontId="64" fillId="0" borderId="43" xfId="45" applyFont="1" applyFill="1" applyBorder="1" applyAlignment="1" applyProtection="1">
      <alignment horizontal="center" vertical="center" wrapText="1"/>
      <protection locked="0"/>
    </xf>
    <xf numFmtId="0" fontId="53" fillId="39" borderId="0" xfId="45" applyFont="1" applyFill="1" applyBorder="1" applyAlignment="1" applyProtection="1">
      <alignment horizontal="center" vertical="center"/>
    </xf>
    <xf numFmtId="0" fontId="69" fillId="0" borderId="52" xfId="45" applyFont="1" applyFill="1" applyBorder="1" applyAlignment="1" applyProtection="1">
      <alignment horizontal="center" vertical="center" wrapText="1"/>
      <protection locked="0"/>
    </xf>
    <xf numFmtId="0" fontId="69" fillId="0" borderId="43" xfId="45" applyFont="1" applyFill="1" applyBorder="1" applyAlignment="1" applyProtection="1">
      <alignment horizontal="center" vertical="center" wrapText="1"/>
      <protection locked="0"/>
    </xf>
    <xf numFmtId="0" fontId="64" fillId="47" borderId="53" xfId="45" applyFont="1" applyFill="1" applyBorder="1" applyAlignment="1" applyProtection="1">
      <alignment horizontal="center" vertical="center" wrapText="1"/>
    </xf>
    <xf numFmtId="0" fontId="64" fillId="39" borderId="55" xfId="45" applyFont="1" applyFill="1" applyBorder="1" applyProtection="1"/>
    <xf numFmtId="0" fontId="64" fillId="39" borderId="55" xfId="45" applyFont="1" applyFill="1" applyBorder="1" applyAlignment="1" applyProtection="1">
      <alignment horizontal="right" vertical="center" wrapText="1"/>
    </xf>
    <xf numFmtId="0" fontId="64" fillId="39" borderId="55" xfId="45" applyFont="1" applyFill="1" applyBorder="1" applyAlignment="1" applyProtection="1">
      <alignment vertical="center"/>
    </xf>
    <xf numFmtId="0" fontId="64" fillId="39" borderId="55" xfId="45" applyFont="1" applyFill="1" applyBorder="1" applyAlignment="1" applyProtection="1">
      <alignment horizontal="right" vertical="center" wrapText="1" indent="1"/>
    </xf>
    <xf numFmtId="0" fontId="68" fillId="45" borderId="59" xfId="45" applyFont="1" applyFill="1" applyBorder="1" applyAlignment="1" applyProtection="1">
      <alignment horizontal="center" vertical="center" wrapText="1"/>
    </xf>
    <xf numFmtId="0" fontId="69" fillId="39" borderId="55" xfId="45" applyFont="1" applyFill="1" applyBorder="1" applyAlignment="1" applyProtection="1">
      <alignment horizontal="center" vertical="center" wrapText="1"/>
    </xf>
    <xf numFmtId="0" fontId="64" fillId="46" borderId="60" xfId="45" applyFont="1" applyFill="1" applyBorder="1" applyAlignment="1" applyProtection="1">
      <alignment horizontal="left" vertical="center" wrapText="1"/>
    </xf>
    <xf numFmtId="0" fontId="64" fillId="46" borderId="61" xfId="45" applyFont="1" applyFill="1" applyBorder="1" applyAlignment="1" applyProtection="1">
      <alignment horizontal="left" vertical="center" wrapText="1"/>
    </xf>
    <xf numFmtId="0" fontId="64" fillId="47" borderId="55" xfId="45" applyFont="1" applyFill="1" applyBorder="1" applyProtection="1"/>
    <xf numFmtId="0" fontId="64" fillId="47" borderId="54" xfId="45" applyFont="1" applyFill="1" applyBorder="1" applyProtection="1"/>
    <xf numFmtId="0" fontId="64" fillId="39" borderId="64" xfId="45" applyFont="1" applyFill="1" applyBorder="1" applyProtection="1"/>
    <xf numFmtId="0" fontId="64" fillId="39" borderId="63" xfId="45" applyFont="1" applyFill="1" applyBorder="1" applyProtection="1"/>
    <xf numFmtId="14" fontId="68" fillId="45" borderId="44" xfId="45" applyNumberFormat="1" applyFont="1" applyFill="1" applyBorder="1" applyAlignment="1" applyProtection="1">
      <alignment horizontal="center" vertical="center" wrapText="1"/>
    </xf>
    <xf numFmtId="0" fontId="64" fillId="39" borderId="56" xfId="45" applyFont="1" applyFill="1" applyBorder="1" applyAlignment="1" applyProtection="1">
      <alignment horizontal="right" vertical="center" wrapText="1" indent="1"/>
    </xf>
    <xf numFmtId="0" fontId="36" fillId="0" borderId="0" xfId="45" applyFont="1" applyAlignment="1">
      <alignment horizontal="center" vertical="center"/>
    </xf>
    <xf numFmtId="0" fontId="36" fillId="0" borderId="0" xfId="49" applyFont="1" applyFill="1" applyAlignment="1">
      <alignment horizontal="center" vertical="center"/>
    </xf>
    <xf numFmtId="0" fontId="36" fillId="0" borderId="0" xfId="45" applyFont="1" applyAlignment="1">
      <alignment horizontal="center"/>
    </xf>
    <xf numFmtId="0" fontId="64" fillId="33" borderId="12" xfId="45" applyFont="1" applyFill="1" applyBorder="1" applyAlignment="1">
      <alignment horizontal="center" vertical="center" wrapText="1"/>
    </xf>
    <xf numFmtId="0" fontId="59" fillId="0" borderId="0" xfId="0" applyFont="1" applyBorder="1" applyAlignment="1">
      <alignment horizontal="center" vertical="center" wrapText="1"/>
    </xf>
    <xf numFmtId="0" fontId="0" fillId="0" borderId="0" xfId="0" applyFill="1" applyAlignment="1">
      <alignment wrapText="1"/>
    </xf>
    <xf numFmtId="0" fontId="59" fillId="0" borderId="0" xfId="0" applyFont="1" applyFill="1" applyBorder="1" applyAlignment="1">
      <alignment vertical="center" wrapText="1"/>
    </xf>
    <xf numFmtId="0" fontId="59" fillId="0" borderId="0" xfId="0" applyFont="1" applyFill="1" applyBorder="1" applyAlignment="1">
      <alignment horizontal="left" vertical="center" wrapText="1"/>
    </xf>
    <xf numFmtId="0" fontId="58" fillId="0" borderId="0" xfId="0" applyFont="1" applyFill="1" applyBorder="1" applyAlignment="1">
      <alignment horizontal="center" vertical="center" wrapText="1"/>
    </xf>
    <xf numFmtId="0" fontId="64" fillId="0" borderId="0" xfId="0" applyFont="1" applyBorder="1" applyAlignment="1">
      <alignment horizontal="center" wrapText="1"/>
    </xf>
    <xf numFmtId="0" fontId="30" fillId="0" borderId="17" xfId="43" applyFont="1" applyFill="1" applyBorder="1" applyAlignment="1">
      <alignment horizontal="center"/>
    </xf>
    <xf numFmtId="0" fontId="64" fillId="0" borderId="0" xfId="0" applyFont="1" applyBorder="1" applyAlignment="1">
      <alignment wrapText="1"/>
    </xf>
    <xf numFmtId="0" fontId="64" fillId="0" borderId="0" xfId="0" applyFont="1" applyBorder="1" applyAlignment="1">
      <alignment horizontal="left" wrapText="1"/>
    </xf>
    <xf numFmtId="0" fontId="59" fillId="0" borderId="0" xfId="49" applyFont="1" applyBorder="1" applyAlignment="1">
      <alignment horizontal="center" vertical="center" wrapText="1"/>
    </xf>
    <xf numFmtId="0" fontId="58" fillId="0" borderId="0" xfId="49" applyFont="1" applyFill="1" applyBorder="1" applyAlignment="1">
      <alignment horizontal="center" vertical="center" wrapText="1"/>
    </xf>
    <xf numFmtId="0" fontId="59" fillId="0" borderId="10" xfId="49" applyFont="1" applyBorder="1" applyAlignment="1">
      <alignment horizontal="left" vertical="center" wrapText="1"/>
    </xf>
    <xf numFmtId="0" fontId="59" fillId="0" borderId="10" xfId="49" applyFont="1" applyBorder="1" applyAlignment="1">
      <alignment horizontal="left" vertical="top" wrapText="1"/>
    </xf>
    <xf numFmtId="0" fontId="64" fillId="32" borderId="43" xfId="45" applyFont="1" applyFill="1" applyBorder="1" applyAlignment="1" applyProtection="1">
      <alignment horizontal="center" vertical="center" wrapText="1"/>
      <protection locked="0"/>
    </xf>
    <xf numFmtId="0" fontId="64" fillId="0" borderId="41" xfId="45" applyFont="1" applyFill="1" applyBorder="1" applyAlignment="1" applyProtection="1">
      <alignment horizontal="left" vertical="center" wrapText="1" indent="1"/>
      <protection locked="0"/>
    </xf>
    <xf numFmtId="0" fontId="64" fillId="0" borderId="58" xfId="45" applyFont="1" applyFill="1" applyBorder="1" applyAlignment="1" applyProtection="1">
      <alignment horizontal="left" vertical="center" wrapText="1" indent="1"/>
      <protection locked="0"/>
    </xf>
    <xf numFmtId="0" fontId="64" fillId="0" borderId="41" xfId="45" applyFont="1" applyFill="1" applyBorder="1" applyAlignment="1" applyProtection="1">
      <alignment horizontal="center" vertical="center" wrapText="1"/>
      <protection locked="0"/>
    </xf>
    <xf numFmtId="0" fontId="64" fillId="0" borderId="42" xfId="45" applyFont="1" applyFill="1" applyBorder="1" applyAlignment="1" applyProtection="1">
      <alignment horizontal="center" vertical="center" wrapText="1"/>
      <protection locked="0"/>
    </xf>
    <xf numFmtId="0" fontId="64" fillId="0" borderId="50" xfId="45" applyFont="1" applyFill="1" applyBorder="1" applyAlignment="1" applyProtection="1">
      <alignment horizontal="center" vertical="center" wrapText="1"/>
      <protection locked="0"/>
    </xf>
    <xf numFmtId="0" fontId="64" fillId="0" borderId="56" xfId="45" applyFont="1" applyFill="1" applyBorder="1" applyAlignment="1" applyProtection="1">
      <alignment horizontal="center" vertical="center" wrapText="1"/>
      <protection locked="0"/>
    </xf>
    <xf numFmtId="0" fontId="64" fillId="0" borderId="51" xfId="45" applyFont="1" applyFill="1" applyBorder="1" applyAlignment="1" applyProtection="1">
      <alignment horizontal="center" vertical="center" wrapText="1"/>
      <protection locked="0"/>
    </xf>
    <xf numFmtId="0" fontId="64" fillId="0" borderId="57" xfId="45" applyFont="1" applyFill="1" applyBorder="1" applyAlignment="1" applyProtection="1">
      <alignment horizontal="center" vertical="center" wrapText="1"/>
      <protection locked="0"/>
    </xf>
    <xf numFmtId="0" fontId="64" fillId="0" borderId="65" xfId="45" applyFont="1" applyFill="1" applyBorder="1" applyAlignment="1" applyProtection="1">
      <alignment horizontal="left" vertical="top" wrapText="1"/>
      <protection locked="0"/>
    </xf>
    <xf numFmtId="0" fontId="64" fillId="0" borderId="66" xfId="45" applyFont="1" applyFill="1" applyBorder="1" applyAlignment="1" applyProtection="1">
      <alignment horizontal="left" vertical="top" wrapText="1"/>
      <protection locked="0"/>
    </xf>
    <xf numFmtId="0" fontId="68" fillId="45" borderId="44" xfId="45" applyFont="1" applyFill="1" applyBorder="1" applyAlignment="1" applyProtection="1">
      <alignment horizontal="center" vertical="center" wrapText="1"/>
    </xf>
    <xf numFmtId="0" fontId="68" fillId="45" borderId="45" xfId="45" applyFont="1" applyFill="1" applyBorder="1" applyAlignment="1" applyProtection="1">
      <alignment horizontal="center" vertical="center" wrapText="1"/>
    </xf>
    <xf numFmtId="0" fontId="68" fillId="45" borderId="46" xfId="45" applyFont="1" applyFill="1" applyBorder="1" applyAlignment="1" applyProtection="1">
      <alignment horizontal="center" vertical="center" wrapText="1"/>
    </xf>
    <xf numFmtId="0" fontId="53" fillId="39" borderId="48" xfId="45" applyFont="1" applyFill="1" applyBorder="1" applyAlignment="1" applyProtection="1">
      <alignment horizontal="center" vertical="center"/>
    </xf>
    <xf numFmtId="0" fontId="53" fillId="39" borderId="0" xfId="45" applyFont="1" applyFill="1" applyBorder="1" applyAlignment="1" applyProtection="1">
      <alignment horizontal="center" vertical="center"/>
    </xf>
    <xf numFmtId="0" fontId="68" fillId="45" borderId="62" xfId="45" applyFont="1" applyFill="1" applyBorder="1" applyAlignment="1" applyProtection="1">
      <alignment horizontal="center" vertical="center" wrapText="1"/>
    </xf>
    <xf numFmtId="0" fontId="64" fillId="46" borderId="52" xfId="45" applyFont="1" applyFill="1" applyBorder="1" applyAlignment="1" applyProtection="1">
      <alignment horizontal="left" vertical="center" wrapText="1" indent="1"/>
    </xf>
    <xf numFmtId="0" fontId="36" fillId="0" borderId="0" xfId="45" applyFont="1" applyFill="1" applyAlignment="1">
      <alignment horizontal="left" vertical="top" wrapText="1"/>
    </xf>
    <xf numFmtId="0" fontId="5" fillId="27" borderId="10" xfId="0" applyFont="1" applyFill="1" applyBorder="1" applyAlignment="1" applyProtection="1">
      <alignment horizontal="center" vertical="center" wrapText="1"/>
    </xf>
    <xf numFmtId="0" fontId="5" fillId="27" borderId="10" xfId="0" applyFont="1" applyFill="1" applyBorder="1" applyAlignment="1" applyProtection="1">
      <alignment horizontal="center" vertical="center"/>
    </xf>
    <xf numFmtId="0" fontId="5" fillId="24" borderId="12" xfId="0" applyFont="1" applyFill="1" applyBorder="1" applyAlignment="1" applyProtection="1">
      <alignment horizontal="center" vertical="center"/>
    </xf>
    <xf numFmtId="0" fontId="5" fillId="24" borderId="11" xfId="0" applyFont="1" applyFill="1" applyBorder="1" applyAlignment="1" applyProtection="1">
      <alignment horizontal="center" vertical="center"/>
    </xf>
    <xf numFmtId="0" fontId="5" fillId="26" borderId="10" xfId="0" applyFont="1" applyFill="1" applyBorder="1" applyAlignment="1" applyProtection="1">
      <alignment horizontal="center" vertical="center"/>
    </xf>
    <xf numFmtId="0" fontId="5" fillId="24" borderId="14" xfId="0" applyFont="1" applyFill="1" applyBorder="1" applyAlignment="1" applyProtection="1">
      <alignment horizontal="center" vertical="center"/>
    </xf>
    <xf numFmtId="0" fontId="5" fillId="24" borderId="15" xfId="0" applyFont="1" applyFill="1" applyBorder="1" applyAlignment="1" applyProtection="1">
      <alignment horizontal="center" vertical="center"/>
    </xf>
    <xf numFmtId="0" fontId="5" fillId="24" borderId="16" xfId="0" applyFont="1" applyFill="1" applyBorder="1" applyAlignment="1" applyProtection="1">
      <alignment horizontal="center" vertical="center"/>
    </xf>
    <xf numFmtId="0" fontId="29" fillId="25" borderId="14" xfId="0" applyFont="1" applyFill="1" applyBorder="1" applyAlignment="1" applyProtection="1">
      <alignment horizontal="center" vertical="center"/>
    </xf>
    <xf numFmtId="0" fontId="29" fillId="25" borderId="15" xfId="0" applyFont="1" applyFill="1" applyBorder="1" applyAlignment="1" applyProtection="1">
      <alignment horizontal="center" vertical="center"/>
    </xf>
    <xf numFmtId="0" fontId="29" fillId="25" borderId="16" xfId="0" applyFont="1" applyFill="1" applyBorder="1" applyAlignment="1" applyProtection="1">
      <alignment horizontal="center" vertical="center"/>
    </xf>
    <xf numFmtId="16" fontId="29" fillId="26" borderId="14" xfId="0" applyNumberFormat="1" applyFont="1" applyFill="1" applyBorder="1" applyAlignment="1" applyProtection="1">
      <alignment horizontal="center" vertical="center" wrapText="1"/>
    </xf>
    <xf numFmtId="16" fontId="29" fillId="26" borderId="15" xfId="0" applyNumberFormat="1" applyFont="1" applyFill="1" applyBorder="1" applyAlignment="1" applyProtection="1">
      <alignment horizontal="center" vertical="center" wrapText="1"/>
    </xf>
    <xf numFmtId="16" fontId="29" fillId="35" borderId="15" xfId="0" applyNumberFormat="1" applyFont="1" applyFill="1" applyBorder="1" applyAlignment="1" applyProtection="1">
      <alignment horizontal="center" vertical="center" wrapText="1"/>
    </xf>
    <xf numFmtId="16" fontId="29" fillId="35" borderId="16" xfId="0" applyNumberFormat="1" applyFont="1" applyFill="1" applyBorder="1" applyAlignment="1" applyProtection="1">
      <alignment horizontal="center" vertical="center" wrapText="1"/>
    </xf>
    <xf numFmtId="16" fontId="29" fillId="29" borderId="14" xfId="0" applyNumberFormat="1" applyFont="1" applyFill="1" applyBorder="1" applyAlignment="1" applyProtection="1">
      <alignment horizontal="center" vertical="center" wrapText="1"/>
    </xf>
    <xf numFmtId="16" fontId="29" fillId="29" borderId="15" xfId="0" applyNumberFormat="1" applyFont="1" applyFill="1" applyBorder="1" applyAlignment="1" applyProtection="1">
      <alignment horizontal="center" vertical="center" wrapText="1"/>
    </xf>
    <xf numFmtId="16" fontId="29" fillId="29" borderId="16" xfId="0" applyNumberFormat="1" applyFont="1" applyFill="1" applyBorder="1" applyAlignment="1" applyProtection="1">
      <alignment horizontal="center" vertical="center" wrapText="1"/>
    </xf>
    <xf numFmtId="0" fontId="29" fillId="26" borderId="14" xfId="0" applyFont="1" applyFill="1" applyBorder="1" applyAlignment="1" applyProtection="1">
      <alignment horizontal="center" vertical="center"/>
    </xf>
    <xf numFmtId="0" fontId="29" fillId="26" borderId="15" xfId="0" applyFont="1" applyFill="1" applyBorder="1" applyAlignment="1" applyProtection="1">
      <alignment horizontal="center" vertical="center"/>
    </xf>
    <xf numFmtId="0" fontId="29" fillId="24" borderId="14" xfId="0" applyFont="1" applyFill="1" applyBorder="1" applyAlignment="1" applyProtection="1">
      <alignment horizontal="center" vertical="center"/>
    </xf>
    <xf numFmtId="0" fontId="29" fillId="24" borderId="15" xfId="0" applyFont="1" applyFill="1" applyBorder="1" applyAlignment="1" applyProtection="1">
      <alignment horizontal="center" vertical="center"/>
    </xf>
    <xf numFmtId="16" fontId="29" fillId="31" borderId="14" xfId="0" applyNumberFormat="1" applyFont="1" applyFill="1" applyBorder="1" applyAlignment="1" applyProtection="1">
      <alignment horizontal="center" vertical="center" wrapText="1"/>
    </xf>
    <xf numFmtId="16" fontId="29" fillId="31" borderId="16" xfId="0" applyNumberFormat="1" applyFont="1" applyFill="1" applyBorder="1" applyAlignment="1" applyProtection="1">
      <alignment horizontal="center" vertical="center" wrapText="1"/>
    </xf>
    <xf numFmtId="16" fontId="29" fillId="32" borderId="14" xfId="0" applyNumberFormat="1" applyFont="1" applyFill="1" applyBorder="1" applyAlignment="1" applyProtection="1">
      <alignment horizontal="center" vertical="center" wrapText="1"/>
    </xf>
    <xf numFmtId="16" fontId="29" fillId="32" borderId="15" xfId="0" applyNumberFormat="1" applyFont="1" applyFill="1" applyBorder="1" applyAlignment="1" applyProtection="1">
      <alignment horizontal="center" vertical="center" wrapText="1"/>
    </xf>
    <xf numFmtId="16" fontId="29" fillId="32" borderId="16" xfId="0" applyNumberFormat="1" applyFont="1" applyFill="1" applyBorder="1" applyAlignment="1" applyProtection="1">
      <alignment horizontal="center" vertical="center" wrapText="1"/>
    </xf>
    <xf numFmtId="0" fontId="51" fillId="40" borderId="0" xfId="46" applyFont="1" applyFill="1" applyAlignment="1" applyProtection="1">
      <alignment horizontal="center" vertical="center"/>
    </xf>
    <xf numFmtId="0" fontId="31" fillId="41" borderId="18" xfId="45" applyFont="1" applyFill="1" applyBorder="1" applyAlignment="1">
      <alignment horizontal="center" vertical="center" wrapText="1"/>
    </xf>
    <xf numFmtId="0" fontId="31" fillId="41" borderId="19" xfId="45" applyFont="1" applyFill="1" applyBorder="1" applyAlignment="1">
      <alignment horizontal="center" vertical="center" wrapText="1"/>
    </xf>
    <xf numFmtId="0" fontId="31" fillId="41" borderId="20" xfId="45" applyFont="1" applyFill="1" applyBorder="1" applyAlignment="1">
      <alignment horizontal="center" vertical="center" wrapText="1"/>
    </xf>
    <xf numFmtId="0" fontId="31" fillId="41" borderId="21" xfId="45" applyFont="1" applyFill="1" applyBorder="1" applyAlignment="1">
      <alignment horizontal="center" vertical="center" wrapText="1"/>
    </xf>
    <xf numFmtId="0" fontId="31" fillId="41" borderId="0" xfId="45" applyFont="1" applyFill="1" applyBorder="1" applyAlignment="1">
      <alignment horizontal="center" vertical="center" wrapText="1"/>
    </xf>
    <xf numFmtId="0" fontId="31" fillId="41" borderId="17" xfId="45" applyFont="1" applyFill="1" applyBorder="1" applyAlignment="1">
      <alignment horizontal="center" vertical="center" wrapText="1"/>
    </xf>
    <xf numFmtId="0" fontId="54" fillId="40" borderId="21" xfId="46" applyFont="1" applyFill="1" applyBorder="1" applyAlignment="1" applyProtection="1">
      <alignment horizontal="center" vertical="center" textRotation="90"/>
    </xf>
    <xf numFmtId="0" fontId="56" fillId="36" borderId="22" xfId="45" applyFont="1" applyFill="1" applyBorder="1" applyAlignment="1">
      <alignment horizontal="center" vertical="center" wrapText="1"/>
    </xf>
    <xf numFmtId="0" fontId="56" fillId="36" borderId="23" xfId="45" applyFont="1" applyFill="1" applyBorder="1" applyAlignment="1">
      <alignment horizontal="center" vertical="center" wrapText="1"/>
    </xf>
    <xf numFmtId="0" fontId="57" fillId="26" borderId="10" xfId="45" applyFont="1" applyFill="1" applyBorder="1" applyAlignment="1">
      <alignment horizontal="center" vertical="center" wrapText="1"/>
    </xf>
    <xf numFmtId="0" fontId="57" fillId="26" borderId="12" xfId="45" applyFont="1" applyFill="1" applyBorder="1" applyAlignment="1">
      <alignment horizontal="center" vertical="center" wrapText="1"/>
    </xf>
    <xf numFmtId="0" fontId="57" fillId="35" borderId="10" xfId="45" applyFont="1" applyFill="1" applyBorder="1" applyAlignment="1">
      <alignment horizontal="center" vertical="center" wrapText="1"/>
    </xf>
    <xf numFmtId="0" fontId="57" fillId="35" borderId="12" xfId="45" applyFont="1" applyFill="1" applyBorder="1" applyAlignment="1">
      <alignment horizontal="center" vertical="center" wrapText="1"/>
    </xf>
    <xf numFmtId="0" fontId="57" fillId="29" borderId="10" xfId="45" applyFont="1" applyFill="1" applyBorder="1" applyAlignment="1">
      <alignment horizontal="center" vertical="center" wrapText="1"/>
    </xf>
    <xf numFmtId="0" fontId="57" fillId="29" borderId="12" xfId="45" applyFont="1" applyFill="1" applyBorder="1" applyAlignment="1">
      <alignment horizontal="center" vertical="center" wrapText="1"/>
    </xf>
    <xf numFmtId="0" fontId="57" fillId="30" borderId="10" xfId="45" applyFont="1" applyFill="1" applyBorder="1" applyAlignment="1">
      <alignment horizontal="center" vertical="center" wrapText="1"/>
    </xf>
    <xf numFmtId="0" fontId="57" fillId="30" borderId="12" xfId="45" applyFont="1" applyFill="1" applyBorder="1" applyAlignment="1">
      <alignment horizontal="center" vertical="center" wrapText="1"/>
    </xf>
    <xf numFmtId="0" fontId="57" fillId="32" borderId="10" xfId="45" applyFont="1" applyFill="1" applyBorder="1" applyAlignment="1">
      <alignment horizontal="center" vertical="center" wrapText="1"/>
    </xf>
    <xf numFmtId="0" fontId="57" fillId="32" borderId="12" xfId="45" applyFont="1" applyFill="1" applyBorder="1" applyAlignment="1">
      <alignment horizontal="center" vertical="center" wrapText="1"/>
    </xf>
    <xf numFmtId="0" fontId="56" fillId="42" borderId="24" xfId="45" applyFont="1" applyFill="1" applyBorder="1" applyAlignment="1">
      <alignment horizontal="center" vertical="center" wrapText="1"/>
    </xf>
    <xf numFmtId="0" fontId="56" fillId="42" borderId="25" xfId="45" applyFont="1" applyFill="1" applyBorder="1" applyAlignment="1">
      <alignment horizontal="center" vertical="center" wrapText="1"/>
    </xf>
    <xf numFmtId="0" fontId="58" fillId="43" borderId="26" xfId="45" applyFont="1" applyFill="1" applyBorder="1" applyAlignment="1">
      <alignment horizontal="center" vertical="center" wrapText="1"/>
    </xf>
    <xf numFmtId="0" fontId="58" fillId="43" borderId="30" xfId="45" applyFont="1" applyFill="1" applyBorder="1" applyAlignment="1">
      <alignment horizontal="center" vertical="center" wrapText="1"/>
    </xf>
    <xf numFmtId="0" fontId="58" fillId="43" borderId="33" xfId="45" applyFont="1" applyFill="1" applyBorder="1" applyAlignment="1">
      <alignment horizontal="center" vertical="center" wrapText="1"/>
    </xf>
    <xf numFmtId="0" fontId="58" fillId="43" borderId="36" xfId="45" applyFont="1" applyFill="1" applyBorder="1" applyAlignment="1">
      <alignment horizontal="center" vertical="center" wrapText="1"/>
    </xf>
    <xf numFmtId="0" fontId="58" fillId="43" borderId="37" xfId="45" applyFont="1" applyFill="1" applyBorder="1" applyAlignment="1">
      <alignment horizontal="center" vertical="center" wrapText="1"/>
    </xf>
    <xf numFmtId="0" fontId="58" fillId="43" borderId="38" xfId="45" applyFont="1" applyFill="1" applyBorder="1" applyAlignment="1">
      <alignment horizontal="center" vertical="center" wrapText="1"/>
    </xf>
    <xf numFmtId="0" fontId="59" fillId="0" borderId="27" xfId="45" applyFont="1" applyFill="1" applyBorder="1" applyAlignment="1">
      <alignment horizontal="center" vertical="center" wrapText="1"/>
    </xf>
    <xf numFmtId="0" fontId="59" fillId="0" borderId="10" xfId="45" applyFont="1" applyFill="1" applyBorder="1" applyAlignment="1">
      <alignment horizontal="center" vertical="center" wrapText="1"/>
    </xf>
    <xf numFmtId="0" fontId="59" fillId="0" borderId="34" xfId="45" applyFont="1" applyFill="1" applyBorder="1" applyAlignment="1">
      <alignment horizontal="center" vertical="center" wrapText="1"/>
    </xf>
    <xf numFmtId="0" fontId="59" fillId="0" borderId="29" xfId="45" applyFont="1" applyFill="1" applyBorder="1" applyAlignment="1">
      <alignment horizontal="center" vertical="center" wrapText="1"/>
    </xf>
    <xf numFmtId="0" fontId="59" fillId="0" borderId="24" xfId="45" applyFont="1" applyFill="1" applyBorder="1" applyAlignment="1">
      <alignment horizontal="center" vertical="center" wrapText="1"/>
    </xf>
    <xf numFmtId="0" fontId="59" fillId="0" borderId="32" xfId="45" applyFont="1" applyFill="1" applyBorder="1" applyAlignment="1">
      <alignment horizontal="center" vertical="center" wrapText="1"/>
    </xf>
    <xf numFmtId="0" fontId="59" fillId="0" borderId="12" xfId="45" applyFont="1" applyFill="1" applyBorder="1" applyAlignment="1">
      <alignment horizontal="center" vertical="center" wrapText="1"/>
    </xf>
    <xf numFmtId="0" fontId="59" fillId="0" borderId="39" xfId="45" applyFont="1" applyFill="1" applyBorder="1" applyAlignment="1">
      <alignment horizontal="center" vertical="center" wrapText="1"/>
    </xf>
    <xf numFmtId="0" fontId="59" fillId="0" borderId="40" xfId="45" applyFont="1" applyFill="1" applyBorder="1" applyAlignment="1">
      <alignment horizontal="center" vertical="center" wrapText="1"/>
    </xf>
    <xf numFmtId="0" fontId="59" fillId="0" borderId="13" xfId="45" applyFont="1" applyFill="1" applyBorder="1" applyAlignment="1">
      <alignment horizontal="center" vertical="center" wrapText="1"/>
    </xf>
    <xf numFmtId="0" fontId="59" fillId="0" borderId="11" xfId="45" applyFont="1" applyFill="1" applyBorder="1" applyAlignment="1">
      <alignment horizontal="center" vertical="center" wrapText="1"/>
    </xf>
    <xf numFmtId="0" fontId="63" fillId="44" borderId="0" xfId="45" applyNumberFormat="1" applyFont="1" applyFill="1" applyBorder="1" applyAlignment="1" applyProtection="1">
      <alignment horizontal="left" vertical="center"/>
    </xf>
    <xf numFmtId="0" fontId="54" fillId="40" borderId="0" xfId="46" applyFont="1" applyFill="1" applyAlignment="1" applyProtection="1">
      <alignment horizontal="center" vertical="center"/>
    </xf>
    <xf numFmtId="0" fontId="61" fillId="38" borderId="0" xfId="45" applyFont="1" applyFill="1" applyAlignment="1">
      <alignment horizontal="center" vertical="center"/>
    </xf>
    <xf numFmtId="0" fontId="61" fillId="38" borderId="17" xfId="45" applyFont="1" applyFill="1" applyBorder="1" applyAlignment="1">
      <alignment horizontal="center" vertical="center"/>
    </xf>
    <xf numFmtId="0" fontId="70" fillId="0" borderId="0" xfId="0" applyFont="1" applyAlignment="1">
      <alignment horizontal="center" vertical="center"/>
    </xf>
    <xf numFmtId="0" fontId="7" fillId="0" borderId="12" xfId="0" applyFont="1" applyBorder="1" applyAlignment="1">
      <alignment horizontal="center" vertical="center" textRotation="90"/>
    </xf>
    <xf numFmtId="0" fontId="7" fillId="0" borderId="13" xfId="0" applyFont="1" applyBorder="1" applyAlignment="1">
      <alignment horizontal="center" vertical="center" textRotation="90"/>
    </xf>
    <xf numFmtId="0" fontId="7" fillId="0" borderId="11" xfId="0" applyFont="1" applyBorder="1" applyAlignment="1">
      <alignment horizontal="center" vertical="center" textRotation="90"/>
    </xf>
    <xf numFmtId="0" fontId="7" fillId="0" borderId="10" xfId="0" applyFont="1" applyBorder="1" applyAlignment="1">
      <alignment horizontal="center" vertical="center"/>
    </xf>
    <xf numFmtId="0" fontId="7" fillId="0" borderId="10" xfId="0" applyFont="1" applyBorder="1" applyAlignment="1">
      <alignment horizontal="center" vertical="center" textRotation="90"/>
    </xf>
    <xf numFmtId="0" fontId="73" fillId="0" borderId="0" xfId="0" applyFont="1" applyAlignment="1">
      <alignment horizontal="center" vertical="center"/>
    </xf>
    <xf numFmtId="0" fontId="73" fillId="0" borderId="22" xfId="0" applyFont="1" applyBorder="1" applyAlignment="1">
      <alignment horizontal="center" vertical="center"/>
    </xf>
    <xf numFmtId="0" fontId="71" fillId="0" borderId="10" xfId="0" applyFont="1" applyBorder="1" applyAlignment="1">
      <alignment horizontal="center" vertical="center" textRotation="90"/>
    </xf>
  </cellXfs>
  <cellStyles count="51">
    <cellStyle name="20 % - Accent1" xfId="1" builtinId="30" customBuiltin="1"/>
    <cellStyle name="20 % - Accent2" xfId="2" builtinId="34" customBuiltin="1"/>
    <cellStyle name="20 % - Accent3" xfId="3" builtinId="38" customBuiltin="1"/>
    <cellStyle name="20 % - Accent4" xfId="4" builtinId="42" customBuiltin="1"/>
    <cellStyle name="20 % - Accent5" xfId="5" builtinId="46" customBuiltin="1"/>
    <cellStyle name="20 % - Accent6" xfId="6" builtinId="50" customBuiltin="1"/>
    <cellStyle name="40 % - Accent1" xfId="7" builtinId="31" customBuiltin="1"/>
    <cellStyle name="40 % - Accent2" xfId="8" builtinId="35" customBuiltin="1"/>
    <cellStyle name="40 % - Accent3" xfId="9" builtinId="39" customBuiltin="1"/>
    <cellStyle name="40 % - Accent4" xfId="10" builtinId="43" customBuiltin="1"/>
    <cellStyle name="40 % - Accent5" xfId="11" builtinId="47" customBuiltin="1"/>
    <cellStyle name="40 % - Accent6" xfId="12" builtinId="51" customBuiltin="1"/>
    <cellStyle name="60 % - Accent1" xfId="13" builtinId="32" customBuiltin="1"/>
    <cellStyle name="60 % - Accent2" xfId="14" builtinId="36" customBuiltin="1"/>
    <cellStyle name="60 % - Accent3" xfId="15" builtinId="40" customBuiltin="1"/>
    <cellStyle name="60 % - Accent4" xfId="16" builtinId="44" customBuiltin="1"/>
    <cellStyle name="60 % - Accent5" xfId="17" builtinId="48" customBuiltin="1"/>
    <cellStyle name="60 %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Avertissement" xfId="25" builtinId="11" customBuiltin="1"/>
    <cellStyle name="Calcul" xfId="26" builtinId="22" customBuiltin="1"/>
    <cellStyle name="Cellule liée" xfId="27" builtinId="24" customBuiltin="1"/>
    <cellStyle name="Commentaire" xfId="28" builtinId="10" customBuiltin="1"/>
    <cellStyle name="Entrée" xfId="29" builtinId="20" customBuiltin="1"/>
    <cellStyle name="Insatisfaisant" xfId="30" builtinId="27" customBuiltin="1"/>
    <cellStyle name="Lien hypertexte" xfId="46" builtinId="8"/>
    <cellStyle name="Monétaire 2" xfId="48"/>
    <cellStyle name="Neutre" xfId="31" builtinId="28" customBuiltin="1"/>
    <cellStyle name="Normal" xfId="0" builtinId="0"/>
    <cellStyle name="Normal 2" xfId="43"/>
    <cellStyle name="Normal 3" xfId="32"/>
    <cellStyle name="Normal 4" xfId="44"/>
    <cellStyle name="Normal 4 2" xfId="49"/>
    <cellStyle name="Normal 5" xfId="45"/>
    <cellStyle name="Normal 6" xfId="50"/>
    <cellStyle name="Pourcentage 2" xfId="47"/>
    <cellStyle name="Satisfaisant" xfId="33" builtinId="26" customBuiltin="1"/>
    <cellStyle name="Sortie" xfId="34" builtinId="21" customBuiltin="1"/>
    <cellStyle name="Texte explicatif" xfId="35" builtinId="53" customBuiltin="1"/>
    <cellStyle name="Titre" xfId="36" builtinId="15" customBuiltin="1"/>
    <cellStyle name="Titre 1" xfId="37" builtinId="16" customBuiltin="1"/>
    <cellStyle name="Titre 2" xfId="38" builtinId="17" customBuiltin="1"/>
    <cellStyle name="Titre 3" xfId="39" builtinId="18" customBuiltin="1"/>
    <cellStyle name="Titre 4" xfId="40" builtinId="19" customBuiltin="1"/>
    <cellStyle name="Total" xfId="41" builtinId="25" customBuiltin="1"/>
    <cellStyle name="Vérification" xfId="42" builtinId="23" customBuiltin="1"/>
  </cellStyles>
  <dxfs count="61">
    <dxf>
      <fill>
        <patternFill>
          <bgColor rgb="FF92D050"/>
        </patternFill>
      </fill>
    </dxf>
    <dxf>
      <fill>
        <patternFill>
          <bgColor rgb="FFFFC000"/>
        </patternFill>
      </fill>
    </dxf>
    <dxf>
      <fill>
        <gradientFill type="path" left="0.5" right="0.5" top="0.5" bottom="0.5">
          <stop position="0">
            <color rgb="FF00B050"/>
          </stop>
          <stop position="1">
            <color theme="0"/>
          </stop>
        </gradientFill>
      </fill>
    </dxf>
    <dxf>
      <fill>
        <gradientFill type="path" left="0.5" right="0.5" top="0.5" bottom="0.5">
          <stop position="0">
            <color rgb="FF92D050"/>
          </stop>
          <stop position="1">
            <color theme="0"/>
          </stop>
        </gradientFill>
      </fill>
    </dxf>
    <dxf>
      <fill>
        <gradientFill type="path" left="0.5" right="0.5" top="0.5" bottom="0.5">
          <stop position="0">
            <color rgb="FFFFFF00"/>
          </stop>
          <stop position="1">
            <color theme="0"/>
          </stop>
        </gradientFill>
      </fill>
    </dxf>
    <dxf>
      <fill>
        <gradientFill type="path" left="0.5" right="0.5" top="0.5" bottom="0.5">
          <stop position="0">
            <color rgb="FFCC6600"/>
          </stop>
          <stop position="1">
            <color theme="0"/>
          </stop>
        </gradientFill>
      </fill>
    </dxf>
    <dxf>
      <fill>
        <gradientFill type="path" left="0.5" right="0.5" top="0.5" bottom="0.5">
          <stop position="0">
            <color rgb="FFFF0000"/>
          </stop>
          <stop position="1">
            <color theme="0"/>
          </stop>
        </gradientFill>
      </fill>
    </dxf>
    <dxf>
      <font>
        <color theme="0"/>
      </font>
      <fill>
        <gradientFill type="path" left="0.5" right="0.5" top="0.5" bottom="0.5">
          <stop position="0">
            <color theme="1"/>
          </stop>
          <stop position="1">
            <color theme="0"/>
          </stop>
        </gradientFill>
      </fill>
    </dxf>
    <dxf>
      <fill>
        <patternFill>
          <bgColor rgb="FF00B050"/>
        </patternFill>
      </fill>
    </dxf>
    <dxf>
      <fill>
        <patternFill>
          <bgColor rgb="FFFFFF00"/>
        </patternFill>
      </fill>
    </dxf>
    <dxf>
      <fill>
        <patternFill>
          <bgColor rgb="FFFFC000"/>
        </patternFill>
      </fill>
    </dxf>
    <dxf>
      <fill>
        <patternFill>
          <bgColor rgb="FFFF0000"/>
        </patternFill>
      </fill>
    </dxf>
    <dxf>
      <font>
        <color theme="0"/>
      </font>
      <fill>
        <patternFill>
          <bgColor theme="1"/>
        </patternFill>
      </fill>
    </dxf>
    <dxf>
      <fill>
        <patternFill>
          <bgColor rgb="FFFFC000"/>
        </patternFill>
      </fill>
    </dxf>
    <dxf>
      <fill>
        <patternFill>
          <bgColor rgb="FF00B050"/>
        </patternFill>
      </fill>
    </dxf>
    <dxf>
      <fill>
        <patternFill>
          <bgColor rgb="FFFFFF00"/>
        </patternFill>
      </fill>
    </dxf>
    <dxf>
      <fill>
        <patternFill>
          <bgColor rgb="FF92D050"/>
        </patternFill>
      </fill>
    </dxf>
    <dxf>
      <fill>
        <patternFill>
          <bgColor rgb="FF00B050"/>
        </patternFill>
      </fill>
    </dxf>
    <dxf>
      <fill>
        <patternFill>
          <bgColor rgb="FFFF0000"/>
        </patternFill>
      </fill>
    </dxf>
    <dxf>
      <font>
        <color theme="0"/>
      </font>
      <fill>
        <patternFill>
          <bgColor theme="1" tint="4.9989318521683403E-2"/>
        </patternFill>
      </fill>
    </dxf>
    <dxf>
      <fill>
        <patternFill>
          <bgColor rgb="FF92D050"/>
        </patternFill>
      </fill>
    </dxf>
    <dxf>
      <fill>
        <patternFill>
          <bgColor rgb="FFFF0000"/>
        </patternFill>
      </fill>
    </dxf>
    <dxf>
      <fill>
        <patternFill>
          <bgColor rgb="FF92D050"/>
        </patternFill>
      </fill>
    </dxf>
    <dxf>
      <fill>
        <patternFill>
          <bgColor rgb="FFFFC000"/>
        </patternFill>
      </fill>
    </dxf>
    <dxf>
      <fill>
        <gradientFill type="path" left="0.5" right="0.5" top="0.5" bottom="0.5">
          <stop position="0">
            <color rgb="FF00B050"/>
          </stop>
          <stop position="1">
            <color theme="0"/>
          </stop>
        </gradientFill>
      </fill>
    </dxf>
    <dxf>
      <fill>
        <gradientFill type="path" left="0.5" right="0.5" top="0.5" bottom="0.5">
          <stop position="0">
            <color rgb="FF92D050"/>
          </stop>
          <stop position="1">
            <color theme="0"/>
          </stop>
        </gradientFill>
      </fill>
    </dxf>
    <dxf>
      <fill>
        <gradientFill type="path" left="0.5" right="0.5" top="0.5" bottom="0.5">
          <stop position="0">
            <color rgb="FFFFFF00"/>
          </stop>
          <stop position="1">
            <color theme="0"/>
          </stop>
        </gradientFill>
      </fill>
    </dxf>
    <dxf>
      <fill>
        <gradientFill type="path" left="0.5" right="0.5" top="0.5" bottom="0.5">
          <stop position="0">
            <color rgb="FFCC6600"/>
          </stop>
          <stop position="1">
            <color theme="0"/>
          </stop>
        </gradientFill>
      </fill>
    </dxf>
    <dxf>
      <fill>
        <gradientFill type="path" left="0.5" right="0.5" top="0.5" bottom="0.5">
          <stop position="0">
            <color rgb="FFFF0000"/>
          </stop>
          <stop position="1">
            <color theme="0"/>
          </stop>
        </gradientFill>
      </fill>
    </dxf>
    <dxf>
      <font>
        <color theme="0"/>
      </font>
      <fill>
        <gradientFill type="path" left="0.5" right="0.5" top="0.5" bottom="0.5">
          <stop position="0">
            <color theme="1"/>
          </stop>
          <stop position="1">
            <color theme="0"/>
          </stop>
        </gradientFill>
      </fill>
    </dxf>
    <dxf>
      <fill>
        <patternFill>
          <bgColor rgb="FF00B050"/>
        </patternFill>
      </fill>
    </dxf>
    <dxf>
      <fill>
        <patternFill>
          <bgColor rgb="FFFFFF00"/>
        </patternFill>
      </fill>
    </dxf>
    <dxf>
      <fill>
        <patternFill>
          <bgColor rgb="FFFFC000"/>
        </patternFill>
      </fill>
    </dxf>
    <dxf>
      <fill>
        <patternFill>
          <bgColor rgb="FFFF0000"/>
        </patternFill>
      </fill>
    </dxf>
    <dxf>
      <font>
        <color theme="0"/>
      </font>
      <fill>
        <patternFill>
          <bgColor theme="1"/>
        </patternFill>
      </fill>
    </dxf>
    <dxf>
      <fill>
        <patternFill>
          <bgColor rgb="FFFFC000"/>
        </patternFill>
      </fill>
    </dxf>
    <dxf>
      <fill>
        <patternFill>
          <bgColor rgb="FF00B050"/>
        </patternFill>
      </fill>
    </dxf>
    <dxf>
      <fill>
        <patternFill>
          <bgColor rgb="FFFFFF00"/>
        </patternFill>
      </fill>
    </dxf>
    <dxf>
      <fill>
        <patternFill>
          <bgColor rgb="FF92D050"/>
        </patternFill>
      </fill>
    </dxf>
    <dxf>
      <fill>
        <patternFill>
          <bgColor rgb="FF00B050"/>
        </patternFill>
      </fill>
    </dxf>
    <dxf>
      <fill>
        <patternFill>
          <bgColor rgb="FFFF0000"/>
        </patternFill>
      </fill>
    </dxf>
    <dxf>
      <font>
        <color theme="0"/>
      </font>
      <fill>
        <patternFill>
          <bgColor theme="1" tint="4.9989318521683403E-2"/>
        </patternFill>
      </fill>
    </dxf>
    <dxf>
      <fill>
        <patternFill>
          <bgColor rgb="FF92D050"/>
        </patternFill>
      </fill>
    </dxf>
    <dxf>
      <fill>
        <patternFill>
          <bgColor rgb="FFFF0000"/>
        </patternFill>
      </fill>
    </dxf>
    <dxf>
      <fill>
        <gradientFill degree="90">
          <stop position="0">
            <color theme="0"/>
          </stop>
          <stop position="1">
            <color theme="6"/>
          </stop>
        </gradientFill>
      </fill>
    </dxf>
    <dxf>
      <fill>
        <gradientFill degree="90">
          <stop position="0">
            <color theme="0"/>
          </stop>
          <stop position="1">
            <color rgb="FF00B050"/>
          </stop>
        </gradientFill>
      </fill>
    </dxf>
    <dxf>
      <fill>
        <gradientFill degree="90">
          <stop position="0">
            <color theme="0"/>
          </stop>
          <stop position="1">
            <color theme="6"/>
          </stop>
        </gradientFill>
      </fill>
    </dxf>
    <dxf>
      <fill>
        <gradientFill degree="90">
          <stop position="0">
            <color theme="0"/>
          </stop>
          <stop position="1">
            <color rgb="FF00B050"/>
          </stop>
        </gradientFill>
      </fill>
    </dxf>
    <dxf>
      <fill>
        <gradientFill degree="90">
          <stop position="0">
            <color theme="0"/>
          </stop>
          <stop position="1">
            <color theme="6"/>
          </stop>
        </gradientFill>
      </fill>
    </dxf>
    <dxf>
      <fill>
        <gradientFill degree="90">
          <stop position="0">
            <color theme="0"/>
          </stop>
          <stop position="1">
            <color rgb="FFFFC000"/>
          </stop>
        </gradientFill>
      </fill>
    </dxf>
    <dxf>
      <fill>
        <gradientFill degree="90">
          <stop position="0">
            <color theme="0"/>
          </stop>
          <stop position="1">
            <color rgb="FFFF0000"/>
          </stop>
        </gradientFill>
      </fill>
    </dxf>
    <dxf>
      <fill>
        <gradientFill degree="90">
          <stop position="0">
            <color theme="0"/>
          </stop>
          <stop position="1">
            <color theme="1"/>
          </stop>
        </gradientFill>
      </fill>
    </dxf>
    <dxf>
      <fill>
        <gradientFill degree="90">
          <stop position="0">
            <color theme="0"/>
          </stop>
          <stop position="1">
            <color rgb="FF00B050"/>
          </stop>
        </gradientFill>
      </fill>
    </dxf>
    <dxf>
      <fill>
        <gradientFill degree="90">
          <stop position="0">
            <color theme="0"/>
          </stop>
          <stop position="1">
            <color rgb="FF92D050"/>
          </stop>
        </gradientFill>
      </fill>
    </dxf>
    <dxf>
      <fill>
        <gradientFill degree="90">
          <stop position="0">
            <color theme="0"/>
          </stop>
          <stop position="1">
            <color rgb="FFFFFF00"/>
          </stop>
        </gradientFill>
      </fill>
    </dxf>
    <dxf>
      <fill>
        <gradientFill degree="90">
          <stop position="0">
            <color theme="0"/>
          </stop>
          <stop position="1">
            <color rgb="FFCC6600"/>
          </stop>
        </gradientFill>
      </fill>
    </dxf>
    <dxf>
      <fill>
        <gradientFill degree="90">
          <stop position="0">
            <color theme="0"/>
          </stop>
          <stop position="1">
            <color rgb="FFFF0000"/>
          </stop>
        </gradientFill>
      </fill>
    </dxf>
    <dxf>
      <fill>
        <gradientFill degree="90">
          <stop position="0">
            <color theme="0"/>
          </stop>
          <stop position="1">
            <color theme="1"/>
          </stop>
        </gradientFill>
      </fill>
    </dxf>
    <dxf>
      <fill>
        <gradientFill degree="90">
          <stop position="0">
            <color theme="0"/>
          </stop>
          <stop position="1">
            <color rgb="FF00B050"/>
          </stop>
        </gradientFill>
      </fill>
    </dxf>
    <dxf>
      <fill>
        <gradientFill degree="90">
          <stop position="0">
            <color theme="0"/>
          </stop>
          <stop position="1">
            <color rgb="FFFF0000"/>
          </stop>
        </gradientFill>
      </fill>
    </dxf>
    <dxf>
      <fill>
        <gradientFill degree="90">
          <stop position="0">
            <color theme="0"/>
          </stop>
          <stop position="1">
            <color rgb="FFFFFF00"/>
          </stop>
        </gradient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onnections" Target="connections.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6</xdr:col>
      <xdr:colOff>416718</xdr:colOff>
      <xdr:row>6</xdr:row>
      <xdr:rowOff>221456</xdr:rowOff>
    </xdr:from>
    <xdr:to>
      <xdr:col>6</xdr:col>
      <xdr:colOff>797718</xdr:colOff>
      <xdr:row>6</xdr:row>
      <xdr:rowOff>602456</xdr:rowOff>
    </xdr:to>
    <xdr:sp macro="" textlink="">
      <xdr:nvSpPr>
        <xdr:cNvPr id="4" name="Ellipse 3"/>
        <xdr:cNvSpPr/>
      </xdr:nvSpPr>
      <xdr:spPr>
        <a:xfrm>
          <a:off x="5588793" y="3917156"/>
          <a:ext cx="381000" cy="381000"/>
        </a:xfrm>
        <a:prstGeom prst="ellipse">
          <a:avLst/>
        </a:prstGeom>
        <a:solidFill>
          <a:srgbClr val="000000"/>
        </a:solidFill>
        <a:ln>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200"/>
        </a:p>
      </xdr:txBody>
    </xdr:sp>
    <xdr:clientData/>
  </xdr:twoCellAnchor>
  <xdr:twoCellAnchor>
    <xdr:from>
      <xdr:col>5</xdr:col>
      <xdr:colOff>416718</xdr:colOff>
      <xdr:row>8</xdr:row>
      <xdr:rowOff>221456</xdr:rowOff>
    </xdr:from>
    <xdr:to>
      <xdr:col>5</xdr:col>
      <xdr:colOff>797718</xdr:colOff>
      <xdr:row>8</xdr:row>
      <xdr:rowOff>602456</xdr:rowOff>
    </xdr:to>
    <xdr:sp macro="" textlink="">
      <xdr:nvSpPr>
        <xdr:cNvPr id="5" name="Ellipse 4"/>
        <xdr:cNvSpPr/>
      </xdr:nvSpPr>
      <xdr:spPr>
        <a:xfrm>
          <a:off x="3540918" y="6450806"/>
          <a:ext cx="381000" cy="381000"/>
        </a:xfrm>
        <a:prstGeom prst="ellipse">
          <a:avLst/>
        </a:prstGeom>
        <a:solidFill>
          <a:srgbClr val="000000"/>
        </a:solidFill>
        <a:ln>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200"/>
        </a:p>
      </xdr:txBody>
    </xdr:sp>
    <xdr:clientData/>
  </xdr:twoCellAnchor>
</xdr:wsDr>
</file>

<file path=xl/queryTables/queryTable1.xml><?xml version="1.0" encoding="utf-8"?>
<queryTable xmlns="http://schemas.openxmlformats.org/spreadsheetml/2006/main" name="Classeur1_1" connectionId="1" autoFormatId="16" applyNumberFormats="0" applyBorderFormats="0" applyFontFormats="1" applyPatternFormats="1" applyAlignmentFormats="0" applyWidthHeightFormats="0"/>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queryTable" Target="../queryTables/queryTable1.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sheetPr codeName="Feuil2"/>
  <dimension ref="A1:D16"/>
  <sheetViews>
    <sheetView zoomScale="130" zoomScaleNormal="130" workbookViewId="0">
      <selection activeCell="F24" sqref="F24"/>
    </sheetView>
  </sheetViews>
  <sheetFormatPr baseColWidth="10" defaultColWidth="11.42578125" defaultRowHeight="11.25"/>
  <cols>
    <col min="1" max="1" width="11" style="22" bestFit="1" customWidth="1"/>
    <col min="2" max="2" width="6.42578125" style="22" bestFit="1" customWidth="1"/>
    <col min="3" max="3" width="8.5703125" style="22" bestFit="1" customWidth="1"/>
    <col min="4" max="4" width="11.5703125" style="22" bestFit="1" customWidth="1"/>
    <col min="5" max="16384" width="11.42578125" style="22"/>
  </cols>
  <sheetData>
    <row r="1" spans="1:4">
      <c r="A1" s="22" t="s">
        <v>66</v>
      </c>
      <c r="B1" s="22" t="s">
        <v>67</v>
      </c>
      <c r="C1" s="22" t="s">
        <v>68</v>
      </c>
      <c r="D1" s="22" t="s">
        <v>69</v>
      </c>
    </row>
    <row r="2" spans="1:4" ht="14.25" customHeight="1">
      <c r="A2" s="23" t="s">
        <v>64</v>
      </c>
      <c r="B2" s="23" t="s">
        <v>35</v>
      </c>
      <c r="C2" s="24" t="s">
        <v>34</v>
      </c>
      <c r="D2" s="24" t="s">
        <v>8</v>
      </c>
    </row>
    <row r="3" spans="1:4">
      <c r="A3" s="23" t="s">
        <v>4</v>
      </c>
      <c r="B3" s="23" t="s">
        <v>10</v>
      </c>
      <c r="C3" s="24" t="s">
        <v>9</v>
      </c>
      <c r="D3" s="24" t="s">
        <v>9</v>
      </c>
    </row>
    <row r="4" spans="1:4">
      <c r="A4" s="23" t="s">
        <v>5</v>
      </c>
      <c r="B4" s="23" t="s">
        <v>11</v>
      </c>
      <c r="C4" s="24" t="s">
        <v>32</v>
      </c>
      <c r="D4" s="24" t="s">
        <v>10</v>
      </c>
    </row>
    <row r="5" spans="1:4">
      <c r="A5" s="23" t="s">
        <v>6</v>
      </c>
      <c r="B5" s="23" t="s">
        <v>12</v>
      </c>
      <c r="C5" s="24" t="s">
        <v>88</v>
      </c>
      <c r="D5" s="24" t="s">
        <v>11</v>
      </c>
    </row>
    <row r="6" spans="1:4">
      <c r="A6" s="23" t="s">
        <v>65</v>
      </c>
      <c r="D6" s="24" t="s">
        <v>12</v>
      </c>
    </row>
    <row r="7" spans="1:4">
      <c r="A7" s="23" t="s">
        <v>7</v>
      </c>
      <c r="D7" s="24" t="s">
        <v>19</v>
      </c>
    </row>
    <row r="10" spans="1:4">
      <c r="A10" s="22" t="s">
        <v>123</v>
      </c>
    </row>
    <row r="11" spans="1:4">
      <c r="A11" s="25" t="s">
        <v>125</v>
      </c>
    </row>
    <row r="12" spans="1:4">
      <c r="A12" s="25" t="s">
        <v>126</v>
      </c>
    </row>
    <row r="13" spans="1:4">
      <c r="A13" s="25" t="s">
        <v>127</v>
      </c>
    </row>
    <row r="14" spans="1:4">
      <c r="A14" s="25" t="s">
        <v>128</v>
      </c>
    </row>
    <row r="15" spans="1:4">
      <c r="A15" s="25" t="s">
        <v>129</v>
      </c>
    </row>
    <row r="16" spans="1:4">
      <c r="A16" s="26" t="s">
        <v>130</v>
      </c>
    </row>
  </sheetData>
  <sheetProtection selectLockedCells="1" selectUnlockedCells="1"/>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sheetPr codeName="Feuil6">
    <tabColor rgb="FF002060"/>
  </sheetPr>
  <dimension ref="A1:AC54"/>
  <sheetViews>
    <sheetView showZeros="0" zoomScale="120" zoomScaleNormal="120" workbookViewId="0">
      <pane ySplit="1" topLeftCell="A2" activePane="bottomLeft" state="frozenSplit"/>
      <selection activeCell="C18" sqref="C18:D18"/>
      <selection pane="bottomLeft" activeCell="AD5" sqref="AD5"/>
    </sheetView>
  </sheetViews>
  <sheetFormatPr baseColWidth="10" defaultColWidth="11.5703125" defaultRowHeight="12"/>
  <cols>
    <col min="1" max="1" width="11.5703125" style="169"/>
    <col min="2" max="6" width="21.7109375" style="169" customWidth="1"/>
    <col min="7" max="7" width="11.5703125" style="169"/>
    <col min="8" max="8" width="11.5703125" style="169" customWidth="1"/>
    <col min="9" max="9" width="17.7109375" style="169" customWidth="1"/>
    <col min="10" max="17" width="11.5703125" style="169"/>
    <col min="18" max="26" width="12.85546875" style="169" customWidth="1"/>
    <col min="27" max="27" width="12.7109375" style="169" customWidth="1"/>
    <col min="28" max="28" width="43.42578125" style="169" customWidth="1"/>
    <col min="29" max="16384" width="11.5703125" style="169"/>
  </cols>
  <sheetData>
    <row r="1" spans="1:29" s="163" customFormat="1" ht="36.6" customHeight="1">
      <c r="A1" s="162" t="s">
        <v>737</v>
      </c>
      <c r="B1" s="162" t="s">
        <v>738</v>
      </c>
      <c r="C1" s="162" t="s">
        <v>739</v>
      </c>
      <c r="D1" s="162" t="s">
        <v>960</v>
      </c>
      <c r="E1" s="162" t="s">
        <v>937</v>
      </c>
      <c r="F1" s="162" t="s">
        <v>740</v>
      </c>
      <c r="G1" s="162" t="s">
        <v>741</v>
      </c>
      <c r="H1" s="162" t="s">
        <v>742</v>
      </c>
      <c r="I1" s="162" t="s">
        <v>743</v>
      </c>
      <c r="J1" s="162" t="s">
        <v>744</v>
      </c>
      <c r="K1" s="162" t="s">
        <v>946</v>
      </c>
      <c r="L1" s="162" t="s">
        <v>947</v>
      </c>
      <c r="M1" s="162" t="s">
        <v>948</v>
      </c>
      <c r="N1" s="246" t="s">
        <v>745</v>
      </c>
      <c r="O1" s="246" t="s">
        <v>746</v>
      </c>
      <c r="P1" s="246" t="s">
        <v>747</v>
      </c>
      <c r="Q1" s="246" t="s">
        <v>158</v>
      </c>
      <c r="R1" s="246" t="s">
        <v>748</v>
      </c>
      <c r="S1" s="162" t="s">
        <v>963</v>
      </c>
      <c r="T1" s="162" t="s">
        <v>1016</v>
      </c>
      <c r="U1" s="162" t="s">
        <v>1017</v>
      </c>
      <c r="V1" s="162" t="s">
        <v>1018</v>
      </c>
      <c r="W1" s="162" t="s">
        <v>1019</v>
      </c>
      <c r="X1" s="162" t="s">
        <v>1020</v>
      </c>
      <c r="Y1" s="162" t="s">
        <v>1021</v>
      </c>
      <c r="Z1" s="162" t="s">
        <v>1022</v>
      </c>
      <c r="AA1" s="162" t="s">
        <v>749</v>
      </c>
      <c r="AB1" s="162" t="s">
        <v>750</v>
      </c>
    </row>
    <row r="2" spans="1:29" s="168" customFormat="1" ht="54" customHeight="1">
      <c r="A2" s="196" t="str">
        <f ca="1">'Risk N°1'!B5</f>
        <v>Risk N°1</v>
      </c>
      <c r="B2" s="164" t="str">
        <f ca="1">IF(ISBLANK($A2),"",INDIRECT("'"&amp;$A2&amp;"'!b6"))</f>
        <v>Ne pas réaliser la volumétrie des EIR (objectif COM 4)</v>
      </c>
      <c r="C2" s="164" t="str">
        <f ca="1">IF(ISBLANK($A2),"",INDIRECT("'"&amp;$A2&amp;"'!b7"))</f>
        <v>Département_Ret_Part</v>
      </c>
      <c r="D2" s="164" t="str">
        <f ca="1">IF(ISBLANK($A2),"",INDIRECT("'"&amp;$A2&amp;"'!b8"))</f>
        <v>ADP</v>
      </c>
      <c r="E2" s="164" t="str">
        <f ca="1">IF(ISBLANK($A2),"",INDIRECT("'"&amp;$A2&amp;"'!b9"))</f>
        <v>Toutes</v>
      </c>
      <c r="F2" s="164">
        <f ca="1">IF(ISBLANK($A2),"",INDIRECT("'"&amp;$A2&amp;"'!b10"))</f>
        <v>0</v>
      </c>
      <c r="G2" s="165" t="str">
        <f ca="1">IF(ISBLANK($A2),"",INDIRECT("'"&amp;$A2&amp;"'!b11"))</f>
        <v>2017-R-ACTIF-01</v>
      </c>
      <c r="H2" s="165">
        <f ca="1">IF(ISBLANK($A2),"",INDIRECT("'"&amp;$A2&amp;"'!b12"))</f>
        <v>43063</v>
      </c>
      <c r="I2" s="165">
        <f ca="1">IF(ISBLANK($A2),"",INDIRECT("'"&amp;$A2&amp;"'!e5"))</f>
        <v>0</v>
      </c>
      <c r="J2" s="164">
        <f ca="1">IF(ISBLANK($A2),"",INDIRECT("'"&amp;$A2&amp;"'!E7"))</f>
        <v>0</v>
      </c>
      <c r="K2" s="164">
        <f ca="1">IF(ISBLANK($A2),"",INDIRECT("'"&amp;$A2&amp;"'!E8"))</f>
        <v>0</v>
      </c>
      <c r="L2" s="164" t="str">
        <f ca="1">IF(ISBLANK($A2),"",INDIRECT("'"&amp;$A2&amp;"'!e10"))</f>
        <v>Oui</v>
      </c>
      <c r="M2" s="164" t="str">
        <f ca="1">IF(ISBLANK($A2),"",INDIRECT("'"&amp;$A2&amp;"'!e11"))</f>
        <v>Oui</v>
      </c>
      <c r="N2" s="164" t="str">
        <f ca="1">IF(ISBLANK($A2),"",INDIRECT("'"&amp;$A2&amp;"'!b17"))</f>
        <v>Elevée</v>
      </c>
      <c r="O2" s="164" t="str">
        <f ca="1">IF(ISBLANK($A2),"",INDIRECT("'"&amp;$A2&amp;"'!b18"))</f>
        <v>Modéré</v>
      </c>
      <c r="P2" s="164" t="str">
        <f ca="1">IF(ISBLANK($A2),"",INDIRECT("'"&amp;$A2&amp;"'!b20"))</f>
        <v>Maîtrisé</v>
      </c>
      <c r="Q2" s="164" t="str">
        <f ca="1">IF(ISBLANK($A2),"",INDIRECT("'"&amp;$A2&amp;"'!b22"))</f>
        <v>Rare</v>
      </c>
      <c r="R2" s="164" t="str">
        <f ca="1">IF(ISBLANK($A2),"",INDIRECT("'"&amp;$A2&amp;"'!B23"))</f>
        <v>Faible</v>
      </c>
      <c r="S2" s="164" t="str">
        <f ca="1">IF(ISBLANK($A2),"",INDIRECT("'"&amp;$A2&amp;"'!B27"))</f>
        <v>Marginal</v>
      </c>
      <c r="T2" s="164" t="str">
        <f ca="1">IF(ISBLANK($A2),"",INDIRECT("'"&amp;$A2&amp;"'!B28"))</f>
        <v>Faible</v>
      </c>
      <c r="U2" s="164" t="str">
        <f ca="1">IF(ISBLANK($A2),"",INDIRECT("'"&amp;$A2&amp;"'!B29"))</f>
        <v>Elevé</v>
      </c>
      <c r="V2" s="164" t="str">
        <f ca="1">IF(ISBLANK($A2),"",INDIRECT("'"&amp;$A2&amp;"'!B30"))</f>
        <v>Modéré</v>
      </c>
      <c r="W2" s="164" t="str">
        <f ca="1">IF(ISBLANK($A2),"",INDIRECT("'"&amp;$A2&amp;"'!B34"))</f>
        <v>Maîtrisé</v>
      </c>
      <c r="X2" s="164" t="str">
        <f ca="1">IF(ISBLANK($A2),"",INDIRECT("'"&amp;$A2&amp;"'!B35"))</f>
        <v>Maîtrisé</v>
      </c>
      <c r="Y2" s="164" t="str">
        <f ca="1">IF(ISBLANK($A2),"",INDIRECT("'"&amp;$A2&amp;"'!B36"))</f>
        <v>Maîtrisé</v>
      </c>
      <c r="Z2" s="164" t="str">
        <f ca="1">IF(ISBLANK($A2),"",INDIRECT("'"&amp;$A2&amp;"'!B37"))</f>
        <v>Maîtrisé</v>
      </c>
      <c r="AA2" s="164">
        <f ca="1">IF(ISBLANK($A2),"",INDIRECT("'"&amp;$A2&amp;"'!B44"))</f>
        <v>0</v>
      </c>
      <c r="AB2" s="166"/>
      <c r="AC2" s="167"/>
    </row>
    <row r="3" spans="1:29" ht="41.45" customHeight="1">
      <c r="A3" s="210" t="s">
        <v>779</v>
      </c>
      <c r="B3" s="164" t="str">
        <f t="shared" ref="B3:B40" ca="1" si="0">IF(ISBLANK($A3),"",INDIRECT("'"&amp;$A3&amp;"'!b6"))</f>
        <v>Ne pas réaliser la volumétrie des EIR (objectif COM 4)</v>
      </c>
      <c r="C3" s="164" t="str">
        <f t="shared" ref="C3:C40" ca="1" si="1">IF(ISBLANK($A3),"",INDIRECT("'"&amp;$A3&amp;"'!b7"))</f>
        <v>Département_Ret_Part</v>
      </c>
      <c r="D3" s="164" t="str">
        <f t="shared" ref="D3:D40" ca="1" si="2">IF(ISBLANK($A3),"",INDIRECT("'"&amp;$A3&amp;"'!b8"))</f>
        <v>Retraite</v>
      </c>
      <c r="E3" s="164" t="str">
        <f t="shared" ref="E3:E40" ca="1" si="3">IF(ISBLANK($A3),"",INDIRECT("'"&amp;$A3&amp;"'!b9"))</f>
        <v>IRPAUTO Retraite AGIRC et ARRCO</v>
      </c>
      <c r="F3" s="164">
        <f t="shared" ref="F3:F40" ca="1" si="4">IF(ISBLANK($A3),"",INDIRECT("'"&amp;$A3&amp;"'!b10"))</f>
        <v>0</v>
      </c>
      <c r="G3" s="165" t="str">
        <f t="shared" ref="G3:G40" ca="1" si="5">IF(ISBLANK($A3),"",INDIRECT("'"&amp;$A3&amp;"'!b11"))</f>
        <v>2017-R-ACTIF-01</v>
      </c>
      <c r="H3" s="165">
        <f t="shared" ref="H3:H40" ca="1" si="6">IF(ISBLANK($A3),"",INDIRECT("'"&amp;$A3&amp;"'!b12"))</f>
        <v>43063</v>
      </c>
      <c r="I3" s="165">
        <f t="shared" ref="I3:I40" ca="1" si="7">IF(ISBLANK($A3),"",INDIRECT("'"&amp;$A3&amp;"'!e5"))</f>
        <v>0</v>
      </c>
      <c r="J3" s="164">
        <f t="shared" ref="J3:J40" ca="1" si="8">IF(ISBLANK($A3),"",INDIRECT("'"&amp;$A3&amp;"'!E7"))</f>
        <v>0</v>
      </c>
      <c r="K3" s="164">
        <f t="shared" ref="K3:K40" ca="1" si="9">IF(ISBLANK($A3),"",INDIRECT("'"&amp;$A3&amp;"'!E8"))</f>
        <v>0</v>
      </c>
      <c r="L3" s="164" t="str">
        <f t="shared" ref="L3:L40" ca="1" si="10">IF(ISBLANK($A3),"",INDIRECT("'"&amp;$A3&amp;"'!e10"))</f>
        <v>Oui</v>
      </c>
      <c r="M3" s="164" t="str">
        <f t="shared" ref="M3:M40" ca="1" si="11">IF(ISBLANK($A3),"",INDIRECT("'"&amp;$A3&amp;"'!e11"))</f>
        <v>Oui</v>
      </c>
      <c r="N3" s="164" t="str">
        <f t="shared" ref="N3:N40" ca="1" si="12">IF(ISBLANK($A3),"",INDIRECT("'"&amp;$A3&amp;"'!b17"))</f>
        <v>Elevée</v>
      </c>
      <c r="O3" s="164" t="str">
        <f t="shared" ref="O3:O40" ca="1" si="13">IF(ISBLANK($A3),"",INDIRECT("'"&amp;$A3&amp;"'!b18"))</f>
        <v>Modéré</v>
      </c>
      <c r="P3" s="164" t="str">
        <f t="shared" ref="P3:P40" ca="1" si="14">IF(ISBLANK($A3),"",INDIRECT("'"&amp;$A3&amp;"'!b20"))</f>
        <v>Maîtrisé</v>
      </c>
      <c r="Q3" s="164" t="str">
        <f t="shared" ref="Q3:Q40" ca="1" si="15">IF(ISBLANK($A3),"",INDIRECT("'"&amp;$A3&amp;"'!b22"))</f>
        <v>Rare</v>
      </c>
      <c r="R3" s="164" t="str">
        <f t="shared" ref="R3:R40" ca="1" si="16">IF(ISBLANK($A3),"",INDIRECT("'"&amp;$A3&amp;"'!B23"))</f>
        <v>Faible</v>
      </c>
      <c r="S3" s="164" t="str">
        <f t="shared" ref="S3:S40" ca="1" si="17">IF(ISBLANK($A3),"",INDIRECT("'"&amp;$A3&amp;"'!B27"))</f>
        <v>Marginal</v>
      </c>
      <c r="T3" s="164" t="str">
        <f t="shared" ref="T3:T40" ca="1" si="18">IF(ISBLANK($A3),"",INDIRECT("'"&amp;$A3&amp;"'!B28"))</f>
        <v>Marginal</v>
      </c>
      <c r="U3" s="164" t="str">
        <f t="shared" ref="U3:U40" ca="1" si="19">IF(ISBLANK($A3),"",INDIRECT("'"&amp;$A3&amp;"'!B29"))</f>
        <v>Modéré</v>
      </c>
      <c r="V3" s="164" t="str">
        <f t="shared" ref="V3:V40" ca="1" si="20">IF(ISBLANK($A3),"",INDIRECT("'"&amp;$A3&amp;"'!B30"))</f>
        <v>Marginal</v>
      </c>
      <c r="W3" s="164" t="str">
        <f t="shared" ref="W3:W40" ca="1" si="21">IF(ISBLANK($A3),"",INDIRECT("'"&amp;$A3&amp;"'!B34"))</f>
        <v>Maîtrisé</v>
      </c>
      <c r="X3" s="164" t="str">
        <f t="shared" ref="X3:X40" ca="1" si="22">IF(ISBLANK($A3),"",INDIRECT("'"&amp;$A3&amp;"'!B35"))</f>
        <v>Acceptable</v>
      </c>
      <c r="Y3" s="164" t="str">
        <f t="shared" ref="Y3:Y40" ca="1" si="23">IF(ISBLANK($A3),"",INDIRECT("'"&amp;$A3&amp;"'!B36"))</f>
        <v>Maîtrisé</v>
      </c>
      <c r="Z3" s="164" t="str">
        <f t="shared" ref="Z3:Z40" ca="1" si="24">IF(ISBLANK($A3),"",INDIRECT("'"&amp;$A3&amp;"'!B37"))</f>
        <v>Maîtrisé</v>
      </c>
      <c r="AA3" s="164">
        <f t="shared" ref="AA3:AA40" ca="1" si="25">IF(ISBLANK($A3),"",INDIRECT("'"&amp;$A3&amp;"'!B44"))</f>
        <v>0</v>
      </c>
      <c r="AB3" s="166"/>
    </row>
    <row r="4" spans="1:29" ht="41.45" customHeight="1">
      <c r="A4" s="210" t="s">
        <v>780</v>
      </c>
      <c r="B4" s="164" t="e">
        <f t="shared" ca="1" si="0"/>
        <v>#REF!</v>
      </c>
      <c r="C4" s="164" t="e">
        <f t="shared" ca="1" si="1"/>
        <v>#REF!</v>
      </c>
      <c r="D4" s="164" t="e">
        <f t="shared" ca="1" si="2"/>
        <v>#REF!</v>
      </c>
      <c r="E4" s="164" t="e">
        <f t="shared" ca="1" si="3"/>
        <v>#REF!</v>
      </c>
      <c r="F4" s="164" t="e">
        <f t="shared" ca="1" si="4"/>
        <v>#REF!</v>
      </c>
      <c r="G4" s="165" t="e">
        <f t="shared" ca="1" si="5"/>
        <v>#REF!</v>
      </c>
      <c r="H4" s="165" t="e">
        <f t="shared" ca="1" si="6"/>
        <v>#REF!</v>
      </c>
      <c r="I4" s="165" t="e">
        <f t="shared" ca="1" si="7"/>
        <v>#REF!</v>
      </c>
      <c r="J4" s="164" t="e">
        <f t="shared" ca="1" si="8"/>
        <v>#REF!</v>
      </c>
      <c r="K4" s="164" t="e">
        <f t="shared" ca="1" si="9"/>
        <v>#REF!</v>
      </c>
      <c r="L4" s="164" t="e">
        <f t="shared" ca="1" si="10"/>
        <v>#REF!</v>
      </c>
      <c r="M4" s="164" t="e">
        <f t="shared" ca="1" si="11"/>
        <v>#REF!</v>
      </c>
      <c r="N4" s="164" t="e">
        <f t="shared" ca="1" si="12"/>
        <v>#REF!</v>
      </c>
      <c r="O4" s="164" t="e">
        <f t="shared" ca="1" si="13"/>
        <v>#REF!</v>
      </c>
      <c r="P4" s="164" t="e">
        <f t="shared" ca="1" si="14"/>
        <v>#REF!</v>
      </c>
      <c r="Q4" s="164" t="e">
        <f t="shared" ca="1" si="15"/>
        <v>#REF!</v>
      </c>
      <c r="R4" s="164" t="e">
        <f t="shared" ca="1" si="16"/>
        <v>#REF!</v>
      </c>
      <c r="S4" s="164" t="e">
        <f t="shared" ca="1" si="17"/>
        <v>#REF!</v>
      </c>
      <c r="T4" s="164" t="e">
        <f t="shared" ca="1" si="18"/>
        <v>#REF!</v>
      </c>
      <c r="U4" s="164" t="e">
        <f t="shared" ca="1" si="19"/>
        <v>#REF!</v>
      </c>
      <c r="V4" s="164" t="e">
        <f t="shared" ca="1" si="20"/>
        <v>#REF!</v>
      </c>
      <c r="W4" s="164" t="e">
        <f t="shared" ca="1" si="21"/>
        <v>#REF!</v>
      </c>
      <c r="X4" s="164" t="e">
        <f t="shared" ca="1" si="22"/>
        <v>#REF!</v>
      </c>
      <c r="Y4" s="164" t="e">
        <f t="shared" ca="1" si="23"/>
        <v>#REF!</v>
      </c>
      <c r="Z4" s="164" t="e">
        <f t="shared" ca="1" si="24"/>
        <v>#REF!</v>
      </c>
      <c r="AA4" s="164" t="e">
        <f t="shared" ca="1" si="25"/>
        <v>#REF!</v>
      </c>
      <c r="AB4" s="166"/>
    </row>
    <row r="5" spans="1:29" ht="41.45" customHeight="1">
      <c r="A5" s="210" t="s">
        <v>781</v>
      </c>
      <c r="B5" s="164" t="e">
        <f t="shared" ca="1" si="0"/>
        <v>#REF!</v>
      </c>
      <c r="C5" s="164" t="e">
        <f t="shared" ca="1" si="1"/>
        <v>#REF!</v>
      </c>
      <c r="D5" s="164" t="e">
        <f t="shared" ca="1" si="2"/>
        <v>#REF!</v>
      </c>
      <c r="E5" s="164" t="e">
        <f t="shared" ca="1" si="3"/>
        <v>#REF!</v>
      </c>
      <c r="F5" s="164" t="e">
        <f t="shared" ca="1" si="4"/>
        <v>#REF!</v>
      </c>
      <c r="G5" s="165" t="e">
        <f t="shared" ca="1" si="5"/>
        <v>#REF!</v>
      </c>
      <c r="H5" s="165" t="e">
        <f t="shared" ca="1" si="6"/>
        <v>#REF!</v>
      </c>
      <c r="I5" s="165" t="e">
        <f t="shared" ca="1" si="7"/>
        <v>#REF!</v>
      </c>
      <c r="J5" s="164" t="e">
        <f t="shared" ca="1" si="8"/>
        <v>#REF!</v>
      </c>
      <c r="K5" s="164" t="e">
        <f t="shared" ca="1" si="9"/>
        <v>#REF!</v>
      </c>
      <c r="L5" s="164" t="e">
        <f t="shared" ca="1" si="10"/>
        <v>#REF!</v>
      </c>
      <c r="M5" s="164" t="e">
        <f t="shared" ca="1" si="11"/>
        <v>#REF!</v>
      </c>
      <c r="N5" s="164" t="e">
        <f t="shared" ca="1" si="12"/>
        <v>#REF!</v>
      </c>
      <c r="O5" s="164" t="e">
        <f t="shared" ca="1" si="13"/>
        <v>#REF!</v>
      </c>
      <c r="P5" s="164" t="e">
        <f t="shared" ca="1" si="14"/>
        <v>#REF!</v>
      </c>
      <c r="Q5" s="164" t="e">
        <f t="shared" ca="1" si="15"/>
        <v>#REF!</v>
      </c>
      <c r="R5" s="164" t="e">
        <f t="shared" ca="1" si="16"/>
        <v>#REF!</v>
      </c>
      <c r="S5" s="164" t="e">
        <f t="shared" ca="1" si="17"/>
        <v>#REF!</v>
      </c>
      <c r="T5" s="164" t="e">
        <f t="shared" ca="1" si="18"/>
        <v>#REF!</v>
      </c>
      <c r="U5" s="164" t="e">
        <f t="shared" ca="1" si="19"/>
        <v>#REF!</v>
      </c>
      <c r="V5" s="164" t="e">
        <f t="shared" ca="1" si="20"/>
        <v>#REF!</v>
      </c>
      <c r="W5" s="164" t="e">
        <f t="shared" ca="1" si="21"/>
        <v>#REF!</v>
      </c>
      <c r="X5" s="164" t="e">
        <f t="shared" ca="1" si="22"/>
        <v>#REF!</v>
      </c>
      <c r="Y5" s="164" t="e">
        <f t="shared" ca="1" si="23"/>
        <v>#REF!</v>
      </c>
      <c r="Z5" s="164" t="e">
        <f t="shared" ca="1" si="24"/>
        <v>#REF!</v>
      </c>
      <c r="AA5" s="164" t="e">
        <f t="shared" ca="1" si="25"/>
        <v>#REF!</v>
      </c>
      <c r="AB5" s="166"/>
    </row>
    <row r="6" spans="1:29" ht="41.45" customHeight="1">
      <c r="A6" s="210" t="s">
        <v>782</v>
      </c>
      <c r="B6" s="164" t="e">
        <f t="shared" ca="1" si="0"/>
        <v>#REF!</v>
      </c>
      <c r="C6" s="164" t="e">
        <f t="shared" ca="1" si="1"/>
        <v>#REF!</v>
      </c>
      <c r="D6" s="164" t="e">
        <f t="shared" ca="1" si="2"/>
        <v>#REF!</v>
      </c>
      <c r="E6" s="164" t="e">
        <f t="shared" ca="1" si="3"/>
        <v>#REF!</v>
      </c>
      <c r="F6" s="164" t="e">
        <f t="shared" ca="1" si="4"/>
        <v>#REF!</v>
      </c>
      <c r="G6" s="165" t="e">
        <f t="shared" ca="1" si="5"/>
        <v>#REF!</v>
      </c>
      <c r="H6" s="165" t="e">
        <f t="shared" ca="1" si="6"/>
        <v>#REF!</v>
      </c>
      <c r="I6" s="165" t="e">
        <f t="shared" ca="1" si="7"/>
        <v>#REF!</v>
      </c>
      <c r="J6" s="164" t="e">
        <f t="shared" ca="1" si="8"/>
        <v>#REF!</v>
      </c>
      <c r="K6" s="164" t="e">
        <f t="shared" ca="1" si="9"/>
        <v>#REF!</v>
      </c>
      <c r="L6" s="164" t="e">
        <f t="shared" ca="1" si="10"/>
        <v>#REF!</v>
      </c>
      <c r="M6" s="164" t="e">
        <f t="shared" ca="1" si="11"/>
        <v>#REF!</v>
      </c>
      <c r="N6" s="164" t="e">
        <f t="shared" ca="1" si="12"/>
        <v>#REF!</v>
      </c>
      <c r="O6" s="164" t="e">
        <f t="shared" ca="1" si="13"/>
        <v>#REF!</v>
      </c>
      <c r="P6" s="164" t="e">
        <f t="shared" ca="1" si="14"/>
        <v>#REF!</v>
      </c>
      <c r="Q6" s="164" t="e">
        <f t="shared" ca="1" si="15"/>
        <v>#REF!</v>
      </c>
      <c r="R6" s="164" t="e">
        <f t="shared" ca="1" si="16"/>
        <v>#REF!</v>
      </c>
      <c r="S6" s="164" t="e">
        <f t="shared" ca="1" si="17"/>
        <v>#REF!</v>
      </c>
      <c r="T6" s="164" t="e">
        <f t="shared" ca="1" si="18"/>
        <v>#REF!</v>
      </c>
      <c r="U6" s="164" t="e">
        <f t="shared" ca="1" si="19"/>
        <v>#REF!</v>
      </c>
      <c r="V6" s="164" t="e">
        <f t="shared" ca="1" si="20"/>
        <v>#REF!</v>
      </c>
      <c r="W6" s="164" t="e">
        <f t="shared" ca="1" si="21"/>
        <v>#REF!</v>
      </c>
      <c r="X6" s="164" t="e">
        <f t="shared" ca="1" si="22"/>
        <v>#REF!</v>
      </c>
      <c r="Y6" s="164" t="e">
        <f t="shared" ca="1" si="23"/>
        <v>#REF!</v>
      </c>
      <c r="Z6" s="164" t="e">
        <f t="shared" ca="1" si="24"/>
        <v>#REF!</v>
      </c>
      <c r="AA6" s="164" t="e">
        <f t="shared" ca="1" si="25"/>
        <v>#REF!</v>
      </c>
      <c r="AB6" s="166"/>
    </row>
    <row r="7" spans="1:29" ht="41.45" customHeight="1">
      <c r="A7" s="210" t="s">
        <v>783</v>
      </c>
      <c r="B7" s="164" t="e">
        <f t="shared" ca="1" si="0"/>
        <v>#REF!</v>
      </c>
      <c r="C7" s="164" t="e">
        <f t="shared" ca="1" si="1"/>
        <v>#REF!</v>
      </c>
      <c r="D7" s="164" t="e">
        <f t="shared" ca="1" si="2"/>
        <v>#REF!</v>
      </c>
      <c r="E7" s="164" t="e">
        <f t="shared" ca="1" si="3"/>
        <v>#REF!</v>
      </c>
      <c r="F7" s="164" t="e">
        <f t="shared" ca="1" si="4"/>
        <v>#REF!</v>
      </c>
      <c r="G7" s="165" t="e">
        <f t="shared" ca="1" si="5"/>
        <v>#REF!</v>
      </c>
      <c r="H7" s="165" t="e">
        <f t="shared" ca="1" si="6"/>
        <v>#REF!</v>
      </c>
      <c r="I7" s="165" t="e">
        <f t="shared" ca="1" si="7"/>
        <v>#REF!</v>
      </c>
      <c r="J7" s="164" t="e">
        <f t="shared" ca="1" si="8"/>
        <v>#REF!</v>
      </c>
      <c r="K7" s="164" t="e">
        <f t="shared" ca="1" si="9"/>
        <v>#REF!</v>
      </c>
      <c r="L7" s="164" t="e">
        <f t="shared" ca="1" si="10"/>
        <v>#REF!</v>
      </c>
      <c r="M7" s="164" t="e">
        <f t="shared" ca="1" si="11"/>
        <v>#REF!</v>
      </c>
      <c r="N7" s="164" t="e">
        <f t="shared" ca="1" si="12"/>
        <v>#REF!</v>
      </c>
      <c r="O7" s="164" t="e">
        <f t="shared" ca="1" si="13"/>
        <v>#REF!</v>
      </c>
      <c r="P7" s="164" t="e">
        <f t="shared" ca="1" si="14"/>
        <v>#REF!</v>
      </c>
      <c r="Q7" s="164" t="e">
        <f t="shared" ca="1" si="15"/>
        <v>#REF!</v>
      </c>
      <c r="R7" s="164" t="e">
        <f t="shared" ca="1" si="16"/>
        <v>#REF!</v>
      </c>
      <c r="S7" s="164" t="e">
        <f t="shared" ca="1" si="17"/>
        <v>#REF!</v>
      </c>
      <c r="T7" s="164" t="e">
        <f t="shared" ca="1" si="18"/>
        <v>#REF!</v>
      </c>
      <c r="U7" s="164" t="e">
        <f t="shared" ca="1" si="19"/>
        <v>#REF!</v>
      </c>
      <c r="V7" s="164" t="e">
        <f t="shared" ca="1" si="20"/>
        <v>#REF!</v>
      </c>
      <c r="W7" s="164" t="e">
        <f t="shared" ca="1" si="21"/>
        <v>#REF!</v>
      </c>
      <c r="X7" s="164" t="e">
        <f t="shared" ca="1" si="22"/>
        <v>#REF!</v>
      </c>
      <c r="Y7" s="164" t="e">
        <f t="shared" ca="1" si="23"/>
        <v>#REF!</v>
      </c>
      <c r="Z7" s="164" t="e">
        <f t="shared" ca="1" si="24"/>
        <v>#REF!</v>
      </c>
      <c r="AA7" s="164" t="e">
        <f t="shared" ca="1" si="25"/>
        <v>#REF!</v>
      </c>
      <c r="AB7" s="166"/>
    </row>
    <row r="8" spans="1:29" ht="41.45" customHeight="1">
      <c r="A8" s="210" t="s">
        <v>784</v>
      </c>
      <c r="B8" s="164" t="e">
        <f t="shared" ca="1" si="0"/>
        <v>#REF!</v>
      </c>
      <c r="C8" s="164" t="e">
        <f t="shared" ca="1" si="1"/>
        <v>#REF!</v>
      </c>
      <c r="D8" s="164" t="e">
        <f t="shared" ca="1" si="2"/>
        <v>#REF!</v>
      </c>
      <c r="E8" s="164" t="e">
        <f t="shared" ca="1" si="3"/>
        <v>#REF!</v>
      </c>
      <c r="F8" s="164" t="e">
        <f t="shared" ca="1" si="4"/>
        <v>#REF!</v>
      </c>
      <c r="G8" s="165" t="e">
        <f t="shared" ca="1" si="5"/>
        <v>#REF!</v>
      </c>
      <c r="H8" s="165" t="e">
        <f t="shared" ca="1" si="6"/>
        <v>#REF!</v>
      </c>
      <c r="I8" s="165" t="e">
        <f t="shared" ca="1" si="7"/>
        <v>#REF!</v>
      </c>
      <c r="J8" s="164" t="e">
        <f t="shared" ca="1" si="8"/>
        <v>#REF!</v>
      </c>
      <c r="K8" s="164" t="e">
        <f t="shared" ca="1" si="9"/>
        <v>#REF!</v>
      </c>
      <c r="L8" s="164" t="e">
        <f t="shared" ca="1" si="10"/>
        <v>#REF!</v>
      </c>
      <c r="M8" s="164" t="e">
        <f t="shared" ca="1" si="11"/>
        <v>#REF!</v>
      </c>
      <c r="N8" s="164" t="e">
        <f t="shared" ca="1" si="12"/>
        <v>#REF!</v>
      </c>
      <c r="O8" s="164" t="e">
        <f t="shared" ca="1" si="13"/>
        <v>#REF!</v>
      </c>
      <c r="P8" s="164" t="e">
        <f t="shared" ca="1" si="14"/>
        <v>#REF!</v>
      </c>
      <c r="Q8" s="164" t="e">
        <f t="shared" ca="1" si="15"/>
        <v>#REF!</v>
      </c>
      <c r="R8" s="164" t="e">
        <f t="shared" ca="1" si="16"/>
        <v>#REF!</v>
      </c>
      <c r="S8" s="164" t="e">
        <f t="shared" ca="1" si="17"/>
        <v>#REF!</v>
      </c>
      <c r="T8" s="164" t="e">
        <f t="shared" ca="1" si="18"/>
        <v>#REF!</v>
      </c>
      <c r="U8" s="164" t="e">
        <f t="shared" ca="1" si="19"/>
        <v>#REF!</v>
      </c>
      <c r="V8" s="164" t="e">
        <f t="shared" ca="1" si="20"/>
        <v>#REF!</v>
      </c>
      <c r="W8" s="164" t="e">
        <f t="shared" ca="1" si="21"/>
        <v>#REF!</v>
      </c>
      <c r="X8" s="164" t="e">
        <f t="shared" ca="1" si="22"/>
        <v>#REF!</v>
      </c>
      <c r="Y8" s="164" t="e">
        <f t="shared" ca="1" si="23"/>
        <v>#REF!</v>
      </c>
      <c r="Z8" s="164" t="e">
        <f t="shared" ca="1" si="24"/>
        <v>#REF!</v>
      </c>
      <c r="AA8" s="164" t="e">
        <f t="shared" ca="1" si="25"/>
        <v>#REF!</v>
      </c>
      <c r="AB8" s="166"/>
    </row>
    <row r="9" spans="1:29" ht="41.45" customHeight="1">
      <c r="A9" s="210" t="s">
        <v>785</v>
      </c>
      <c r="B9" s="164" t="e">
        <f t="shared" ca="1" si="0"/>
        <v>#REF!</v>
      </c>
      <c r="C9" s="164" t="e">
        <f t="shared" ca="1" si="1"/>
        <v>#REF!</v>
      </c>
      <c r="D9" s="164" t="e">
        <f t="shared" ca="1" si="2"/>
        <v>#REF!</v>
      </c>
      <c r="E9" s="164" t="e">
        <f t="shared" ca="1" si="3"/>
        <v>#REF!</v>
      </c>
      <c r="F9" s="164" t="e">
        <f t="shared" ca="1" si="4"/>
        <v>#REF!</v>
      </c>
      <c r="G9" s="165" t="e">
        <f t="shared" ca="1" si="5"/>
        <v>#REF!</v>
      </c>
      <c r="H9" s="165" t="e">
        <f t="shared" ca="1" si="6"/>
        <v>#REF!</v>
      </c>
      <c r="I9" s="165" t="e">
        <f t="shared" ca="1" si="7"/>
        <v>#REF!</v>
      </c>
      <c r="J9" s="164" t="e">
        <f t="shared" ca="1" si="8"/>
        <v>#REF!</v>
      </c>
      <c r="K9" s="164" t="e">
        <f t="shared" ca="1" si="9"/>
        <v>#REF!</v>
      </c>
      <c r="L9" s="164" t="e">
        <f t="shared" ca="1" si="10"/>
        <v>#REF!</v>
      </c>
      <c r="M9" s="164" t="e">
        <f t="shared" ca="1" si="11"/>
        <v>#REF!</v>
      </c>
      <c r="N9" s="164" t="e">
        <f t="shared" ca="1" si="12"/>
        <v>#REF!</v>
      </c>
      <c r="O9" s="164" t="e">
        <f t="shared" ca="1" si="13"/>
        <v>#REF!</v>
      </c>
      <c r="P9" s="164" t="e">
        <f t="shared" ca="1" si="14"/>
        <v>#REF!</v>
      </c>
      <c r="Q9" s="164" t="e">
        <f t="shared" ca="1" si="15"/>
        <v>#REF!</v>
      </c>
      <c r="R9" s="164" t="e">
        <f t="shared" ca="1" si="16"/>
        <v>#REF!</v>
      </c>
      <c r="S9" s="164" t="e">
        <f t="shared" ca="1" si="17"/>
        <v>#REF!</v>
      </c>
      <c r="T9" s="164" t="e">
        <f t="shared" ca="1" si="18"/>
        <v>#REF!</v>
      </c>
      <c r="U9" s="164" t="e">
        <f t="shared" ca="1" si="19"/>
        <v>#REF!</v>
      </c>
      <c r="V9" s="164" t="e">
        <f t="shared" ca="1" si="20"/>
        <v>#REF!</v>
      </c>
      <c r="W9" s="164" t="e">
        <f t="shared" ca="1" si="21"/>
        <v>#REF!</v>
      </c>
      <c r="X9" s="164" t="e">
        <f t="shared" ca="1" si="22"/>
        <v>#REF!</v>
      </c>
      <c r="Y9" s="164" t="e">
        <f t="shared" ca="1" si="23"/>
        <v>#REF!</v>
      </c>
      <c r="Z9" s="164" t="e">
        <f t="shared" ca="1" si="24"/>
        <v>#REF!</v>
      </c>
      <c r="AA9" s="164" t="e">
        <f t="shared" ca="1" si="25"/>
        <v>#REF!</v>
      </c>
      <c r="AB9" s="166"/>
    </row>
    <row r="10" spans="1:29" ht="41.45" customHeight="1">
      <c r="A10" s="210" t="s">
        <v>786</v>
      </c>
      <c r="B10" s="164" t="e">
        <f t="shared" ca="1" si="0"/>
        <v>#REF!</v>
      </c>
      <c r="C10" s="164" t="e">
        <f t="shared" ca="1" si="1"/>
        <v>#REF!</v>
      </c>
      <c r="D10" s="164" t="e">
        <f t="shared" ca="1" si="2"/>
        <v>#REF!</v>
      </c>
      <c r="E10" s="164" t="e">
        <f t="shared" ca="1" si="3"/>
        <v>#REF!</v>
      </c>
      <c r="F10" s="164" t="e">
        <f t="shared" ca="1" si="4"/>
        <v>#REF!</v>
      </c>
      <c r="G10" s="165" t="e">
        <f t="shared" ca="1" si="5"/>
        <v>#REF!</v>
      </c>
      <c r="H10" s="165" t="e">
        <f t="shared" ca="1" si="6"/>
        <v>#REF!</v>
      </c>
      <c r="I10" s="165" t="e">
        <f t="shared" ca="1" si="7"/>
        <v>#REF!</v>
      </c>
      <c r="J10" s="164" t="e">
        <f t="shared" ca="1" si="8"/>
        <v>#REF!</v>
      </c>
      <c r="K10" s="164" t="e">
        <f t="shared" ca="1" si="9"/>
        <v>#REF!</v>
      </c>
      <c r="L10" s="164" t="e">
        <f t="shared" ca="1" si="10"/>
        <v>#REF!</v>
      </c>
      <c r="M10" s="164" t="e">
        <f t="shared" ca="1" si="11"/>
        <v>#REF!</v>
      </c>
      <c r="N10" s="164" t="e">
        <f t="shared" ca="1" si="12"/>
        <v>#REF!</v>
      </c>
      <c r="O10" s="164" t="e">
        <f t="shared" ca="1" si="13"/>
        <v>#REF!</v>
      </c>
      <c r="P10" s="164" t="e">
        <f t="shared" ca="1" si="14"/>
        <v>#REF!</v>
      </c>
      <c r="Q10" s="164" t="e">
        <f t="shared" ca="1" si="15"/>
        <v>#REF!</v>
      </c>
      <c r="R10" s="164" t="e">
        <f t="shared" ca="1" si="16"/>
        <v>#REF!</v>
      </c>
      <c r="S10" s="164" t="e">
        <f t="shared" ca="1" si="17"/>
        <v>#REF!</v>
      </c>
      <c r="T10" s="164" t="e">
        <f t="shared" ca="1" si="18"/>
        <v>#REF!</v>
      </c>
      <c r="U10" s="164" t="e">
        <f t="shared" ca="1" si="19"/>
        <v>#REF!</v>
      </c>
      <c r="V10" s="164" t="e">
        <f t="shared" ca="1" si="20"/>
        <v>#REF!</v>
      </c>
      <c r="W10" s="164" t="e">
        <f t="shared" ca="1" si="21"/>
        <v>#REF!</v>
      </c>
      <c r="X10" s="164" t="e">
        <f t="shared" ca="1" si="22"/>
        <v>#REF!</v>
      </c>
      <c r="Y10" s="164" t="e">
        <f t="shared" ca="1" si="23"/>
        <v>#REF!</v>
      </c>
      <c r="Z10" s="164" t="e">
        <f t="shared" ca="1" si="24"/>
        <v>#REF!</v>
      </c>
      <c r="AA10" s="164" t="e">
        <f t="shared" ca="1" si="25"/>
        <v>#REF!</v>
      </c>
      <c r="AB10" s="166"/>
    </row>
    <row r="11" spans="1:29" ht="41.45" customHeight="1">
      <c r="A11" s="210" t="s">
        <v>787</v>
      </c>
      <c r="B11" s="164" t="e">
        <f t="shared" ca="1" si="0"/>
        <v>#REF!</v>
      </c>
      <c r="C11" s="164" t="e">
        <f t="shared" ca="1" si="1"/>
        <v>#REF!</v>
      </c>
      <c r="D11" s="164" t="e">
        <f t="shared" ca="1" si="2"/>
        <v>#REF!</v>
      </c>
      <c r="E11" s="164" t="e">
        <f t="shared" ca="1" si="3"/>
        <v>#REF!</v>
      </c>
      <c r="F11" s="164" t="e">
        <f t="shared" ca="1" si="4"/>
        <v>#REF!</v>
      </c>
      <c r="G11" s="165" t="e">
        <f t="shared" ca="1" si="5"/>
        <v>#REF!</v>
      </c>
      <c r="H11" s="165" t="e">
        <f t="shared" ca="1" si="6"/>
        <v>#REF!</v>
      </c>
      <c r="I11" s="165" t="e">
        <f t="shared" ca="1" si="7"/>
        <v>#REF!</v>
      </c>
      <c r="J11" s="164" t="e">
        <f t="shared" ca="1" si="8"/>
        <v>#REF!</v>
      </c>
      <c r="K11" s="164" t="e">
        <f t="shared" ca="1" si="9"/>
        <v>#REF!</v>
      </c>
      <c r="L11" s="164" t="e">
        <f t="shared" ca="1" si="10"/>
        <v>#REF!</v>
      </c>
      <c r="M11" s="164" t="e">
        <f t="shared" ca="1" si="11"/>
        <v>#REF!</v>
      </c>
      <c r="N11" s="164" t="e">
        <f t="shared" ca="1" si="12"/>
        <v>#REF!</v>
      </c>
      <c r="O11" s="164" t="e">
        <f t="shared" ca="1" si="13"/>
        <v>#REF!</v>
      </c>
      <c r="P11" s="164" t="e">
        <f t="shared" ca="1" si="14"/>
        <v>#REF!</v>
      </c>
      <c r="Q11" s="164" t="e">
        <f t="shared" ca="1" si="15"/>
        <v>#REF!</v>
      </c>
      <c r="R11" s="164" t="e">
        <f t="shared" ca="1" si="16"/>
        <v>#REF!</v>
      </c>
      <c r="S11" s="164" t="e">
        <f t="shared" ca="1" si="17"/>
        <v>#REF!</v>
      </c>
      <c r="T11" s="164" t="e">
        <f t="shared" ca="1" si="18"/>
        <v>#REF!</v>
      </c>
      <c r="U11" s="164" t="e">
        <f t="shared" ca="1" si="19"/>
        <v>#REF!</v>
      </c>
      <c r="V11" s="164" t="e">
        <f t="shared" ca="1" si="20"/>
        <v>#REF!</v>
      </c>
      <c r="W11" s="164" t="e">
        <f t="shared" ca="1" si="21"/>
        <v>#REF!</v>
      </c>
      <c r="X11" s="164" t="e">
        <f t="shared" ca="1" si="22"/>
        <v>#REF!</v>
      </c>
      <c r="Y11" s="164" t="e">
        <f t="shared" ca="1" si="23"/>
        <v>#REF!</v>
      </c>
      <c r="Z11" s="164" t="e">
        <f t="shared" ca="1" si="24"/>
        <v>#REF!</v>
      </c>
      <c r="AA11" s="164" t="e">
        <f t="shared" ca="1" si="25"/>
        <v>#REF!</v>
      </c>
      <c r="AB11" s="166"/>
    </row>
    <row r="12" spans="1:29" ht="41.45" customHeight="1">
      <c r="A12" s="210" t="s">
        <v>788</v>
      </c>
      <c r="B12" s="164" t="e">
        <f t="shared" ca="1" si="0"/>
        <v>#REF!</v>
      </c>
      <c r="C12" s="164" t="e">
        <f t="shared" ca="1" si="1"/>
        <v>#REF!</v>
      </c>
      <c r="D12" s="164" t="e">
        <f t="shared" ca="1" si="2"/>
        <v>#REF!</v>
      </c>
      <c r="E12" s="164" t="e">
        <f t="shared" ca="1" si="3"/>
        <v>#REF!</v>
      </c>
      <c r="F12" s="164" t="e">
        <f t="shared" ca="1" si="4"/>
        <v>#REF!</v>
      </c>
      <c r="G12" s="165" t="e">
        <f t="shared" ca="1" si="5"/>
        <v>#REF!</v>
      </c>
      <c r="H12" s="165" t="e">
        <f t="shared" ca="1" si="6"/>
        <v>#REF!</v>
      </c>
      <c r="I12" s="165" t="e">
        <f t="shared" ca="1" si="7"/>
        <v>#REF!</v>
      </c>
      <c r="J12" s="164" t="e">
        <f t="shared" ca="1" si="8"/>
        <v>#REF!</v>
      </c>
      <c r="K12" s="164" t="e">
        <f t="shared" ca="1" si="9"/>
        <v>#REF!</v>
      </c>
      <c r="L12" s="164" t="e">
        <f t="shared" ca="1" si="10"/>
        <v>#REF!</v>
      </c>
      <c r="M12" s="164" t="e">
        <f t="shared" ca="1" si="11"/>
        <v>#REF!</v>
      </c>
      <c r="N12" s="164" t="e">
        <f t="shared" ca="1" si="12"/>
        <v>#REF!</v>
      </c>
      <c r="O12" s="164" t="e">
        <f t="shared" ca="1" si="13"/>
        <v>#REF!</v>
      </c>
      <c r="P12" s="164" t="e">
        <f t="shared" ca="1" si="14"/>
        <v>#REF!</v>
      </c>
      <c r="Q12" s="164" t="e">
        <f t="shared" ca="1" si="15"/>
        <v>#REF!</v>
      </c>
      <c r="R12" s="164" t="e">
        <f t="shared" ca="1" si="16"/>
        <v>#REF!</v>
      </c>
      <c r="S12" s="164" t="e">
        <f t="shared" ca="1" si="17"/>
        <v>#REF!</v>
      </c>
      <c r="T12" s="164" t="e">
        <f t="shared" ca="1" si="18"/>
        <v>#REF!</v>
      </c>
      <c r="U12" s="164" t="e">
        <f t="shared" ca="1" si="19"/>
        <v>#REF!</v>
      </c>
      <c r="V12" s="164" t="e">
        <f t="shared" ca="1" si="20"/>
        <v>#REF!</v>
      </c>
      <c r="W12" s="164" t="e">
        <f t="shared" ca="1" si="21"/>
        <v>#REF!</v>
      </c>
      <c r="X12" s="164" t="e">
        <f t="shared" ca="1" si="22"/>
        <v>#REF!</v>
      </c>
      <c r="Y12" s="164" t="e">
        <f t="shared" ca="1" si="23"/>
        <v>#REF!</v>
      </c>
      <c r="Z12" s="164" t="e">
        <f t="shared" ca="1" si="24"/>
        <v>#REF!</v>
      </c>
      <c r="AA12" s="164" t="e">
        <f t="shared" ca="1" si="25"/>
        <v>#REF!</v>
      </c>
      <c r="AB12" s="166"/>
    </row>
    <row r="13" spans="1:29" ht="41.45" customHeight="1">
      <c r="A13" s="210" t="s">
        <v>789</v>
      </c>
      <c r="B13" s="164" t="e">
        <f t="shared" ca="1" si="0"/>
        <v>#REF!</v>
      </c>
      <c r="C13" s="164" t="e">
        <f t="shared" ca="1" si="1"/>
        <v>#REF!</v>
      </c>
      <c r="D13" s="164" t="e">
        <f t="shared" ca="1" si="2"/>
        <v>#REF!</v>
      </c>
      <c r="E13" s="164" t="e">
        <f t="shared" ca="1" si="3"/>
        <v>#REF!</v>
      </c>
      <c r="F13" s="164" t="e">
        <f t="shared" ca="1" si="4"/>
        <v>#REF!</v>
      </c>
      <c r="G13" s="165" t="e">
        <f t="shared" ca="1" si="5"/>
        <v>#REF!</v>
      </c>
      <c r="H13" s="165" t="e">
        <f t="shared" ca="1" si="6"/>
        <v>#REF!</v>
      </c>
      <c r="I13" s="165" t="e">
        <f t="shared" ca="1" si="7"/>
        <v>#REF!</v>
      </c>
      <c r="J13" s="164" t="e">
        <f t="shared" ca="1" si="8"/>
        <v>#REF!</v>
      </c>
      <c r="K13" s="164" t="e">
        <f t="shared" ca="1" si="9"/>
        <v>#REF!</v>
      </c>
      <c r="L13" s="164" t="e">
        <f t="shared" ca="1" si="10"/>
        <v>#REF!</v>
      </c>
      <c r="M13" s="164" t="e">
        <f t="shared" ca="1" si="11"/>
        <v>#REF!</v>
      </c>
      <c r="N13" s="164" t="e">
        <f t="shared" ca="1" si="12"/>
        <v>#REF!</v>
      </c>
      <c r="O13" s="164" t="e">
        <f t="shared" ca="1" si="13"/>
        <v>#REF!</v>
      </c>
      <c r="P13" s="164" t="e">
        <f t="shared" ca="1" si="14"/>
        <v>#REF!</v>
      </c>
      <c r="Q13" s="164" t="e">
        <f t="shared" ca="1" si="15"/>
        <v>#REF!</v>
      </c>
      <c r="R13" s="164" t="e">
        <f t="shared" ca="1" si="16"/>
        <v>#REF!</v>
      </c>
      <c r="S13" s="164" t="e">
        <f t="shared" ca="1" si="17"/>
        <v>#REF!</v>
      </c>
      <c r="T13" s="164" t="e">
        <f t="shared" ca="1" si="18"/>
        <v>#REF!</v>
      </c>
      <c r="U13" s="164" t="e">
        <f t="shared" ca="1" si="19"/>
        <v>#REF!</v>
      </c>
      <c r="V13" s="164" t="e">
        <f t="shared" ca="1" si="20"/>
        <v>#REF!</v>
      </c>
      <c r="W13" s="164" t="e">
        <f t="shared" ca="1" si="21"/>
        <v>#REF!</v>
      </c>
      <c r="X13" s="164" t="e">
        <f t="shared" ca="1" si="22"/>
        <v>#REF!</v>
      </c>
      <c r="Y13" s="164" t="e">
        <f t="shared" ca="1" si="23"/>
        <v>#REF!</v>
      </c>
      <c r="Z13" s="164" t="e">
        <f t="shared" ca="1" si="24"/>
        <v>#REF!</v>
      </c>
      <c r="AA13" s="164" t="e">
        <f t="shared" ca="1" si="25"/>
        <v>#REF!</v>
      </c>
      <c r="AB13" s="166"/>
    </row>
    <row r="14" spans="1:29" ht="41.45" customHeight="1">
      <c r="A14" s="210" t="s">
        <v>790</v>
      </c>
      <c r="B14" s="164" t="e">
        <f t="shared" ca="1" si="0"/>
        <v>#REF!</v>
      </c>
      <c r="C14" s="164" t="e">
        <f t="shared" ca="1" si="1"/>
        <v>#REF!</v>
      </c>
      <c r="D14" s="164" t="e">
        <f t="shared" ca="1" si="2"/>
        <v>#REF!</v>
      </c>
      <c r="E14" s="164" t="e">
        <f t="shared" ca="1" si="3"/>
        <v>#REF!</v>
      </c>
      <c r="F14" s="164" t="e">
        <f t="shared" ca="1" si="4"/>
        <v>#REF!</v>
      </c>
      <c r="G14" s="165" t="e">
        <f t="shared" ca="1" si="5"/>
        <v>#REF!</v>
      </c>
      <c r="H14" s="165" t="e">
        <f t="shared" ca="1" si="6"/>
        <v>#REF!</v>
      </c>
      <c r="I14" s="165" t="e">
        <f t="shared" ca="1" si="7"/>
        <v>#REF!</v>
      </c>
      <c r="J14" s="164" t="e">
        <f t="shared" ca="1" si="8"/>
        <v>#REF!</v>
      </c>
      <c r="K14" s="164" t="e">
        <f t="shared" ca="1" si="9"/>
        <v>#REF!</v>
      </c>
      <c r="L14" s="164" t="e">
        <f t="shared" ca="1" si="10"/>
        <v>#REF!</v>
      </c>
      <c r="M14" s="164" t="e">
        <f t="shared" ca="1" si="11"/>
        <v>#REF!</v>
      </c>
      <c r="N14" s="164" t="e">
        <f t="shared" ca="1" si="12"/>
        <v>#REF!</v>
      </c>
      <c r="O14" s="164" t="e">
        <f t="shared" ca="1" si="13"/>
        <v>#REF!</v>
      </c>
      <c r="P14" s="164" t="e">
        <f t="shared" ca="1" si="14"/>
        <v>#REF!</v>
      </c>
      <c r="Q14" s="164" t="e">
        <f t="shared" ca="1" si="15"/>
        <v>#REF!</v>
      </c>
      <c r="R14" s="164" t="e">
        <f t="shared" ca="1" si="16"/>
        <v>#REF!</v>
      </c>
      <c r="S14" s="164" t="e">
        <f t="shared" ca="1" si="17"/>
        <v>#REF!</v>
      </c>
      <c r="T14" s="164" t="e">
        <f t="shared" ca="1" si="18"/>
        <v>#REF!</v>
      </c>
      <c r="U14" s="164" t="e">
        <f t="shared" ca="1" si="19"/>
        <v>#REF!</v>
      </c>
      <c r="V14" s="164" t="e">
        <f t="shared" ca="1" si="20"/>
        <v>#REF!</v>
      </c>
      <c r="W14" s="164" t="e">
        <f t="shared" ca="1" si="21"/>
        <v>#REF!</v>
      </c>
      <c r="X14" s="164" t="e">
        <f t="shared" ca="1" si="22"/>
        <v>#REF!</v>
      </c>
      <c r="Y14" s="164" t="e">
        <f t="shared" ca="1" si="23"/>
        <v>#REF!</v>
      </c>
      <c r="Z14" s="164" t="e">
        <f t="shared" ca="1" si="24"/>
        <v>#REF!</v>
      </c>
      <c r="AA14" s="164" t="e">
        <f t="shared" ca="1" si="25"/>
        <v>#REF!</v>
      </c>
      <c r="AB14" s="166"/>
    </row>
    <row r="15" spans="1:29" ht="41.45" customHeight="1">
      <c r="A15" s="210" t="s">
        <v>791</v>
      </c>
      <c r="B15" s="164" t="e">
        <f t="shared" ca="1" si="0"/>
        <v>#REF!</v>
      </c>
      <c r="C15" s="164" t="e">
        <f t="shared" ca="1" si="1"/>
        <v>#REF!</v>
      </c>
      <c r="D15" s="164" t="e">
        <f t="shared" ca="1" si="2"/>
        <v>#REF!</v>
      </c>
      <c r="E15" s="164" t="e">
        <f t="shared" ca="1" si="3"/>
        <v>#REF!</v>
      </c>
      <c r="F15" s="164" t="e">
        <f t="shared" ca="1" si="4"/>
        <v>#REF!</v>
      </c>
      <c r="G15" s="165" t="e">
        <f t="shared" ca="1" si="5"/>
        <v>#REF!</v>
      </c>
      <c r="H15" s="165" t="e">
        <f t="shared" ca="1" si="6"/>
        <v>#REF!</v>
      </c>
      <c r="I15" s="165" t="e">
        <f t="shared" ca="1" si="7"/>
        <v>#REF!</v>
      </c>
      <c r="J15" s="164" t="e">
        <f t="shared" ca="1" si="8"/>
        <v>#REF!</v>
      </c>
      <c r="K15" s="164" t="e">
        <f t="shared" ca="1" si="9"/>
        <v>#REF!</v>
      </c>
      <c r="L15" s="164" t="e">
        <f t="shared" ca="1" si="10"/>
        <v>#REF!</v>
      </c>
      <c r="M15" s="164" t="e">
        <f t="shared" ca="1" si="11"/>
        <v>#REF!</v>
      </c>
      <c r="N15" s="164" t="e">
        <f t="shared" ca="1" si="12"/>
        <v>#REF!</v>
      </c>
      <c r="O15" s="164" t="e">
        <f t="shared" ca="1" si="13"/>
        <v>#REF!</v>
      </c>
      <c r="P15" s="164" t="e">
        <f t="shared" ca="1" si="14"/>
        <v>#REF!</v>
      </c>
      <c r="Q15" s="164" t="e">
        <f t="shared" ca="1" si="15"/>
        <v>#REF!</v>
      </c>
      <c r="R15" s="164" t="e">
        <f t="shared" ca="1" si="16"/>
        <v>#REF!</v>
      </c>
      <c r="S15" s="164" t="e">
        <f t="shared" ca="1" si="17"/>
        <v>#REF!</v>
      </c>
      <c r="T15" s="164" t="e">
        <f t="shared" ca="1" si="18"/>
        <v>#REF!</v>
      </c>
      <c r="U15" s="164" t="e">
        <f t="shared" ca="1" si="19"/>
        <v>#REF!</v>
      </c>
      <c r="V15" s="164" t="e">
        <f t="shared" ca="1" si="20"/>
        <v>#REF!</v>
      </c>
      <c r="W15" s="164" t="e">
        <f t="shared" ca="1" si="21"/>
        <v>#REF!</v>
      </c>
      <c r="X15" s="164" t="e">
        <f t="shared" ca="1" si="22"/>
        <v>#REF!</v>
      </c>
      <c r="Y15" s="164" t="e">
        <f t="shared" ca="1" si="23"/>
        <v>#REF!</v>
      </c>
      <c r="Z15" s="164" t="e">
        <f t="shared" ca="1" si="24"/>
        <v>#REF!</v>
      </c>
      <c r="AA15" s="164" t="e">
        <f t="shared" ca="1" si="25"/>
        <v>#REF!</v>
      </c>
      <c r="AB15" s="166"/>
    </row>
    <row r="16" spans="1:29" ht="41.45" customHeight="1">
      <c r="A16" s="210" t="s">
        <v>792</v>
      </c>
      <c r="B16" s="164" t="e">
        <f t="shared" ca="1" si="0"/>
        <v>#REF!</v>
      </c>
      <c r="C16" s="164" t="e">
        <f t="shared" ca="1" si="1"/>
        <v>#REF!</v>
      </c>
      <c r="D16" s="164" t="e">
        <f t="shared" ca="1" si="2"/>
        <v>#REF!</v>
      </c>
      <c r="E16" s="164" t="e">
        <f t="shared" ca="1" si="3"/>
        <v>#REF!</v>
      </c>
      <c r="F16" s="164" t="e">
        <f t="shared" ca="1" si="4"/>
        <v>#REF!</v>
      </c>
      <c r="G16" s="165" t="e">
        <f t="shared" ca="1" si="5"/>
        <v>#REF!</v>
      </c>
      <c r="H16" s="165" t="e">
        <f t="shared" ca="1" si="6"/>
        <v>#REF!</v>
      </c>
      <c r="I16" s="165" t="e">
        <f t="shared" ca="1" si="7"/>
        <v>#REF!</v>
      </c>
      <c r="J16" s="164" t="e">
        <f t="shared" ca="1" si="8"/>
        <v>#REF!</v>
      </c>
      <c r="K16" s="164" t="e">
        <f t="shared" ca="1" si="9"/>
        <v>#REF!</v>
      </c>
      <c r="L16" s="164" t="e">
        <f t="shared" ca="1" si="10"/>
        <v>#REF!</v>
      </c>
      <c r="M16" s="164" t="e">
        <f t="shared" ca="1" si="11"/>
        <v>#REF!</v>
      </c>
      <c r="N16" s="164" t="e">
        <f t="shared" ca="1" si="12"/>
        <v>#REF!</v>
      </c>
      <c r="O16" s="164" t="e">
        <f t="shared" ca="1" si="13"/>
        <v>#REF!</v>
      </c>
      <c r="P16" s="164" t="e">
        <f t="shared" ca="1" si="14"/>
        <v>#REF!</v>
      </c>
      <c r="Q16" s="164" t="e">
        <f t="shared" ca="1" si="15"/>
        <v>#REF!</v>
      </c>
      <c r="R16" s="164" t="e">
        <f t="shared" ca="1" si="16"/>
        <v>#REF!</v>
      </c>
      <c r="S16" s="164" t="e">
        <f t="shared" ca="1" si="17"/>
        <v>#REF!</v>
      </c>
      <c r="T16" s="164" t="e">
        <f t="shared" ca="1" si="18"/>
        <v>#REF!</v>
      </c>
      <c r="U16" s="164" t="e">
        <f t="shared" ca="1" si="19"/>
        <v>#REF!</v>
      </c>
      <c r="V16" s="164" t="e">
        <f t="shared" ca="1" si="20"/>
        <v>#REF!</v>
      </c>
      <c r="W16" s="164" t="e">
        <f t="shared" ca="1" si="21"/>
        <v>#REF!</v>
      </c>
      <c r="X16" s="164" t="e">
        <f t="shared" ca="1" si="22"/>
        <v>#REF!</v>
      </c>
      <c r="Y16" s="164" t="e">
        <f t="shared" ca="1" si="23"/>
        <v>#REF!</v>
      </c>
      <c r="Z16" s="164" t="e">
        <f t="shared" ca="1" si="24"/>
        <v>#REF!</v>
      </c>
      <c r="AA16" s="164" t="e">
        <f t="shared" ca="1" si="25"/>
        <v>#REF!</v>
      </c>
      <c r="AB16" s="166"/>
    </row>
    <row r="17" spans="1:28" ht="41.45" customHeight="1">
      <c r="A17" s="210" t="s">
        <v>793</v>
      </c>
      <c r="B17" s="164" t="e">
        <f t="shared" ca="1" si="0"/>
        <v>#REF!</v>
      </c>
      <c r="C17" s="164" t="e">
        <f t="shared" ca="1" si="1"/>
        <v>#REF!</v>
      </c>
      <c r="D17" s="164" t="e">
        <f t="shared" ca="1" si="2"/>
        <v>#REF!</v>
      </c>
      <c r="E17" s="164" t="e">
        <f t="shared" ca="1" si="3"/>
        <v>#REF!</v>
      </c>
      <c r="F17" s="164" t="e">
        <f t="shared" ca="1" si="4"/>
        <v>#REF!</v>
      </c>
      <c r="G17" s="165" t="e">
        <f t="shared" ca="1" si="5"/>
        <v>#REF!</v>
      </c>
      <c r="H17" s="165" t="e">
        <f t="shared" ca="1" si="6"/>
        <v>#REF!</v>
      </c>
      <c r="I17" s="165" t="e">
        <f t="shared" ca="1" si="7"/>
        <v>#REF!</v>
      </c>
      <c r="J17" s="164" t="e">
        <f t="shared" ca="1" si="8"/>
        <v>#REF!</v>
      </c>
      <c r="K17" s="164" t="e">
        <f t="shared" ca="1" si="9"/>
        <v>#REF!</v>
      </c>
      <c r="L17" s="164" t="e">
        <f t="shared" ca="1" si="10"/>
        <v>#REF!</v>
      </c>
      <c r="M17" s="164" t="e">
        <f t="shared" ca="1" si="11"/>
        <v>#REF!</v>
      </c>
      <c r="N17" s="164" t="e">
        <f t="shared" ca="1" si="12"/>
        <v>#REF!</v>
      </c>
      <c r="O17" s="164" t="e">
        <f t="shared" ca="1" si="13"/>
        <v>#REF!</v>
      </c>
      <c r="P17" s="164" t="e">
        <f t="shared" ca="1" si="14"/>
        <v>#REF!</v>
      </c>
      <c r="Q17" s="164" t="e">
        <f t="shared" ca="1" si="15"/>
        <v>#REF!</v>
      </c>
      <c r="R17" s="164" t="e">
        <f t="shared" ca="1" si="16"/>
        <v>#REF!</v>
      </c>
      <c r="S17" s="164" t="e">
        <f t="shared" ca="1" si="17"/>
        <v>#REF!</v>
      </c>
      <c r="T17" s="164" t="e">
        <f t="shared" ca="1" si="18"/>
        <v>#REF!</v>
      </c>
      <c r="U17" s="164" t="e">
        <f t="shared" ca="1" si="19"/>
        <v>#REF!</v>
      </c>
      <c r="V17" s="164" t="e">
        <f t="shared" ca="1" si="20"/>
        <v>#REF!</v>
      </c>
      <c r="W17" s="164" t="e">
        <f t="shared" ca="1" si="21"/>
        <v>#REF!</v>
      </c>
      <c r="X17" s="164" t="e">
        <f t="shared" ca="1" si="22"/>
        <v>#REF!</v>
      </c>
      <c r="Y17" s="164" t="e">
        <f t="shared" ca="1" si="23"/>
        <v>#REF!</v>
      </c>
      <c r="Z17" s="164" t="e">
        <f t="shared" ca="1" si="24"/>
        <v>#REF!</v>
      </c>
      <c r="AA17" s="164" t="e">
        <f t="shared" ca="1" si="25"/>
        <v>#REF!</v>
      </c>
      <c r="AB17" s="166"/>
    </row>
    <row r="18" spans="1:28" ht="41.45" customHeight="1">
      <c r="A18" s="210" t="s">
        <v>794</v>
      </c>
      <c r="B18" s="164" t="e">
        <f t="shared" ca="1" si="0"/>
        <v>#REF!</v>
      </c>
      <c r="C18" s="164" t="e">
        <f t="shared" ca="1" si="1"/>
        <v>#REF!</v>
      </c>
      <c r="D18" s="164" t="e">
        <f t="shared" ca="1" si="2"/>
        <v>#REF!</v>
      </c>
      <c r="E18" s="164" t="e">
        <f t="shared" ca="1" si="3"/>
        <v>#REF!</v>
      </c>
      <c r="F18" s="164" t="e">
        <f t="shared" ca="1" si="4"/>
        <v>#REF!</v>
      </c>
      <c r="G18" s="165" t="e">
        <f t="shared" ca="1" si="5"/>
        <v>#REF!</v>
      </c>
      <c r="H18" s="165" t="e">
        <f t="shared" ca="1" si="6"/>
        <v>#REF!</v>
      </c>
      <c r="I18" s="165" t="e">
        <f t="shared" ca="1" si="7"/>
        <v>#REF!</v>
      </c>
      <c r="J18" s="164" t="e">
        <f t="shared" ca="1" si="8"/>
        <v>#REF!</v>
      </c>
      <c r="K18" s="164" t="e">
        <f t="shared" ca="1" si="9"/>
        <v>#REF!</v>
      </c>
      <c r="L18" s="164" t="e">
        <f t="shared" ca="1" si="10"/>
        <v>#REF!</v>
      </c>
      <c r="M18" s="164" t="e">
        <f t="shared" ca="1" si="11"/>
        <v>#REF!</v>
      </c>
      <c r="N18" s="164" t="e">
        <f t="shared" ca="1" si="12"/>
        <v>#REF!</v>
      </c>
      <c r="O18" s="164" t="e">
        <f t="shared" ca="1" si="13"/>
        <v>#REF!</v>
      </c>
      <c r="P18" s="164" t="e">
        <f t="shared" ca="1" si="14"/>
        <v>#REF!</v>
      </c>
      <c r="Q18" s="164" t="e">
        <f t="shared" ca="1" si="15"/>
        <v>#REF!</v>
      </c>
      <c r="R18" s="164" t="e">
        <f t="shared" ca="1" si="16"/>
        <v>#REF!</v>
      </c>
      <c r="S18" s="164" t="e">
        <f t="shared" ca="1" si="17"/>
        <v>#REF!</v>
      </c>
      <c r="T18" s="164" t="e">
        <f t="shared" ca="1" si="18"/>
        <v>#REF!</v>
      </c>
      <c r="U18" s="164" t="e">
        <f t="shared" ca="1" si="19"/>
        <v>#REF!</v>
      </c>
      <c r="V18" s="164" t="e">
        <f t="shared" ca="1" si="20"/>
        <v>#REF!</v>
      </c>
      <c r="W18" s="164" t="e">
        <f t="shared" ca="1" si="21"/>
        <v>#REF!</v>
      </c>
      <c r="X18" s="164" t="e">
        <f t="shared" ca="1" si="22"/>
        <v>#REF!</v>
      </c>
      <c r="Y18" s="164" t="e">
        <f t="shared" ca="1" si="23"/>
        <v>#REF!</v>
      </c>
      <c r="Z18" s="164" t="e">
        <f t="shared" ca="1" si="24"/>
        <v>#REF!</v>
      </c>
      <c r="AA18" s="164" t="e">
        <f t="shared" ca="1" si="25"/>
        <v>#REF!</v>
      </c>
      <c r="AB18" s="166"/>
    </row>
    <row r="19" spans="1:28" ht="41.45" customHeight="1">
      <c r="A19" s="210" t="s">
        <v>795</v>
      </c>
      <c r="B19" s="164" t="e">
        <f t="shared" ca="1" si="0"/>
        <v>#REF!</v>
      </c>
      <c r="C19" s="164" t="e">
        <f t="shared" ca="1" si="1"/>
        <v>#REF!</v>
      </c>
      <c r="D19" s="164" t="e">
        <f t="shared" ca="1" si="2"/>
        <v>#REF!</v>
      </c>
      <c r="E19" s="164" t="e">
        <f t="shared" ca="1" si="3"/>
        <v>#REF!</v>
      </c>
      <c r="F19" s="164" t="e">
        <f t="shared" ca="1" si="4"/>
        <v>#REF!</v>
      </c>
      <c r="G19" s="165" t="e">
        <f t="shared" ca="1" si="5"/>
        <v>#REF!</v>
      </c>
      <c r="H19" s="165" t="e">
        <f t="shared" ca="1" si="6"/>
        <v>#REF!</v>
      </c>
      <c r="I19" s="165" t="e">
        <f t="shared" ca="1" si="7"/>
        <v>#REF!</v>
      </c>
      <c r="J19" s="164" t="e">
        <f t="shared" ca="1" si="8"/>
        <v>#REF!</v>
      </c>
      <c r="K19" s="164" t="e">
        <f t="shared" ca="1" si="9"/>
        <v>#REF!</v>
      </c>
      <c r="L19" s="164" t="e">
        <f t="shared" ca="1" si="10"/>
        <v>#REF!</v>
      </c>
      <c r="M19" s="164" t="e">
        <f t="shared" ca="1" si="11"/>
        <v>#REF!</v>
      </c>
      <c r="N19" s="164" t="e">
        <f t="shared" ca="1" si="12"/>
        <v>#REF!</v>
      </c>
      <c r="O19" s="164" t="e">
        <f t="shared" ca="1" si="13"/>
        <v>#REF!</v>
      </c>
      <c r="P19" s="164" t="e">
        <f t="shared" ca="1" si="14"/>
        <v>#REF!</v>
      </c>
      <c r="Q19" s="164" t="e">
        <f t="shared" ca="1" si="15"/>
        <v>#REF!</v>
      </c>
      <c r="R19" s="164" t="e">
        <f t="shared" ca="1" si="16"/>
        <v>#REF!</v>
      </c>
      <c r="S19" s="164" t="e">
        <f t="shared" ca="1" si="17"/>
        <v>#REF!</v>
      </c>
      <c r="T19" s="164" t="e">
        <f t="shared" ca="1" si="18"/>
        <v>#REF!</v>
      </c>
      <c r="U19" s="164" t="e">
        <f t="shared" ca="1" si="19"/>
        <v>#REF!</v>
      </c>
      <c r="V19" s="164" t="e">
        <f t="shared" ca="1" si="20"/>
        <v>#REF!</v>
      </c>
      <c r="W19" s="164" t="e">
        <f t="shared" ca="1" si="21"/>
        <v>#REF!</v>
      </c>
      <c r="X19" s="164" t="e">
        <f t="shared" ca="1" si="22"/>
        <v>#REF!</v>
      </c>
      <c r="Y19" s="164" t="e">
        <f t="shared" ca="1" si="23"/>
        <v>#REF!</v>
      </c>
      <c r="Z19" s="164" t="e">
        <f t="shared" ca="1" si="24"/>
        <v>#REF!</v>
      </c>
      <c r="AA19" s="164" t="e">
        <f t="shared" ca="1" si="25"/>
        <v>#REF!</v>
      </c>
      <c r="AB19" s="166"/>
    </row>
    <row r="20" spans="1:28" ht="41.45" customHeight="1">
      <c r="A20" s="210" t="s">
        <v>796</v>
      </c>
      <c r="B20" s="164" t="e">
        <f t="shared" ca="1" si="0"/>
        <v>#REF!</v>
      </c>
      <c r="C20" s="164" t="e">
        <f t="shared" ca="1" si="1"/>
        <v>#REF!</v>
      </c>
      <c r="D20" s="164" t="e">
        <f t="shared" ca="1" si="2"/>
        <v>#REF!</v>
      </c>
      <c r="E20" s="164" t="e">
        <f t="shared" ca="1" si="3"/>
        <v>#REF!</v>
      </c>
      <c r="F20" s="164" t="e">
        <f t="shared" ca="1" si="4"/>
        <v>#REF!</v>
      </c>
      <c r="G20" s="165" t="e">
        <f t="shared" ca="1" si="5"/>
        <v>#REF!</v>
      </c>
      <c r="H20" s="165" t="e">
        <f t="shared" ca="1" si="6"/>
        <v>#REF!</v>
      </c>
      <c r="I20" s="165" t="e">
        <f t="shared" ca="1" si="7"/>
        <v>#REF!</v>
      </c>
      <c r="J20" s="164" t="e">
        <f t="shared" ca="1" si="8"/>
        <v>#REF!</v>
      </c>
      <c r="K20" s="164" t="e">
        <f t="shared" ca="1" si="9"/>
        <v>#REF!</v>
      </c>
      <c r="L20" s="164" t="e">
        <f t="shared" ca="1" si="10"/>
        <v>#REF!</v>
      </c>
      <c r="M20" s="164" t="e">
        <f t="shared" ca="1" si="11"/>
        <v>#REF!</v>
      </c>
      <c r="N20" s="164" t="e">
        <f t="shared" ca="1" si="12"/>
        <v>#REF!</v>
      </c>
      <c r="O20" s="164" t="e">
        <f t="shared" ca="1" si="13"/>
        <v>#REF!</v>
      </c>
      <c r="P20" s="164" t="e">
        <f t="shared" ca="1" si="14"/>
        <v>#REF!</v>
      </c>
      <c r="Q20" s="164" t="e">
        <f t="shared" ca="1" si="15"/>
        <v>#REF!</v>
      </c>
      <c r="R20" s="164" t="e">
        <f t="shared" ca="1" si="16"/>
        <v>#REF!</v>
      </c>
      <c r="S20" s="164" t="e">
        <f t="shared" ca="1" si="17"/>
        <v>#REF!</v>
      </c>
      <c r="T20" s="164" t="e">
        <f t="shared" ca="1" si="18"/>
        <v>#REF!</v>
      </c>
      <c r="U20" s="164" t="e">
        <f t="shared" ca="1" si="19"/>
        <v>#REF!</v>
      </c>
      <c r="V20" s="164" t="e">
        <f t="shared" ca="1" si="20"/>
        <v>#REF!</v>
      </c>
      <c r="W20" s="164" t="e">
        <f t="shared" ca="1" si="21"/>
        <v>#REF!</v>
      </c>
      <c r="X20" s="164" t="e">
        <f t="shared" ca="1" si="22"/>
        <v>#REF!</v>
      </c>
      <c r="Y20" s="164" t="e">
        <f t="shared" ca="1" si="23"/>
        <v>#REF!</v>
      </c>
      <c r="Z20" s="164" t="e">
        <f t="shared" ca="1" si="24"/>
        <v>#REF!</v>
      </c>
      <c r="AA20" s="164" t="e">
        <f t="shared" ca="1" si="25"/>
        <v>#REF!</v>
      </c>
      <c r="AB20" s="166"/>
    </row>
    <row r="21" spans="1:28" ht="41.45" customHeight="1">
      <c r="A21" s="210" t="s">
        <v>797</v>
      </c>
      <c r="B21" s="164" t="e">
        <f t="shared" ca="1" si="0"/>
        <v>#REF!</v>
      </c>
      <c r="C21" s="164" t="e">
        <f t="shared" ca="1" si="1"/>
        <v>#REF!</v>
      </c>
      <c r="D21" s="164" t="e">
        <f t="shared" ca="1" si="2"/>
        <v>#REF!</v>
      </c>
      <c r="E21" s="164" t="e">
        <f t="shared" ca="1" si="3"/>
        <v>#REF!</v>
      </c>
      <c r="F21" s="164" t="e">
        <f t="shared" ca="1" si="4"/>
        <v>#REF!</v>
      </c>
      <c r="G21" s="165" t="e">
        <f t="shared" ca="1" si="5"/>
        <v>#REF!</v>
      </c>
      <c r="H21" s="165" t="e">
        <f t="shared" ca="1" si="6"/>
        <v>#REF!</v>
      </c>
      <c r="I21" s="165" t="e">
        <f t="shared" ca="1" si="7"/>
        <v>#REF!</v>
      </c>
      <c r="J21" s="164" t="e">
        <f t="shared" ca="1" si="8"/>
        <v>#REF!</v>
      </c>
      <c r="K21" s="164" t="e">
        <f t="shared" ca="1" si="9"/>
        <v>#REF!</v>
      </c>
      <c r="L21" s="164" t="e">
        <f t="shared" ca="1" si="10"/>
        <v>#REF!</v>
      </c>
      <c r="M21" s="164" t="e">
        <f t="shared" ca="1" si="11"/>
        <v>#REF!</v>
      </c>
      <c r="N21" s="164" t="e">
        <f t="shared" ca="1" si="12"/>
        <v>#REF!</v>
      </c>
      <c r="O21" s="164" t="e">
        <f t="shared" ca="1" si="13"/>
        <v>#REF!</v>
      </c>
      <c r="P21" s="164" t="e">
        <f t="shared" ca="1" si="14"/>
        <v>#REF!</v>
      </c>
      <c r="Q21" s="164" t="e">
        <f t="shared" ca="1" si="15"/>
        <v>#REF!</v>
      </c>
      <c r="R21" s="164" t="e">
        <f t="shared" ca="1" si="16"/>
        <v>#REF!</v>
      </c>
      <c r="S21" s="164" t="e">
        <f t="shared" ca="1" si="17"/>
        <v>#REF!</v>
      </c>
      <c r="T21" s="164" t="e">
        <f t="shared" ca="1" si="18"/>
        <v>#REF!</v>
      </c>
      <c r="U21" s="164" t="e">
        <f t="shared" ca="1" si="19"/>
        <v>#REF!</v>
      </c>
      <c r="V21" s="164" t="e">
        <f t="shared" ca="1" si="20"/>
        <v>#REF!</v>
      </c>
      <c r="W21" s="164" t="e">
        <f t="shared" ca="1" si="21"/>
        <v>#REF!</v>
      </c>
      <c r="X21" s="164" t="e">
        <f t="shared" ca="1" si="22"/>
        <v>#REF!</v>
      </c>
      <c r="Y21" s="164" t="e">
        <f t="shared" ca="1" si="23"/>
        <v>#REF!</v>
      </c>
      <c r="Z21" s="164" t="e">
        <f t="shared" ca="1" si="24"/>
        <v>#REF!</v>
      </c>
      <c r="AA21" s="164" t="e">
        <f t="shared" ca="1" si="25"/>
        <v>#REF!</v>
      </c>
      <c r="AB21" s="166"/>
    </row>
    <row r="22" spans="1:28" ht="15">
      <c r="A22" s="210" t="s">
        <v>798</v>
      </c>
      <c r="B22" s="164" t="e">
        <f t="shared" ca="1" si="0"/>
        <v>#REF!</v>
      </c>
      <c r="C22" s="164" t="e">
        <f t="shared" ca="1" si="1"/>
        <v>#REF!</v>
      </c>
      <c r="D22" s="164" t="e">
        <f t="shared" ca="1" si="2"/>
        <v>#REF!</v>
      </c>
      <c r="E22" s="164" t="e">
        <f t="shared" ca="1" si="3"/>
        <v>#REF!</v>
      </c>
      <c r="F22" s="164" t="e">
        <f t="shared" ca="1" si="4"/>
        <v>#REF!</v>
      </c>
      <c r="G22" s="165" t="e">
        <f t="shared" ca="1" si="5"/>
        <v>#REF!</v>
      </c>
      <c r="H22" s="165" t="e">
        <f t="shared" ca="1" si="6"/>
        <v>#REF!</v>
      </c>
      <c r="I22" s="165" t="e">
        <f t="shared" ca="1" si="7"/>
        <v>#REF!</v>
      </c>
      <c r="J22" s="164" t="e">
        <f t="shared" ca="1" si="8"/>
        <v>#REF!</v>
      </c>
      <c r="K22" s="164" t="e">
        <f t="shared" ca="1" si="9"/>
        <v>#REF!</v>
      </c>
      <c r="L22" s="164" t="e">
        <f t="shared" ca="1" si="10"/>
        <v>#REF!</v>
      </c>
      <c r="M22" s="164" t="e">
        <f t="shared" ca="1" si="11"/>
        <v>#REF!</v>
      </c>
      <c r="N22" s="164" t="e">
        <f t="shared" ca="1" si="12"/>
        <v>#REF!</v>
      </c>
      <c r="O22" s="164" t="e">
        <f t="shared" ca="1" si="13"/>
        <v>#REF!</v>
      </c>
      <c r="P22" s="164" t="e">
        <f t="shared" ca="1" si="14"/>
        <v>#REF!</v>
      </c>
      <c r="Q22" s="164" t="e">
        <f t="shared" ca="1" si="15"/>
        <v>#REF!</v>
      </c>
      <c r="R22" s="164" t="e">
        <f t="shared" ca="1" si="16"/>
        <v>#REF!</v>
      </c>
      <c r="S22" s="164" t="e">
        <f t="shared" ca="1" si="17"/>
        <v>#REF!</v>
      </c>
      <c r="T22" s="164" t="e">
        <f t="shared" ca="1" si="18"/>
        <v>#REF!</v>
      </c>
      <c r="U22" s="164" t="e">
        <f t="shared" ca="1" si="19"/>
        <v>#REF!</v>
      </c>
      <c r="V22" s="164" t="e">
        <f t="shared" ca="1" si="20"/>
        <v>#REF!</v>
      </c>
      <c r="W22" s="164" t="e">
        <f t="shared" ca="1" si="21"/>
        <v>#REF!</v>
      </c>
      <c r="X22" s="164" t="e">
        <f t="shared" ca="1" si="22"/>
        <v>#REF!</v>
      </c>
      <c r="Y22" s="164" t="e">
        <f t="shared" ca="1" si="23"/>
        <v>#REF!</v>
      </c>
      <c r="Z22" s="164" t="e">
        <f t="shared" ca="1" si="24"/>
        <v>#REF!</v>
      </c>
      <c r="AA22" s="164" t="e">
        <f t="shared" ca="1" si="25"/>
        <v>#REF!</v>
      </c>
      <c r="AB22" s="166"/>
    </row>
    <row r="23" spans="1:28" ht="41.45" customHeight="1">
      <c r="A23" s="210" t="s">
        <v>799</v>
      </c>
      <c r="B23" s="164" t="e">
        <f t="shared" ca="1" si="0"/>
        <v>#REF!</v>
      </c>
      <c r="C23" s="164" t="e">
        <f t="shared" ca="1" si="1"/>
        <v>#REF!</v>
      </c>
      <c r="D23" s="164" t="e">
        <f t="shared" ca="1" si="2"/>
        <v>#REF!</v>
      </c>
      <c r="E23" s="164" t="e">
        <f t="shared" ca="1" si="3"/>
        <v>#REF!</v>
      </c>
      <c r="F23" s="164" t="e">
        <f t="shared" ca="1" si="4"/>
        <v>#REF!</v>
      </c>
      <c r="G23" s="165" t="e">
        <f t="shared" ca="1" si="5"/>
        <v>#REF!</v>
      </c>
      <c r="H23" s="165" t="e">
        <f t="shared" ca="1" si="6"/>
        <v>#REF!</v>
      </c>
      <c r="I23" s="165" t="e">
        <f t="shared" ca="1" si="7"/>
        <v>#REF!</v>
      </c>
      <c r="J23" s="164" t="e">
        <f t="shared" ca="1" si="8"/>
        <v>#REF!</v>
      </c>
      <c r="K23" s="164" t="e">
        <f t="shared" ca="1" si="9"/>
        <v>#REF!</v>
      </c>
      <c r="L23" s="164" t="e">
        <f t="shared" ca="1" si="10"/>
        <v>#REF!</v>
      </c>
      <c r="M23" s="164" t="e">
        <f t="shared" ca="1" si="11"/>
        <v>#REF!</v>
      </c>
      <c r="N23" s="164" t="e">
        <f t="shared" ca="1" si="12"/>
        <v>#REF!</v>
      </c>
      <c r="O23" s="164" t="e">
        <f t="shared" ca="1" si="13"/>
        <v>#REF!</v>
      </c>
      <c r="P23" s="164" t="e">
        <f t="shared" ca="1" si="14"/>
        <v>#REF!</v>
      </c>
      <c r="Q23" s="164" t="e">
        <f t="shared" ca="1" si="15"/>
        <v>#REF!</v>
      </c>
      <c r="R23" s="164" t="e">
        <f t="shared" ca="1" si="16"/>
        <v>#REF!</v>
      </c>
      <c r="S23" s="164" t="e">
        <f t="shared" ca="1" si="17"/>
        <v>#REF!</v>
      </c>
      <c r="T23" s="164" t="e">
        <f t="shared" ca="1" si="18"/>
        <v>#REF!</v>
      </c>
      <c r="U23" s="164" t="e">
        <f t="shared" ca="1" si="19"/>
        <v>#REF!</v>
      </c>
      <c r="V23" s="164" t="e">
        <f t="shared" ca="1" si="20"/>
        <v>#REF!</v>
      </c>
      <c r="W23" s="164" t="e">
        <f t="shared" ca="1" si="21"/>
        <v>#REF!</v>
      </c>
      <c r="X23" s="164" t="e">
        <f t="shared" ca="1" si="22"/>
        <v>#REF!</v>
      </c>
      <c r="Y23" s="164" t="e">
        <f t="shared" ca="1" si="23"/>
        <v>#REF!</v>
      </c>
      <c r="Z23" s="164" t="e">
        <f t="shared" ca="1" si="24"/>
        <v>#REF!</v>
      </c>
      <c r="AA23" s="164" t="e">
        <f t="shared" ca="1" si="25"/>
        <v>#REF!</v>
      </c>
      <c r="AB23" s="166"/>
    </row>
    <row r="24" spans="1:28" ht="41.45" customHeight="1">
      <c r="A24" s="210" t="s">
        <v>800</v>
      </c>
      <c r="B24" s="164" t="e">
        <f t="shared" ca="1" si="0"/>
        <v>#REF!</v>
      </c>
      <c r="C24" s="164" t="e">
        <f t="shared" ca="1" si="1"/>
        <v>#REF!</v>
      </c>
      <c r="D24" s="164" t="e">
        <f t="shared" ca="1" si="2"/>
        <v>#REF!</v>
      </c>
      <c r="E24" s="164" t="e">
        <f t="shared" ca="1" si="3"/>
        <v>#REF!</v>
      </c>
      <c r="F24" s="164" t="e">
        <f t="shared" ca="1" si="4"/>
        <v>#REF!</v>
      </c>
      <c r="G24" s="165" t="e">
        <f t="shared" ca="1" si="5"/>
        <v>#REF!</v>
      </c>
      <c r="H24" s="165" t="e">
        <f t="shared" ca="1" si="6"/>
        <v>#REF!</v>
      </c>
      <c r="I24" s="165" t="e">
        <f t="shared" ca="1" si="7"/>
        <v>#REF!</v>
      </c>
      <c r="J24" s="164" t="e">
        <f t="shared" ca="1" si="8"/>
        <v>#REF!</v>
      </c>
      <c r="K24" s="164" t="e">
        <f t="shared" ca="1" si="9"/>
        <v>#REF!</v>
      </c>
      <c r="L24" s="164" t="e">
        <f t="shared" ca="1" si="10"/>
        <v>#REF!</v>
      </c>
      <c r="M24" s="164" t="e">
        <f t="shared" ca="1" si="11"/>
        <v>#REF!</v>
      </c>
      <c r="N24" s="164" t="e">
        <f t="shared" ca="1" si="12"/>
        <v>#REF!</v>
      </c>
      <c r="O24" s="164" t="e">
        <f t="shared" ca="1" si="13"/>
        <v>#REF!</v>
      </c>
      <c r="P24" s="164" t="e">
        <f t="shared" ca="1" si="14"/>
        <v>#REF!</v>
      </c>
      <c r="Q24" s="164" t="e">
        <f t="shared" ca="1" si="15"/>
        <v>#REF!</v>
      </c>
      <c r="R24" s="164" t="e">
        <f t="shared" ca="1" si="16"/>
        <v>#REF!</v>
      </c>
      <c r="S24" s="164" t="e">
        <f t="shared" ca="1" si="17"/>
        <v>#REF!</v>
      </c>
      <c r="T24" s="164" t="e">
        <f t="shared" ca="1" si="18"/>
        <v>#REF!</v>
      </c>
      <c r="U24" s="164" t="e">
        <f t="shared" ca="1" si="19"/>
        <v>#REF!</v>
      </c>
      <c r="V24" s="164" t="e">
        <f t="shared" ca="1" si="20"/>
        <v>#REF!</v>
      </c>
      <c r="W24" s="164" t="e">
        <f t="shared" ca="1" si="21"/>
        <v>#REF!</v>
      </c>
      <c r="X24" s="164" t="e">
        <f t="shared" ca="1" si="22"/>
        <v>#REF!</v>
      </c>
      <c r="Y24" s="164" t="e">
        <f t="shared" ca="1" si="23"/>
        <v>#REF!</v>
      </c>
      <c r="Z24" s="164" t="e">
        <f t="shared" ca="1" si="24"/>
        <v>#REF!</v>
      </c>
      <c r="AA24" s="164" t="e">
        <f t="shared" ca="1" si="25"/>
        <v>#REF!</v>
      </c>
      <c r="AB24" s="166"/>
    </row>
    <row r="25" spans="1:28" ht="15">
      <c r="A25" s="210" t="s">
        <v>801</v>
      </c>
      <c r="B25" s="164" t="e">
        <f t="shared" ca="1" si="0"/>
        <v>#REF!</v>
      </c>
      <c r="C25" s="164" t="e">
        <f t="shared" ca="1" si="1"/>
        <v>#REF!</v>
      </c>
      <c r="D25" s="164" t="e">
        <f t="shared" ca="1" si="2"/>
        <v>#REF!</v>
      </c>
      <c r="E25" s="164" t="e">
        <f t="shared" ca="1" si="3"/>
        <v>#REF!</v>
      </c>
      <c r="F25" s="164" t="e">
        <f t="shared" ca="1" si="4"/>
        <v>#REF!</v>
      </c>
      <c r="G25" s="165" t="e">
        <f t="shared" ca="1" si="5"/>
        <v>#REF!</v>
      </c>
      <c r="H25" s="165" t="e">
        <f t="shared" ca="1" si="6"/>
        <v>#REF!</v>
      </c>
      <c r="I25" s="165" t="e">
        <f t="shared" ca="1" si="7"/>
        <v>#REF!</v>
      </c>
      <c r="J25" s="164" t="e">
        <f t="shared" ca="1" si="8"/>
        <v>#REF!</v>
      </c>
      <c r="K25" s="164" t="e">
        <f t="shared" ca="1" si="9"/>
        <v>#REF!</v>
      </c>
      <c r="L25" s="164" t="e">
        <f t="shared" ca="1" si="10"/>
        <v>#REF!</v>
      </c>
      <c r="M25" s="164" t="e">
        <f t="shared" ca="1" si="11"/>
        <v>#REF!</v>
      </c>
      <c r="N25" s="164" t="e">
        <f t="shared" ca="1" si="12"/>
        <v>#REF!</v>
      </c>
      <c r="O25" s="164" t="e">
        <f t="shared" ca="1" si="13"/>
        <v>#REF!</v>
      </c>
      <c r="P25" s="164" t="e">
        <f t="shared" ca="1" si="14"/>
        <v>#REF!</v>
      </c>
      <c r="Q25" s="164" t="e">
        <f t="shared" ca="1" si="15"/>
        <v>#REF!</v>
      </c>
      <c r="R25" s="164" t="e">
        <f t="shared" ca="1" si="16"/>
        <v>#REF!</v>
      </c>
      <c r="S25" s="164" t="e">
        <f t="shared" ca="1" si="17"/>
        <v>#REF!</v>
      </c>
      <c r="T25" s="164" t="e">
        <f t="shared" ca="1" si="18"/>
        <v>#REF!</v>
      </c>
      <c r="U25" s="164" t="e">
        <f t="shared" ca="1" si="19"/>
        <v>#REF!</v>
      </c>
      <c r="V25" s="164" t="e">
        <f t="shared" ca="1" si="20"/>
        <v>#REF!</v>
      </c>
      <c r="W25" s="164" t="e">
        <f t="shared" ca="1" si="21"/>
        <v>#REF!</v>
      </c>
      <c r="X25" s="164" t="e">
        <f t="shared" ca="1" si="22"/>
        <v>#REF!</v>
      </c>
      <c r="Y25" s="164" t="e">
        <f t="shared" ca="1" si="23"/>
        <v>#REF!</v>
      </c>
      <c r="Z25" s="164" t="e">
        <f t="shared" ca="1" si="24"/>
        <v>#REF!</v>
      </c>
      <c r="AA25" s="164" t="e">
        <f t="shared" ca="1" si="25"/>
        <v>#REF!</v>
      </c>
      <c r="AB25" s="166"/>
    </row>
    <row r="26" spans="1:28" ht="41.25" customHeight="1">
      <c r="A26" s="210" t="s">
        <v>802</v>
      </c>
      <c r="B26" s="164" t="e">
        <f t="shared" ca="1" si="0"/>
        <v>#REF!</v>
      </c>
      <c r="C26" s="164" t="e">
        <f t="shared" ca="1" si="1"/>
        <v>#REF!</v>
      </c>
      <c r="D26" s="164" t="e">
        <f t="shared" ca="1" si="2"/>
        <v>#REF!</v>
      </c>
      <c r="E26" s="164" t="e">
        <f t="shared" ca="1" si="3"/>
        <v>#REF!</v>
      </c>
      <c r="F26" s="164" t="e">
        <f t="shared" ca="1" si="4"/>
        <v>#REF!</v>
      </c>
      <c r="G26" s="165" t="e">
        <f t="shared" ca="1" si="5"/>
        <v>#REF!</v>
      </c>
      <c r="H26" s="165" t="e">
        <f t="shared" ca="1" si="6"/>
        <v>#REF!</v>
      </c>
      <c r="I26" s="165" t="e">
        <f t="shared" ca="1" si="7"/>
        <v>#REF!</v>
      </c>
      <c r="J26" s="164" t="e">
        <f t="shared" ca="1" si="8"/>
        <v>#REF!</v>
      </c>
      <c r="K26" s="164" t="e">
        <f t="shared" ca="1" si="9"/>
        <v>#REF!</v>
      </c>
      <c r="L26" s="164" t="e">
        <f t="shared" ca="1" si="10"/>
        <v>#REF!</v>
      </c>
      <c r="M26" s="164" t="e">
        <f t="shared" ca="1" si="11"/>
        <v>#REF!</v>
      </c>
      <c r="N26" s="164" t="e">
        <f t="shared" ca="1" si="12"/>
        <v>#REF!</v>
      </c>
      <c r="O26" s="164" t="e">
        <f t="shared" ca="1" si="13"/>
        <v>#REF!</v>
      </c>
      <c r="P26" s="164" t="e">
        <f t="shared" ca="1" si="14"/>
        <v>#REF!</v>
      </c>
      <c r="Q26" s="164" t="e">
        <f t="shared" ca="1" si="15"/>
        <v>#REF!</v>
      </c>
      <c r="R26" s="164" t="e">
        <f t="shared" ca="1" si="16"/>
        <v>#REF!</v>
      </c>
      <c r="S26" s="164" t="e">
        <f t="shared" ca="1" si="17"/>
        <v>#REF!</v>
      </c>
      <c r="T26" s="164" t="e">
        <f t="shared" ca="1" si="18"/>
        <v>#REF!</v>
      </c>
      <c r="U26" s="164" t="e">
        <f t="shared" ca="1" si="19"/>
        <v>#REF!</v>
      </c>
      <c r="V26" s="164" t="e">
        <f t="shared" ca="1" si="20"/>
        <v>#REF!</v>
      </c>
      <c r="W26" s="164" t="e">
        <f t="shared" ca="1" si="21"/>
        <v>#REF!</v>
      </c>
      <c r="X26" s="164" t="e">
        <f t="shared" ca="1" si="22"/>
        <v>#REF!</v>
      </c>
      <c r="Y26" s="164" t="e">
        <f t="shared" ca="1" si="23"/>
        <v>#REF!</v>
      </c>
      <c r="Z26" s="164" t="e">
        <f t="shared" ca="1" si="24"/>
        <v>#REF!</v>
      </c>
      <c r="AA26" s="164" t="e">
        <f t="shared" ca="1" si="25"/>
        <v>#REF!</v>
      </c>
      <c r="AB26" s="166"/>
    </row>
    <row r="27" spans="1:28" ht="41.45" customHeight="1">
      <c r="A27" s="210" t="s">
        <v>803</v>
      </c>
      <c r="B27" s="164" t="e">
        <f t="shared" ca="1" si="0"/>
        <v>#REF!</v>
      </c>
      <c r="C27" s="164" t="e">
        <f t="shared" ca="1" si="1"/>
        <v>#REF!</v>
      </c>
      <c r="D27" s="164" t="e">
        <f t="shared" ca="1" si="2"/>
        <v>#REF!</v>
      </c>
      <c r="E27" s="164" t="e">
        <f t="shared" ca="1" si="3"/>
        <v>#REF!</v>
      </c>
      <c r="F27" s="164" t="e">
        <f t="shared" ca="1" si="4"/>
        <v>#REF!</v>
      </c>
      <c r="G27" s="165" t="e">
        <f t="shared" ca="1" si="5"/>
        <v>#REF!</v>
      </c>
      <c r="H27" s="165" t="e">
        <f t="shared" ca="1" si="6"/>
        <v>#REF!</v>
      </c>
      <c r="I27" s="165" t="e">
        <f t="shared" ca="1" si="7"/>
        <v>#REF!</v>
      </c>
      <c r="J27" s="164" t="e">
        <f t="shared" ca="1" si="8"/>
        <v>#REF!</v>
      </c>
      <c r="K27" s="164" t="e">
        <f t="shared" ca="1" si="9"/>
        <v>#REF!</v>
      </c>
      <c r="L27" s="164" t="e">
        <f t="shared" ca="1" si="10"/>
        <v>#REF!</v>
      </c>
      <c r="M27" s="164" t="e">
        <f t="shared" ca="1" si="11"/>
        <v>#REF!</v>
      </c>
      <c r="N27" s="164" t="e">
        <f t="shared" ca="1" si="12"/>
        <v>#REF!</v>
      </c>
      <c r="O27" s="164" t="e">
        <f t="shared" ca="1" si="13"/>
        <v>#REF!</v>
      </c>
      <c r="P27" s="164" t="e">
        <f t="shared" ca="1" si="14"/>
        <v>#REF!</v>
      </c>
      <c r="Q27" s="164" t="e">
        <f t="shared" ca="1" si="15"/>
        <v>#REF!</v>
      </c>
      <c r="R27" s="164" t="e">
        <f t="shared" ca="1" si="16"/>
        <v>#REF!</v>
      </c>
      <c r="S27" s="164" t="e">
        <f t="shared" ca="1" si="17"/>
        <v>#REF!</v>
      </c>
      <c r="T27" s="164" t="e">
        <f t="shared" ca="1" si="18"/>
        <v>#REF!</v>
      </c>
      <c r="U27" s="164" t="e">
        <f t="shared" ca="1" si="19"/>
        <v>#REF!</v>
      </c>
      <c r="V27" s="164" t="e">
        <f t="shared" ca="1" si="20"/>
        <v>#REF!</v>
      </c>
      <c r="W27" s="164" t="e">
        <f t="shared" ca="1" si="21"/>
        <v>#REF!</v>
      </c>
      <c r="X27" s="164" t="e">
        <f t="shared" ca="1" si="22"/>
        <v>#REF!</v>
      </c>
      <c r="Y27" s="164" t="e">
        <f t="shared" ca="1" si="23"/>
        <v>#REF!</v>
      </c>
      <c r="Z27" s="164" t="e">
        <f t="shared" ca="1" si="24"/>
        <v>#REF!</v>
      </c>
      <c r="AA27" s="164" t="e">
        <f t="shared" ca="1" si="25"/>
        <v>#REF!</v>
      </c>
      <c r="AB27" s="166"/>
    </row>
    <row r="28" spans="1:28" ht="41.45" customHeight="1">
      <c r="A28" s="210" t="s">
        <v>804</v>
      </c>
      <c r="B28" s="164" t="e">
        <f t="shared" ca="1" si="0"/>
        <v>#REF!</v>
      </c>
      <c r="C28" s="164" t="e">
        <f t="shared" ca="1" si="1"/>
        <v>#REF!</v>
      </c>
      <c r="D28" s="164" t="e">
        <f t="shared" ca="1" si="2"/>
        <v>#REF!</v>
      </c>
      <c r="E28" s="164" t="e">
        <f t="shared" ca="1" si="3"/>
        <v>#REF!</v>
      </c>
      <c r="F28" s="164" t="e">
        <f t="shared" ca="1" si="4"/>
        <v>#REF!</v>
      </c>
      <c r="G28" s="165" t="e">
        <f t="shared" ca="1" si="5"/>
        <v>#REF!</v>
      </c>
      <c r="H28" s="165" t="e">
        <f t="shared" ca="1" si="6"/>
        <v>#REF!</v>
      </c>
      <c r="I28" s="165" t="e">
        <f t="shared" ca="1" si="7"/>
        <v>#REF!</v>
      </c>
      <c r="J28" s="164" t="e">
        <f t="shared" ca="1" si="8"/>
        <v>#REF!</v>
      </c>
      <c r="K28" s="164" t="e">
        <f t="shared" ca="1" si="9"/>
        <v>#REF!</v>
      </c>
      <c r="L28" s="164" t="e">
        <f t="shared" ca="1" si="10"/>
        <v>#REF!</v>
      </c>
      <c r="M28" s="164" t="e">
        <f t="shared" ca="1" si="11"/>
        <v>#REF!</v>
      </c>
      <c r="N28" s="164" t="e">
        <f t="shared" ca="1" si="12"/>
        <v>#REF!</v>
      </c>
      <c r="O28" s="164" t="e">
        <f t="shared" ca="1" si="13"/>
        <v>#REF!</v>
      </c>
      <c r="P28" s="164" t="e">
        <f t="shared" ca="1" si="14"/>
        <v>#REF!</v>
      </c>
      <c r="Q28" s="164" t="e">
        <f t="shared" ca="1" si="15"/>
        <v>#REF!</v>
      </c>
      <c r="R28" s="164" t="e">
        <f t="shared" ca="1" si="16"/>
        <v>#REF!</v>
      </c>
      <c r="S28" s="164" t="e">
        <f t="shared" ca="1" si="17"/>
        <v>#REF!</v>
      </c>
      <c r="T28" s="164" t="e">
        <f t="shared" ca="1" si="18"/>
        <v>#REF!</v>
      </c>
      <c r="U28" s="164" t="e">
        <f t="shared" ca="1" si="19"/>
        <v>#REF!</v>
      </c>
      <c r="V28" s="164" t="e">
        <f t="shared" ca="1" si="20"/>
        <v>#REF!</v>
      </c>
      <c r="W28" s="164" t="e">
        <f t="shared" ca="1" si="21"/>
        <v>#REF!</v>
      </c>
      <c r="X28" s="164" t="e">
        <f t="shared" ca="1" si="22"/>
        <v>#REF!</v>
      </c>
      <c r="Y28" s="164" t="e">
        <f t="shared" ca="1" si="23"/>
        <v>#REF!</v>
      </c>
      <c r="Z28" s="164" t="e">
        <f t="shared" ca="1" si="24"/>
        <v>#REF!</v>
      </c>
      <c r="AA28" s="164" t="e">
        <f t="shared" ca="1" si="25"/>
        <v>#REF!</v>
      </c>
      <c r="AB28" s="166"/>
    </row>
    <row r="29" spans="1:28" ht="41.45" customHeight="1">
      <c r="A29" s="210" t="s">
        <v>805</v>
      </c>
      <c r="B29" s="164" t="e">
        <f t="shared" ca="1" si="0"/>
        <v>#REF!</v>
      </c>
      <c r="C29" s="164" t="e">
        <f t="shared" ca="1" si="1"/>
        <v>#REF!</v>
      </c>
      <c r="D29" s="164" t="e">
        <f t="shared" ca="1" si="2"/>
        <v>#REF!</v>
      </c>
      <c r="E29" s="164" t="e">
        <f t="shared" ca="1" si="3"/>
        <v>#REF!</v>
      </c>
      <c r="F29" s="164" t="e">
        <f t="shared" ca="1" si="4"/>
        <v>#REF!</v>
      </c>
      <c r="G29" s="165" t="e">
        <f t="shared" ca="1" si="5"/>
        <v>#REF!</v>
      </c>
      <c r="H29" s="165" t="e">
        <f t="shared" ca="1" si="6"/>
        <v>#REF!</v>
      </c>
      <c r="I29" s="165" t="e">
        <f t="shared" ca="1" si="7"/>
        <v>#REF!</v>
      </c>
      <c r="J29" s="164" t="e">
        <f t="shared" ca="1" si="8"/>
        <v>#REF!</v>
      </c>
      <c r="K29" s="164" t="e">
        <f t="shared" ca="1" si="9"/>
        <v>#REF!</v>
      </c>
      <c r="L29" s="164" t="e">
        <f t="shared" ca="1" si="10"/>
        <v>#REF!</v>
      </c>
      <c r="M29" s="164" t="e">
        <f t="shared" ca="1" si="11"/>
        <v>#REF!</v>
      </c>
      <c r="N29" s="164" t="e">
        <f t="shared" ca="1" si="12"/>
        <v>#REF!</v>
      </c>
      <c r="O29" s="164" t="e">
        <f t="shared" ca="1" si="13"/>
        <v>#REF!</v>
      </c>
      <c r="P29" s="164" t="e">
        <f t="shared" ca="1" si="14"/>
        <v>#REF!</v>
      </c>
      <c r="Q29" s="164" t="e">
        <f t="shared" ca="1" si="15"/>
        <v>#REF!</v>
      </c>
      <c r="R29" s="164" t="e">
        <f t="shared" ca="1" si="16"/>
        <v>#REF!</v>
      </c>
      <c r="S29" s="164" t="e">
        <f t="shared" ca="1" si="17"/>
        <v>#REF!</v>
      </c>
      <c r="T29" s="164" t="e">
        <f t="shared" ca="1" si="18"/>
        <v>#REF!</v>
      </c>
      <c r="U29" s="164" t="e">
        <f t="shared" ca="1" si="19"/>
        <v>#REF!</v>
      </c>
      <c r="V29" s="164" t="e">
        <f t="shared" ca="1" si="20"/>
        <v>#REF!</v>
      </c>
      <c r="W29" s="164" t="e">
        <f t="shared" ca="1" si="21"/>
        <v>#REF!</v>
      </c>
      <c r="X29" s="164" t="e">
        <f t="shared" ca="1" si="22"/>
        <v>#REF!</v>
      </c>
      <c r="Y29" s="164" t="e">
        <f t="shared" ca="1" si="23"/>
        <v>#REF!</v>
      </c>
      <c r="Z29" s="164" t="e">
        <f t="shared" ca="1" si="24"/>
        <v>#REF!</v>
      </c>
      <c r="AA29" s="164" t="e">
        <f t="shared" ca="1" si="25"/>
        <v>#REF!</v>
      </c>
      <c r="AB29" s="166"/>
    </row>
    <row r="30" spans="1:28" ht="41.45" customHeight="1">
      <c r="A30" s="210" t="s">
        <v>806</v>
      </c>
      <c r="B30" s="164" t="e">
        <f t="shared" ca="1" si="0"/>
        <v>#REF!</v>
      </c>
      <c r="C30" s="164" t="e">
        <f t="shared" ca="1" si="1"/>
        <v>#REF!</v>
      </c>
      <c r="D30" s="164" t="e">
        <f t="shared" ca="1" si="2"/>
        <v>#REF!</v>
      </c>
      <c r="E30" s="164" t="e">
        <f t="shared" ca="1" si="3"/>
        <v>#REF!</v>
      </c>
      <c r="F30" s="164" t="e">
        <f t="shared" ca="1" si="4"/>
        <v>#REF!</v>
      </c>
      <c r="G30" s="165" t="e">
        <f t="shared" ca="1" si="5"/>
        <v>#REF!</v>
      </c>
      <c r="H30" s="165" t="e">
        <f t="shared" ca="1" si="6"/>
        <v>#REF!</v>
      </c>
      <c r="I30" s="165" t="e">
        <f t="shared" ca="1" si="7"/>
        <v>#REF!</v>
      </c>
      <c r="J30" s="164" t="e">
        <f t="shared" ca="1" si="8"/>
        <v>#REF!</v>
      </c>
      <c r="K30" s="164" t="e">
        <f t="shared" ca="1" si="9"/>
        <v>#REF!</v>
      </c>
      <c r="L30" s="164" t="e">
        <f t="shared" ca="1" si="10"/>
        <v>#REF!</v>
      </c>
      <c r="M30" s="164" t="e">
        <f t="shared" ca="1" si="11"/>
        <v>#REF!</v>
      </c>
      <c r="N30" s="164" t="e">
        <f t="shared" ca="1" si="12"/>
        <v>#REF!</v>
      </c>
      <c r="O30" s="164" t="e">
        <f t="shared" ca="1" si="13"/>
        <v>#REF!</v>
      </c>
      <c r="P30" s="164" t="e">
        <f t="shared" ca="1" si="14"/>
        <v>#REF!</v>
      </c>
      <c r="Q30" s="164" t="e">
        <f t="shared" ca="1" si="15"/>
        <v>#REF!</v>
      </c>
      <c r="R30" s="164" t="e">
        <f t="shared" ca="1" si="16"/>
        <v>#REF!</v>
      </c>
      <c r="S30" s="164" t="e">
        <f t="shared" ca="1" si="17"/>
        <v>#REF!</v>
      </c>
      <c r="T30" s="164" t="e">
        <f t="shared" ca="1" si="18"/>
        <v>#REF!</v>
      </c>
      <c r="U30" s="164" t="e">
        <f t="shared" ca="1" si="19"/>
        <v>#REF!</v>
      </c>
      <c r="V30" s="164" t="e">
        <f t="shared" ca="1" si="20"/>
        <v>#REF!</v>
      </c>
      <c r="W30" s="164" t="e">
        <f t="shared" ca="1" si="21"/>
        <v>#REF!</v>
      </c>
      <c r="X30" s="164" t="e">
        <f t="shared" ca="1" si="22"/>
        <v>#REF!</v>
      </c>
      <c r="Y30" s="164" t="e">
        <f t="shared" ca="1" si="23"/>
        <v>#REF!</v>
      </c>
      <c r="Z30" s="164" t="e">
        <f t="shared" ca="1" si="24"/>
        <v>#REF!</v>
      </c>
      <c r="AA30" s="164" t="e">
        <f t="shared" ca="1" si="25"/>
        <v>#REF!</v>
      </c>
      <c r="AB30" s="166"/>
    </row>
    <row r="31" spans="1:28" ht="41.45" customHeight="1">
      <c r="A31" s="210" t="s">
        <v>807</v>
      </c>
      <c r="B31" s="164" t="e">
        <f t="shared" ca="1" si="0"/>
        <v>#REF!</v>
      </c>
      <c r="C31" s="164" t="e">
        <f t="shared" ca="1" si="1"/>
        <v>#REF!</v>
      </c>
      <c r="D31" s="164" t="e">
        <f t="shared" ca="1" si="2"/>
        <v>#REF!</v>
      </c>
      <c r="E31" s="164" t="e">
        <f t="shared" ca="1" si="3"/>
        <v>#REF!</v>
      </c>
      <c r="F31" s="164" t="e">
        <f t="shared" ca="1" si="4"/>
        <v>#REF!</v>
      </c>
      <c r="G31" s="165" t="e">
        <f t="shared" ca="1" si="5"/>
        <v>#REF!</v>
      </c>
      <c r="H31" s="165" t="e">
        <f t="shared" ca="1" si="6"/>
        <v>#REF!</v>
      </c>
      <c r="I31" s="165" t="e">
        <f t="shared" ca="1" si="7"/>
        <v>#REF!</v>
      </c>
      <c r="J31" s="164" t="e">
        <f t="shared" ca="1" si="8"/>
        <v>#REF!</v>
      </c>
      <c r="K31" s="164" t="e">
        <f t="shared" ca="1" si="9"/>
        <v>#REF!</v>
      </c>
      <c r="L31" s="164" t="e">
        <f t="shared" ca="1" si="10"/>
        <v>#REF!</v>
      </c>
      <c r="M31" s="164" t="e">
        <f t="shared" ca="1" si="11"/>
        <v>#REF!</v>
      </c>
      <c r="N31" s="164" t="e">
        <f t="shared" ca="1" si="12"/>
        <v>#REF!</v>
      </c>
      <c r="O31" s="164" t="e">
        <f t="shared" ca="1" si="13"/>
        <v>#REF!</v>
      </c>
      <c r="P31" s="164" t="e">
        <f t="shared" ca="1" si="14"/>
        <v>#REF!</v>
      </c>
      <c r="Q31" s="164" t="e">
        <f t="shared" ca="1" si="15"/>
        <v>#REF!</v>
      </c>
      <c r="R31" s="164" t="e">
        <f t="shared" ca="1" si="16"/>
        <v>#REF!</v>
      </c>
      <c r="S31" s="164" t="e">
        <f t="shared" ca="1" si="17"/>
        <v>#REF!</v>
      </c>
      <c r="T31" s="164" t="e">
        <f t="shared" ca="1" si="18"/>
        <v>#REF!</v>
      </c>
      <c r="U31" s="164" t="e">
        <f t="shared" ca="1" si="19"/>
        <v>#REF!</v>
      </c>
      <c r="V31" s="164" t="e">
        <f t="shared" ca="1" si="20"/>
        <v>#REF!</v>
      </c>
      <c r="W31" s="164" t="e">
        <f t="shared" ca="1" si="21"/>
        <v>#REF!</v>
      </c>
      <c r="X31" s="164" t="e">
        <f t="shared" ca="1" si="22"/>
        <v>#REF!</v>
      </c>
      <c r="Y31" s="164" t="e">
        <f t="shared" ca="1" si="23"/>
        <v>#REF!</v>
      </c>
      <c r="Z31" s="164" t="e">
        <f t="shared" ca="1" si="24"/>
        <v>#REF!</v>
      </c>
      <c r="AA31" s="164" t="e">
        <f t="shared" ca="1" si="25"/>
        <v>#REF!</v>
      </c>
      <c r="AB31" s="166"/>
    </row>
    <row r="32" spans="1:28" ht="41.45" customHeight="1">
      <c r="A32" s="210" t="s">
        <v>808</v>
      </c>
      <c r="B32" s="164" t="e">
        <f t="shared" ca="1" si="0"/>
        <v>#REF!</v>
      </c>
      <c r="C32" s="164" t="e">
        <f t="shared" ca="1" si="1"/>
        <v>#REF!</v>
      </c>
      <c r="D32" s="164" t="e">
        <f t="shared" ca="1" si="2"/>
        <v>#REF!</v>
      </c>
      <c r="E32" s="164" t="e">
        <f t="shared" ca="1" si="3"/>
        <v>#REF!</v>
      </c>
      <c r="F32" s="164" t="e">
        <f t="shared" ca="1" si="4"/>
        <v>#REF!</v>
      </c>
      <c r="G32" s="165" t="e">
        <f t="shared" ca="1" si="5"/>
        <v>#REF!</v>
      </c>
      <c r="H32" s="165" t="e">
        <f t="shared" ca="1" si="6"/>
        <v>#REF!</v>
      </c>
      <c r="I32" s="165" t="e">
        <f t="shared" ca="1" si="7"/>
        <v>#REF!</v>
      </c>
      <c r="J32" s="164" t="e">
        <f t="shared" ca="1" si="8"/>
        <v>#REF!</v>
      </c>
      <c r="K32" s="164" t="e">
        <f t="shared" ca="1" si="9"/>
        <v>#REF!</v>
      </c>
      <c r="L32" s="164" t="e">
        <f t="shared" ca="1" si="10"/>
        <v>#REF!</v>
      </c>
      <c r="M32" s="164" t="e">
        <f t="shared" ca="1" si="11"/>
        <v>#REF!</v>
      </c>
      <c r="N32" s="164" t="e">
        <f t="shared" ca="1" si="12"/>
        <v>#REF!</v>
      </c>
      <c r="O32" s="164" t="e">
        <f t="shared" ca="1" si="13"/>
        <v>#REF!</v>
      </c>
      <c r="P32" s="164" t="e">
        <f t="shared" ca="1" si="14"/>
        <v>#REF!</v>
      </c>
      <c r="Q32" s="164" t="e">
        <f t="shared" ca="1" si="15"/>
        <v>#REF!</v>
      </c>
      <c r="R32" s="164" t="e">
        <f t="shared" ca="1" si="16"/>
        <v>#REF!</v>
      </c>
      <c r="S32" s="164" t="e">
        <f t="shared" ca="1" si="17"/>
        <v>#REF!</v>
      </c>
      <c r="T32" s="164" t="e">
        <f t="shared" ca="1" si="18"/>
        <v>#REF!</v>
      </c>
      <c r="U32" s="164" t="e">
        <f t="shared" ca="1" si="19"/>
        <v>#REF!</v>
      </c>
      <c r="V32" s="164" t="e">
        <f t="shared" ca="1" si="20"/>
        <v>#REF!</v>
      </c>
      <c r="W32" s="164" t="e">
        <f t="shared" ca="1" si="21"/>
        <v>#REF!</v>
      </c>
      <c r="X32" s="164" t="e">
        <f t="shared" ca="1" si="22"/>
        <v>#REF!</v>
      </c>
      <c r="Y32" s="164" t="e">
        <f t="shared" ca="1" si="23"/>
        <v>#REF!</v>
      </c>
      <c r="Z32" s="164" t="e">
        <f t="shared" ca="1" si="24"/>
        <v>#REF!</v>
      </c>
      <c r="AA32" s="164" t="e">
        <f t="shared" ca="1" si="25"/>
        <v>#REF!</v>
      </c>
      <c r="AB32" s="166"/>
    </row>
    <row r="33" spans="1:28" ht="41.45" customHeight="1">
      <c r="A33" s="210" t="s">
        <v>809</v>
      </c>
      <c r="B33" s="164" t="e">
        <f t="shared" ca="1" si="0"/>
        <v>#REF!</v>
      </c>
      <c r="C33" s="164" t="e">
        <f t="shared" ca="1" si="1"/>
        <v>#REF!</v>
      </c>
      <c r="D33" s="164" t="e">
        <f t="shared" ca="1" si="2"/>
        <v>#REF!</v>
      </c>
      <c r="E33" s="164" t="e">
        <f t="shared" ca="1" si="3"/>
        <v>#REF!</v>
      </c>
      <c r="F33" s="164" t="e">
        <f t="shared" ca="1" si="4"/>
        <v>#REF!</v>
      </c>
      <c r="G33" s="165" t="e">
        <f t="shared" ca="1" si="5"/>
        <v>#REF!</v>
      </c>
      <c r="H33" s="165" t="e">
        <f t="shared" ca="1" si="6"/>
        <v>#REF!</v>
      </c>
      <c r="I33" s="165" t="e">
        <f t="shared" ca="1" si="7"/>
        <v>#REF!</v>
      </c>
      <c r="J33" s="164" t="e">
        <f t="shared" ca="1" si="8"/>
        <v>#REF!</v>
      </c>
      <c r="K33" s="164" t="e">
        <f t="shared" ca="1" si="9"/>
        <v>#REF!</v>
      </c>
      <c r="L33" s="164" t="e">
        <f t="shared" ca="1" si="10"/>
        <v>#REF!</v>
      </c>
      <c r="M33" s="164" t="e">
        <f t="shared" ca="1" si="11"/>
        <v>#REF!</v>
      </c>
      <c r="N33" s="164" t="e">
        <f t="shared" ca="1" si="12"/>
        <v>#REF!</v>
      </c>
      <c r="O33" s="164" t="e">
        <f t="shared" ca="1" si="13"/>
        <v>#REF!</v>
      </c>
      <c r="P33" s="164" t="e">
        <f t="shared" ca="1" si="14"/>
        <v>#REF!</v>
      </c>
      <c r="Q33" s="164" t="e">
        <f t="shared" ca="1" si="15"/>
        <v>#REF!</v>
      </c>
      <c r="R33" s="164" t="e">
        <f t="shared" ca="1" si="16"/>
        <v>#REF!</v>
      </c>
      <c r="S33" s="164" t="e">
        <f t="shared" ca="1" si="17"/>
        <v>#REF!</v>
      </c>
      <c r="T33" s="164" t="e">
        <f t="shared" ca="1" si="18"/>
        <v>#REF!</v>
      </c>
      <c r="U33" s="164" t="e">
        <f t="shared" ca="1" si="19"/>
        <v>#REF!</v>
      </c>
      <c r="V33" s="164" t="e">
        <f t="shared" ca="1" si="20"/>
        <v>#REF!</v>
      </c>
      <c r="W33" s="164" t="e">
        <f t="shared" ca="1" si="21"/>
        <v>#REF!</v>
      </c>
      <c r="X33" s="164" t="e">
        <f t="shared" ca="1" si="22"/>
        <v>#REF!</v>
      </c>
      <c r="Y33" s="164" t="e">
        <f t="shared" ca="1" si="23"/>
        <v>#REF!</v>
      </c>
      <c r="Z33" s="164" t="e">
        <f t="shared" ca="1" si="24"/>
        <v>#REF!</v>
      </c>
      <c r="AA33" s="164" t="e">
        <f t="shared" ca="1" si="25"/>
        <v>#REF!</v>
      </c>
      <c r="AB33" s="166"/>
    </row>
    <row r="34" spans="1:28" ht="41.45" customHeight="1">
      <c r="A34" s="210" t="s">
        <v>810</v>
      </c>
      <c r="B34" s="164" t="e">
        <f t="shared" ca="1" si="0"/>
        <v>#REF!</v>
      </c>
      <c r="C34" s="164" t="e">
        <f t="shared" ca="1" si="1"/>
        <v>#REF!</v>
      </c>
      <c r="D34" s="164" t="e">
        <f t="shared" ca="1" si="2"/>
        <v>#REF!</v>
      </c>
      <c r="E34" s="164" t="e">
        <f t="shared" ca="1" si="3"/>
        <v>#REF!</v>
      </c>
      <c r="F34" s="164" t="e">
        <f t="shared" ca="1" si="4"/>
        <v>#REF!</v>
      </c>
      <c r="G34" s="165" t="e">
        <f t="shared" ca="1" si="5"/>
        <v>#REF!</v>
      </c>
      <c r="H34" s="165" t="e">
        <f t="shared" ca="1" si="6"/>
        <v>#REF!</v>
      </c>
      <c r="I34" s="165" t="e">
        <f t="shared" ca="1" si="7"/>
        <v>#REF!</v>
      </c>
      <c r="J34" s="164" t="e">
        <f t="shared" ca="1" si="8"/>
        <v>#REF!</v>
      </c>
      <c r="K34" s="164" t="e">
        <f t="shared" ca="1" si="9"/>
        <v>#REF!</v>
      </c>
      <c r="L34" s="164" t="e">
        <f t="shared" ca="1" si="10"/>
        <v>#REF!</v>
      </c>
      <c r="M34" s="164" t="e">
        <f t="shared" ca="1" si="11"/>
        <v>#REF!</v>
      </c>
      <c r="N34" s="164" t="e">
        <f t="shared" ca="1" si="12"/>
        <v>#REF!</v>
      </c>
      <c r="O34" s="164" t="e">
        <f t="shared" ca="1" si="13"/>
        <v>#REF!</v>
      </c>
      <c r="P34" s="164" t="e">
        <f t="shared" ca="1" si="14"/>
        <v>#REF!</v>
      </c>
      <c r="Q34" s="164" t="e">
        <f t="shared" ca="1" si="15"/>
        <v>#REF!</v>
      </c>
      <c r="R34" s="164" t="e">
        <f t="shared" ca="1" si="16"/>
        <v>#REF!</v>
      </c>
      <c r="S34" s="164" t="e">
        <f t="shared" ca="1" si="17"/>
        <v>#REF!</v>
      </c>
      <c r="T34" s="164" t="e">
        <f t="shared" ca="1" si="18"/>
        <v>#REF!</v>
      </c>
      <c r="U34" s="164" t="e">
        <f t="shared" ca="1" si="19"/>
        <v>#REF!</v>
      </c>
      <c r="V34" s="164" t="e">
        <f t="shared" ca="1" si="20"/>
        <v>#REF!</v>
      </c>
      <c r="W34" s="164" t="e">
        <f t="shared" ca="1" si="21"/>
        <v>#REF!</v>
      </c>
      <c r="X34" s="164" t="e">
        <f t="shared" ca="1" si="22"/>
        <v>#REF!</v>
      </c>
      <c r="Y34" s="164" t="e">
        <f t="shared" ca="1" si="23"/>
        <v>#REF!</v>
      </c>
      <c r="Z34" s="164" t="e">
        <f t="shared" ca="1" si="24"/>
        <v>#REF!</v>
      </c>
      <c r="AA34" s="164" t="e">
        <f t="shared" ca="1" si="25"/>
        <v>#REF!</v>
      </c>
      <c r="AB34" s="166"/>
    </row>
    <row r="35" spans="1:28" ht="41.45" customHeight="1">
      <c r="A35" s="210" t="s">
        <v>811</v>
      </c>
      <c r="B35" s="164" t="e">
        <f t="shared" ca="1" si="0"/>
        <v>#REF!</v>
      </c>
      <c r="C35" s="164" t="e">
        <f t="shared" ca="1" si="1"/>
        <v>#REF!</v>
      </c>
      <c r="D35" s="164" t="e">
        <f t="shared" ca="1" si="2"/>
        <v>#REF!</v>
      </c>
      <c r="E35" s="164" t="e">
        <f t="shared" ca="1" si="3"/>
        <v>#REF!</v>
      </c>
      <c r="F35" s="164" t="e">
        <f t="shared" ca="1" si="4"/>
        <v>#REF!</v>
      </c>
      <c r="G35" s="165" t="e">
        <f t="shared" ca="1" si="5"/>
        <v>#REF!</v>
      </c>
      <c r="H35" s="165" t="e">
        <f t="shared" ca="1" si="6"/>
        <v>#REF!</v>
      </c>
      <c r="I35" s="165" t="e">
        <f t="shared" ca="1" si="7"/>
        <v>#REF!</v>
      </c>
      <c r="J35" s="164" t="e">
        <f t="shared" ca="1" si="8"/>
        <v>#REF!</v>
      </c>
      <c r="K35" s="164" t="e">
        <f t="shared" ca="1" si="9"/>
        <v>#REF!</v>
      </c>
      <c r="L35" s="164" t="e">
        <f t="shared" ca="1" si="10"/>
        <v>#REF!</v>
      </c>
      <c r="M35" s="164" t="e">
        <f t="shared" ca="1" si="11"/>
        <v>#REF!</v>
      </c>
      <c r="N35" s="164" t="e">
        <f t="shared" ca="1" si="12"/>
        <v>#REF!</v>
      </c>
      <c r="O35" s="164" t="e">
        <f t="shared" ca="1" si="13"/>
        <v>#REF!</v>
      </c>
      <c r="P35" s="164" t="e">
        <f t="shared" ca="1" si="14"/>
        <v>#REF!</v>
      </c>
      <c r="Q35" s="164" t="e">
        <f t="shared" ca="1" si="15"/>
        <v>#REF!</v>
      </c>
      <c r="R35" s="164" t="e">
        <f t="shared" ca="1" si="16"/>
        <v>#REF!</v>
      </c>
      <c r="S35" s="164" t="e">
        <f t="shared" ca="1" si="17"/>
        <v>#REF!</v>
      </c>
      <c r="T35" s="164" t="e">
        <f t="shared" ca="1" si="18"/>
        <v>#REF!</v>
      </c>
      <c r="U35" s="164" t="e">
        <f t="shared" ca="1" si="19"/>
        <v>#REF!</v>
      </c>
      <c r="V35" s="164" t="e">
        <f t="shared" ca="1" si="20"/>
        <v>#REF!</v>
      </c>
      <c r="W35" s="164" t="e">
        <f t="shared" ca="1" si="21"/>
        <v>#REF!</v>
      </c>
      <c r="X35" s="164" t="e">
        <f t="shared" ca="1" si="22"/>
        <v>#REF!</v>
      </c>
      <c r="Y35" s="164" t="e">
        <f t="shared" ca="1" si="23"/>
        <v>#REF!</v>
      </c>
      <c r="Z35" s="164" t="e">
        <f t="shared" ca="1" si="24"/>
        <v>#REF!</v>
      </c>
      <c r="AA35" s="164" t="e">
        <f t="shared" ca="1" si="25"/>
        <v>#REF!</v>
      </c>
      <c r="AB35" s="166"/>
    </row>
    <row r="36" spans="1:28" ht="41.45" customHeight="1">
      <c r="A36" s="210" t="s">
        <v>812</v>
      </c>
      <c r="B36" s="164" t="e">
        <f t="shared" ca="1" si="0"/>
        <v>#REF!</v>
      </c>
      <c r="C36" s="164" t="e">
        <f t="shared" ca="1" si="1"/>
        <v>#REF!</v>
      </c>
      <c r="D36" s="164" t="e">
        <f t="shared" ca="1" si="2"/>
        <v>#REF!</v>
      </c>
      <c r="E36" s="164" t="e">
        <f t="shared" ca="1" si="3"/>
        <v>#REF!</v>
      </c>
      <c r="F36" s="164" t="e">
        <f t="shared" ca="1" si="4"/>
        <v>#REF!</v>
      </c>
      <c r="G36" s="165" t="e">
        <f t="shared" ca="1" si="5"/>
        <v>#REF!</v>
      </c>
      <c r="H36" s="165" t="e">
        <f t="shared" ca="1" si="6"/>
        <v>#REF!</v>
      </c>
      <c r="I36" s="165" t="e">
        <f t="shared" ca="1" si="7"/>
        <v>#REF!</v>
      </c>
      <c r="J36" s="164" t="e">
        <f t="shared" ca="1" si="8"/>
        <v>#REF!</v>
      </c>
      <c r="K36" s="164" t="e">
        <f t="shared" ca="1" si="9"/>
        <v>#REF!</v>
      </c>
      <c r="L36" s="164" t="e">
        <f t="shared" ca="1" si="10"/>
        <v>#REF!</v>
      </c>
      <c r="M36" s="164" t="e">
        <f t="shared" ca="1" si="11"/>
        <v>#REF!</v>
      </c>
      <c r="N36" s="164" t="e">
        <f t="shared" ca="1" si="12"/>
        <v>#REF!</v>
      </c>
      <c r="O36" s="164" t="e">
        <f t="shared" ca="1" si="13"/>
        <v>#REF!</v>
      </c>
      <c r="P36" s="164" t="e">
        <f t="shared" ca="1" si="14"/>
        <v>#REF!</v>
      </c>
      <c r="Q36" s="164" t="e">
        <f t="shared" ca="1" si="15"/>
        <v>#REF!</v>
      </c>
      <c r="R36" s="164" t="e">
        <f t="shared" ca="1" si="16"/>
        <v>#REF!</v>
      </c>
      <c r="S36" s="164" t="e">
        <f t="shared" ca="1" si="17"/>
        <v>#REF!</v>
      </c>
      <c r="T36" s="164" t="e">
        <f t="shared" ca="1" si="18"/>
        <v>#REF!</v>
      </c>
      <c r="U36" s="164" t="e">
        <f t="shared" ca="1" si="19"/>
        <v>#REF!</v>
      </c>
      <c r="V36" s="164" t="e">
        <f t="shared" ca="1" si="20"/>
        <v>#REF!</v>
      </c>
      <c r="W36" s="164" t="e">
        <f t="shared" ca="1" si="21"/>
        <v>#REF!</v>
      </c>
      <c r="X36" s="164" t="e">
        <f t="shared" ca="1" si="22"/>
        <v>#REF!</v>
      </c>
      <c r="Y36" s="164" t="e">
        <f t="shared" ca="1" si="23"/>
        <v>#REF!</v>
      </c>
      <c r="Z36" s="164" t="e">
        <f t="shared" ca="1" si="24"/>
        <v>#REF!</v>
      </c>
      <c r="AA36" s="164" t="e">
        <f t="shared" ca="1" si="25"/>
        <v>#REF!</v>
      </c>
      <c r="AB36" s="166"/>
    </row>
    <row r="37" spans="1:28" ht="41.45" customHeight="1">
      <c r="A37" s="210" t="s">
        <v>813</v>
      </c>
      <c r="B37" s="164" t="e">
        <f t="shared" ca="1" si="0"/>
        <v>#REF!</v>
      </c>
      <c r="C37" s="164" t="e">
        <f t="shared" ca="1" si="1"/>
        <v>#REF!</v>
      </c>
      <c r="D37" s="164" t="e">
        <f t="shared" ca="1" si="2"/>
        <v>#REF!</v>
      </c>
      <c r="E37" s="164" t="e">
        <f t="shared" ca="1" si="3"/>
        <v>#REF!</v>
      </c>
      <c r="F37" s="164" t="e">
        <f t="shared" ca="1" si="4"/>
        <v>#REF!</v>
      </c>
      <c r="G37" s="165" t="e">
        <f t="shared" ca="1" si="5"/>
        <v>#REF!</v>
      </c>
      <c r="H37" s="165" t="e">
        <f t="shared" ca="1" si="6"/>
        <v>#REF!</v>
      </c>
      <c r="I37" s="165" t="e">
        <f t="shared" ca="1" si="7"/>
        <v>#REF!</v>
      </c>
      <c r="J37" s="164" t="e">
        <f t="shared" ca="1" si="8"/>
        <v>#REF!</v>
      </c>
      <c r="K37" s="164" t="e">
        <f t="shared" ca="1" si="9"/>
        <v>#REF!</v>
      </c>
      <c r="L37" s="164" t="e">
        <f t="shared" ca="1" si="10"/>
        <v>#REF!</v>
      </c>
      <c r="M37" s="164" t="e">
        <f t="shared" ca="1" si="11"/>
        <v>#REF!</v>
      </c>
      <c r="N37" s="164" t="e">
        <f t="shared" ca="1" si="12"/>
        <v>#REF!</v>
      </c>
      <c r="O37" s="164" t="e">
        <f t="shared" ca="1" si="13"/>
        <v>#REF!</v>
      </c>
      <c r="P37" s="164" t="e">
        <f t="shared" ca="1" si="14"/>
        <v>#REF!</v>
      </c>
      <c r="Q37" s="164" t="e">
        <f t="shared" ca="1" si="15"/>
        <v>#REF!</v>
      </c>
      <c r="R37" s="164" t="e">
        <f t="shared" ca="1" si="16"/>
        <v>#REF!</v>
      </c>
      <c r="S37" s="164" t="e">
        <f t="shared" ca="1" si="17"/>
        <v>#REF!</v>
      </c>
      <c r="T37" s="164" t="e">
        <f t="shared" ca="1" si="18"/>
        <v>#REF!</v>
      </c>
      <c r="U37" s="164" t="e">
        <f t="shared" ca="1" si="19"/>
        <v>#REF!</v>
      </c>
      <c r="V37" s="164" t="e">
        <f t="shared" ca="1" si="20"/>
        <v>#REF!</v>
      </c>
      <c r="W37" s="164" t="e">
        <f t="shared" ca="1" si="21"/>
        <v>#REF!</v>
      </c>
      <c r="X37" s="164" t="e">
        <f t="shared" ca="1" si="22"/>
        <v>#REF!</v>
      </c>
      <c r="Y37" s="164" t="e">
        <f t="shared" ca="1" si="23"/>
        <v>#REF!</v>
      </c>
      <c r="Z37" s="164" t="e">
        <f t="shared" ca="1" si="24"/>
        <v>#REF!</v>
      </c>
      <c r="AA37" s="164" t="e">
        <f t="shared" ca="1" si="25"/>
        <v>#REF!</v>
      </c>
      <c r="AB37" s="166"/>
    </row>
    <row r="38" spans="1:28" ht="41.45" customHeight="1">
      <c r="A38" s="210" t="s">
        <v>814</v>
      </c>
      <c r="B38" s="164" t="e">
        <f t="shared" ca="1" si="0"/>
        <v>#REF!</v>
      </c>
      <c r="C38" s="164" t="e">
        <f t="shared" ca="1" si="1"/>
        <v>#REF!</v>
      </c>
      <c r="D38" s="164" t="e">
        <f t="shared" ca="1" si="2"/>
        <v>#REF!</v>
      </c>
      <c r="E38" s="164" t="e">
        <f t="shared" ca="1" si="3"/>
        <v>#REF!</v>
      </c>
      <c r="F38" s="164" t="e">
        <f t="shared" ca="1" si="4"/>
        <v>#REF!</v>
      </c>
      <c r="G38" s="165" t="e">
        <f t="shared" ca="1" si="5"/>
        <v>#REF!</v>
      </c>
      <c r="H38" s="165" t="e">
        <f t="shared" ca="1" si="6"/>
        <v>#REF!</v>
      </c>
      <c r="I38" s="165" t="e">
        <f t="shared" ca="1" si="7"/>
        <v>#REF!</v>
      </c>
      <c r="J38" s="164" t="e">
        <f t="shared" ca="1" si="8"/>
        <v>#REF!</v>
      </c>
      <c r="K38" s="164" t="e">
        <f t="shared" ca="1" si="9"/>
        <v>#REF!</v>
      </c>
      <c r="L38" s="164" t="e">
        <f t="shared" ca="1" si="10"/>
        <v>#REF!</v>
      </c>
      <c r="M38" s="164" t="e">
        <f t="shared" ca="1" si="11"/>
        <v>#REF!</v>
      </c>
      <c r="N38" s="164" t="e">
        <f t="shared" ca="1" si="12"/>
        <v>#REF!</v>
      </c>
      <c r="O38" s="164" t="e">
        <f t="shared" ca="1" si="13"/>
        <v>#REF!</v>
      </c>
      <c r="P38" s="164" t="e">
        <f t="shared" ca="1" si="14"/>
        <v>#REF!</v>
      </c>
      <c r="Q38" s="164" t="e">
        <f t="shared" ca="1" si="15"/>
        <v>#REF!</v>
      </c>
      <c r="R38" s="164" t="e">
        <f t="shared" ca="1" si="16"/>
        <v>#REF!</v>
      </c>
      <c r="S38" s="164" t="e">
        <f t="shared" ca="1" si="17"/>
        <v>#REF!</v>
      </c>
      <c r="T38" s="164" t="e">
        <f t="shared" ca="1" si="18"/>
        <v>#REF!</v>
      </c>
      <c r="U38" s="164" t="e">
        <f t="shared" ca="1" si="19"/>
        <v>#REF!</v>
      </c>
      <c r="V38" s="164" t="e">
        <f t="shared" ca="1" si="20"/>
        <v>#REF!</v>
      </c>
      <c r="W38" s="164" t="e">
        <f t="shared" ca="1" si="21"/>
        <v>#REF!</v>
      </c>
      <c r="X38" s="164" t="e">
        <f t="shared" ca="1" si="22"/>
        <v>#REF!</v>
      </c>
      <c r="Y38" s="164" t="e">
        <f t="shared" ca="1" si="23"/>
        <v>#REF!</v>
      </c>
      <c r="Z38" s="164" t="e">
        <f t="shared" ca="1" si="24"/>
        <v>#REF!</v>
      </c>
      <c r="AA38" s="164" t="e">
        <f t="shared" ca="1" si="25"/>
        <v>#REF!</v>
      </c>
      <c r="AB38" s="166"/>
    </row>
    <row r="39" spans="1:28" ht="41.45" customHeight="1">
      <c r="A39" s="210" t="s">
        <v>815</v>
      </c>
      <c r="B39" s="164" t="e">
        <f t="shared" ca="1" si="0"/>
        <v>#REF!</v>
      </c>
      <c r="C39" s="164" t="e">
        <f t="shared" ca="1" si="1"/>
        <v>#REF!</v>
      </c>
      <c r="D39" s="164" t="e">
        <f t="shared" ca="1" si="2"/>
        <v>#REF!</v>
      </c>
      <c r="E39" s="164" t="e">
        <f t="shared" ca="1" si="3"/>
        <v>#REF!</v>
      </c>
      <c r="F39" s="164" t="e">
        <f t="shared" ca="1" si="4"/>
        <v>#REF!</v>
      </c>
      <c r="G39" s="165" t="e">
        <f t="shared" ca="1" si="5"/>
        <v>#REF!</v>
      </c>
      <c r="H39" s="165" t="e">
        <f t="shared" ca="1" si="6"/>
        <v>#REF!</v>
      </c>
      <c r="I39" s="165" t="e">
        <f t="shared" ca="1" si="7"/>
        <v>#REF!</v>
      </c>
      <c r="J39" s="164" t="e">
        <f t="shared" ca="1" si="8"/>
        <v>#REF!</v>
      </c>
      <c r="K39" s="164" t="e">
        <f t="shared" ca="1" si="9"/>
        <v>#REF!</v>
      </c>
      <c r="L39" s="164" t="e">
        <f t="shared" ca="1" si="10"/>
        <v>#REF!</v>
      </c>
      <c r="M39" s="164" t="e">
        <f t="shared" ca="1" si="11"/>
        <v>#REF!</v>
      </c>
      <c r="N39" s="164" t="e">
        <f t="shared" ca="1" si="12"/>
        <v>#REF!</v>
      </c>
      <c r="O39" s="164" t="e">
        <f t="shared" ca="1" si="13"/>
        <v>#REF!</v>
      </c>
      <c r="P39" s="164" t="e">
        <f t="shared" ca="1" si="14"/>
        <v>#REF!</v>
      </c>
      <c r="Q39" s="164" t="e">
        <f t="shared" ca="1" si="15"/>
        <v>#REF!</v>
      </c>
      <c r="R39" s="164" t="e">
        <f t="shared" ca="1" si="16"/>
        <v>#REF!</v>
      </c>
      <c r="S39" s="164" t="e">
        <f t="shared" ca="1" si="17"/>
        <v>#REF!</v>
      </c>
      <c r="T39" s="164" t="e">
        <f t="shared" ca="1" si="18"/>
        <v>#REF!</v>
      </c>
      <c r="U39" s="164" t="e">
        <f t="shared" ca="1" si="19"/>
        <v>#REF!</v>
      </c>
      <c r="V39" s="164" t="e">
        <f t="shared" ca="1" si="20"/>
        <v>#REF!</v>
      </c>
      <c r="W39" s="164" t="e">
        <f t="shared" ca="1" si="21"/>
        <v>#REF!</v>
      </c>
      <c r="X39" s="164" t="e">
        <f t="shared" ca="1" si="22"/>
        <v>#REF!</v>
      </c>
      <c r="Y39" s="164" t="e">
        <f t="shared" ca="1" si="23"/>
        <v>#REF!</v>
      </c>
      <c r="Z39" s="164" t="e">
        <f t="shared" ca="1" si="24"/>
        <v>#REF!</v>
      </c>
      <c r="AA39" s="164" t="e">
        <f t="shared" ca="1" si="25"/>
        <v>#REF!</v>
      </c>
      <c r="AB39" s="166"/>
    </row>
    <row r="40" spans="1:28" ht="41.45" customHeight="1">
      <c r="A40" s="210" t="s">
        <v>816</v>
      </c>
      <c r="B40" s="164" t="e">
        <f t="shared" ca="1" si="0"/>
        <v>#REF!</v>
      </c>
      <c r="C40" s="164" t="e">
        <f t="shared" ca="1" si="1"/>
        <v>#REF!</v>
      </c>
      <c r="D40" s="164" t="e">
        <f t="shared" ca="1" si="2"/>
        <v>#REF!</v>
      </c>
      <c r="E40" s="164" t="e">
        <f t="shared" ca="1" si="3"/>
        <v>#REF!</v>
      </c>
      <c r="F40" s="164" t="e">
        <f t="shared" ca="1" si="4"/>
        <v>#REF!</v>
      </c>
      <c r="G40" s="165" t="e">
        <f t="shared" ca="1" si="5"/>
        <v>#REF!</v>
      </c>
      <c r="H40" s="165" t="e">
        <f t="shared" ca="1" si="6"/>
        <v>#REF!</v>
      </c>
      <c r="I40" s="165" t="e">
        <f t="shared" ca="1" si="7"/>
        <v>#REF!</v>
      </c>
      <c r="J40" s="164" t="e">
        <f t="shared" ca="1" si="8"/>
        <v>#REF!</v>
      </c>
      <c r="K40" s="164" t="e">
        <f t="shared" ca="1" si="9"/>
        <v>#REF!</v>
      </c>
      <c r="L40" s="164" t="e">
        <f t="shared" ca="1" si="10"/>
        <v>#REF!</v>
      </c>
      <c r="M40" s="164" t="e">
        <f t="shared" ca="1" si="11"/>
        <v>#REF!</v>
      </c>
      <c r="N40" s="164" t="e">
        <f t="shared" ca="1" si="12"/>
        <v>#REF!</v>
      </c>
      <c r="O40" s="164" t="e">
        <f t="shared" ca="1" si="13"/>
        <v>#REF!</v>
      </c>
      <c r="P40" s="164" t="e">
        <f t="shared" ca="1" si="14"/>
        <v>#REF!</v>
      </c>
      <c r="Q40" s="164" t="e">
        <f t="shared" ca="1" si="15"/>
        <v>#REF!</v>
      </c>
      <c r="R40" s="164" t="e">
        <f t="shared" ca="1" si="16"/>
        <v>#REF!</v>
      </c>
      <c r="S40" s="164" t="e">
        <f t="shared" ca="1" si="17"/>
        <v>#REF!</v>
      </c>
      <c r="T40" s="164" t="e">
        <f t="shared" ca="1" si="18"/>
        <v>#REF!</v>
      </c>
      <c r="U40" s="164" t="e">
        <f t="shared" ca="1" si="19"/>
        <v>#REF!</v>
      </c>
      <c r="V40" s="164" t="e">
        <f t="shared" ca="1" si="20"/>
        <v>#REF!</v>
      </c>
      <c r="W40" s="164" t="e">
        <f t="shared" ca="1" si="21"/>
        <v>#REF!</v>
      </c>
      <c r="X40" s="164" t="e">
        <f t="shared" ca="1" si="22"/>
        <v>#REF!</v>
      </c>
      <c r="Y40" s="164" t="e">
        <f t="shared" ca="1" si="23"/>
        <v>#REF!</v>
      </c>
      <c r="Z40" s="164" t="e">
        <f t="shared" ca="1" si="24"/>
        <v>#REF!</v>
      </c>
      <c r="AA40" s="164" t="e">
        <f t="shared" ca="1" si="25"/>
        <v>#REF!</v>
      </c>
      <c r="AB40" s="166"/>
    </row>
    <row r="41" spans="1:28" ht="41.45" customHeight="1">
      <c r="A41" s="210"/>
      <c r="B41" s="164" t="str">
        <f t="shared" ref="B41:B54" ca="1" si="26">IF(ISBLANK($A41),"",INDIRECT("'"&amp;$A41&amp;"'!b6"))</f>
        <v/>
      </c>
      <c r="C41" s="164" t="str">
        <f t="shared" ref="C41:C54" ca="1" si="27">IF(ISBLANK($A41),"",INDIRECT("'"&amp;$A41&amp;"'!b7"))</f>
        <v/>
      </c>
      <c r="D41" s="164"/>
      <c r="E41" s="164" t="str">
        <f t="shared" ref="E41:F54" ca="1" si="28">IF(ISBLANK($A41),"",INDIRECT("'"&amp;$A41&amp;"'!b8"))</f>
        <v/>
      </c>
      <c r="F41" s="164" t="str">
        <f t="shared" ca="1" si="28"/>
        <v/>
      </c>
      <c r="G41" s="165" t="str">
        <f t="shared" ref="G41:G54" ca="1" si="29">IF(ISBLANK($A41),"",INDIRECT("'"&amp;$A41&amp;"'!b10"))</f>
        <v/>
      </c>
      <c r="H41" s="165" t="str">
        <f t="shared" ref="H41:H54" ca="1" si="30">IF(ISBLANK($A41),"",INDIRECT("'"&amp;$A41&amp;"'!b11"))</f>
        <v/>
      </c>
      <c r="I41" s="165" t="str">
        <f t="shared" ref="I41:I54" ca="1" si="31">IF(ISBLANK($A41),"",INDIRECT("'"&amp;$A41&amp;"'!e5"))</f>
        <v/>
      </c>
      <c r="J41" s="164" t="str">
        <f t="shared" ref="J41:J54" ca="1" si="32">IF(ISBLANK($A41),"",INDIRECT("'"&amp;$A41&amp;"'!E7"))</f>
        <v/>
      </c>
      <c r="K41" s="164" t="str">
        <f t="shared" ref="K41:K54" ca="1" si="33">IF(ISBLANK($A41),"",INDIRECT("'"&amp;$A41&amp;"'!E8"))</f>
        <v/>
      </c>
      <c r="L41" s="164" t="str">
        <f t="shared" ref="L41:L54" ca="1" si="34">IF(ISBLANK($A41),"",INDIRECT("'"&amp;$A41&amp;"'!e9"))</f>
        <v/>
      </c>
      <c r="M41" s="164" t="str">
        <f t="shared" ref="M41:M54" ca="1" si="35">IF(ISBLANK($A41),"",INDIRECT("'"&amp;$A41&amp;"'!e10"))</f>
        <v/>
      </c>
      <c r="N41" s="164" t="str">
        <f t="shared" ref="N41:N54" ca="1" si="36">IF(ISBLANK($A41),"",INDIRECT("'"&amp;$A41&amp;"'!b16"))</f>
        <v/>
      </c>
      <c r="O41" s="164" t="str">
        <f t="shared" ref="O41:O54" ca="1" si="37">IF(ISBLANK($A41),"",INDIRECT("'"&amp;$A41&amp;"'!b17"))</f>
        <v/>
      </c>
      <c r="P41" s="164" t="str">
        <f t="shared" ref="P41:P54" ca="1" si="38">IF(ISBLANK($A41),"",INDIRECT("'"&amp;$A41&amp;"'!b19"))</f>
        <v/>
      </c>
      <c r="Q41" s="164" t="str">
        <f t="shared" ref="Q41:Q54" ca="1" si="39">IF(ISBLANK($A41),"",INDIRECT("'"&amp;$A41&amp;"'!b21"))</f>
        <v/>
      </c>
      <c r="R41" s="164" t="str">
        <f t="shared" ref="R41:R54" ca="1" si="40">IF(ISBLANK($A41),"",INDIRECT("'"&amp;$A41&amp;"'!B22"))</f>
        <v/>
      </c>
      <c r="S41" s="164"/>
      <c r="T41" s="164"/>
      <c r="U41" s="164"/>
      <c r="V41" s="164"/>
      <c r="W41" s="164"/>
      <c r="X41" s="164"/>
      <c r="Y41" s="164"/>
      <c r="Z41" s="164"/>
      <c r="AA41" s="164" t="str">
        <f t="shared" ref="AA41:AA54" ca="1" si="41">IF(ISBLANK($A41),"",INDIRECT("'"&amp;$A41&amp;"'!B24"))</f>
        <v/>
      </c>
      <c r="AB41" s="166"/>
    </row>
    <row r="42" spans="1:28" ht="41.45" customHeight="1">
      <c r="A42" s="210"/>
      <c r="B42" s="164" t="str">
        <f t="shared" ca="1" si="26"/>
        <v/>
      </c>
      <c r="C42" s="164" t="str">
        <f t="shared" ca="1" si="27"/>
        <v/>
      </c>
      <c r="D42" s="164"/>
      <c r="E42" s="164" t="str">
        <f t="shared" ca="1" si="28"/>
        <v/>
      </c>
      <c r="F42" s="164" t="str">
        <f t="shared" ca="1" si="28"/>
        <v/>
      </c>
      <c r="G42" s="165" t="str">
        <f t="shared" ca="1" si="29"/>
        <v/>
      </c>
      <c r="H42" s="165" t="str">
        <f t="shared" ca="1" si="30"/>
        <v/>
      </c>
      <c r="I42" s="165" t="str">
        <f t="shared" ca="1" si="31"/>
        <v/>
      </c>
      <c r="J42" s="164" t="str">
        <f t="shared" ca="1" si="32"/>
        <v/>
      </c>
      <c r="K42" s="164" t="str">
        <f t="shared" ca="1" si="33"/>
        <v/>
      </c>
      <c r="L42" s="164" t="str">
        <f t="shared" ca="1" si="34"/>
        <v/>
      </c>
      <c r="M42" s="164" t="str">
        <f t="shared" ca="1" si="35"/>
        <v/>
      </c>
      <c r="N42" s="164" t="str">
        <f t="shared" ca="1" si="36"/>
        <v/>
      </c>
      <c r="O42" s="164" t="str">
        <f t="shared" ca="1" si="37"/>
        <v/>
      </c>
      <c r="P42" s="164" t="str">
        <f t="shared" ca="1" si="38"/>
        <v/>
      </c>
      <c r="Q42" s="164" t="str">
        <f t="shared" ca="1" si="39"/>
        <v/>
      </c>
      <c r="R42" s="164" t="str">
        <f t="shared" ca="1" si="40"/>
        <v/>
      </c>
      <c r="S42" s="164"/>
      <c r="T42" s="164"/>
      <c r="U42" s="164"/>
      <c r="V42" s="164"/>
      <c r="W42" s="164"/>
      <c r="X42" s="164"/>
      <c r="Y42" s="164"/>
      <c r="Z42" s="164"/>
      <c r="AA42" s="164" t="str">
        <f t="shared" ca="1" si="41"/>
        <v/>
      </c>
      <c r="AB42" s="166"/>
    </row>
    <row r="43" spans="1:28" ht="41.45" customHeight="1">
      <c r="A43" s="210"/>
      <c r="B43" s="164" t="str">
        <f t="shared" ca="1" si="26"/>
        <v/>
      </c>
      <c r="C43" s="164" t="str">
        <f t="shared" ca="1" si="27"/>
        <v/>
      </c>
      <c r="D43" s="164"/>
      <c r="E43" s="164" t="str">
        <f t="shared" ca="1" si="28"/>
        <v/>
      </c>
      <c r="F43" s="164" t="str">
        <f t="shared" ca="1" si="28"/>
        <v/>
      </c>
      <c r="G43" s="165" t="str">
        <f t="shared" ca="1" si="29"/>
        <v/>
      </c>
      <c r="H43" s="165" t="str">
        <f t="shared" ca="1" si="30"/>
        <v/>
      </c>
      <c r="I43" s="165" t="str">
        <f t="shared" ca="1" si="31"/>
        <v/>
      </c>
      <c r="J43" s="164" t="str">
        <f t="shared" ca="1" si="32"/>
        <v/>
      </c>
      <c r="K43" s="164" t="str">
        <f t="shared" ca="1" si="33"/>
        <v/>
      </c>
      <c r="L43" s="164" t="str">
        <f t="shared" ca="1" si="34"/>
        <v/>
      </c>
      <c r="M43" s="164" t="str">
        <f t="shared" ca="1" si="35"/>
        <v/>
      </c>
      <c r="N43" s="164" t="str">
        <f t="shared" ca="1" si="36"/>
        <v/>
      </c>
      <c r="O43" s="164" t="str">
        <f t="shared" ca="1" si="37"/>
        <v/>
      </c>
      <c r="P43" s="164" t="str">
        <f t="shared" ca="1" si="38"/>
        <v/>
      </c>
      <c r="Q43" s="164" t="str">
        <f t="shared" ca="1" si="39"/>
        <v/>
      </c>
      <c r="R43" s="164" t="str">
        <f t="shared" ca="1" si="40"/>
        <v/>
      </c>
      <c r="S43" s="164"/>
      <c r="T43" s="164"/>
      <c r="U43" s="164"/>
      <c r="V43" s="164"/>
      <c r="W43" s="164"/>
      <c r="X43" s="164"/>
      <c r="Y43" s="164"/>
      <c r="Z43" s="164"/>
      <c r="AA43" s="164" t="str">
        <f t="shared" ca="1" si="41"/>
        <v/>
      </c>
      <c r="AB43" s="166"/>
    </row>
    <row r="44" spans="1:28" ht="41.45" customHeight="1">
      <c r="A44" s="210"/>
      <c r="B44" s="164" t="str">
        <f t="shared" ca="1" si="26"/>
        <v/>
      </c>
      <c r="C44" s="164" t="str">
        <f t="shared" ca="1" si="27"/>
        <v/>
      </c>
      <c r="D44" s="164"/>
      <c r="E44" s="164" t="str">
        <f t="shared" ca="1" si="28"/>
        <v/>
      </c>
      <c r="F44" s="164" t="str">
        <f t="shared" ca="1" si="28"/>
        <v/>
      </c>
      <c r="G44" s="165" t="str">
        <f t="shared" ca="1" si="29"/>
        <v/>
      </c>
      <c r="H44" s="165" t="str">
        <f t="shared" ca="1" si="30"/>
        <v/>
      </c>
      <c r="I44" s="165" t="str">
        <f t="shared" ca="1" si="31"/>
        <v/>
      </c>
      <c r="J44" s="164" t="str">
        <f t="shared" ca="1" si="32"/>
        <v/>
      </c>
      <c r="K44" s="164" t="str">
        <f t="shared" ca="1" si="33"/>
        <v/>
      </c>
      <c r="L44" s="164" t="str">
        <f t="shared" ca="1" si="34"/>
        <v/>
      </c>
      <c r="M44" s="164" t="str">
        <f t="shared" ca="1" si="35"/>
        <v/>
      </c>
      <c r="N44" s="164" t="str">
        <f t="shared" ca="1" si="36"/>
        <v/>
      </c>
      <c r="O44" s="164" t="str">
        <f t="shared" ca="1" si="37"/>
        <v/>
      </c>
      <c r="P44" s="164" t="str">
        <f t="shared" ca="1" si="38"/>
        <v/>
      </c>
      <c r="Q44" s="164" t="str">
        <f t="shared" ca="1" si="39"/>
        <v/>
      </c>
      <c r="R44" s="164" t="str">
        <f t="shared" ca="1" si="40"/>
        <v/>
      </c>
      <c r="S44" s="164"/>
      <c r="T44" s="164"/>
      <c r="U44" s="164"/>
      <c r="V44" s="164"/>
      <c r="W44" s="164"/>
      <c r="X44" s="164"/>
      <c r="Y44" s="164"/>
      <c r="Z44" s="164"/>
      <c r="AA44" s="164" t="str">
        <f t="shared" ca="1" si="41"/>
        <v/>
      </c>
      <c r="AB44" s="166"/>
    </row>
    <row r="45" spans="1:28" ht="41.45" customHeight="1">
      <c r="A45" s="210"/>
      <c r="B45" s="164" t="str">
        <f t="shared" ca="1" si="26"/>
        <v/>
      </c>
      <c r="C45" s="164" t="str">
        <f t="shared" ca="1" si="27"/>
        <v/>
      </c>
      <c r="D45" s="164"/>
      <c r="E45" s="164" t="str">
        <f t="shared" ca="1" si="28"/>
        <v/>
      </c>
      <c r="F45" s="164" t="str">
        <f t="shared" ca="1" si="28"/>
        <v/>
      </c>
      <c r="G45" s="165" t="str">
        <f t="shared" ca="1" si="29"/>
        <v/>
      </c>
      <c r="H45" s="165" t="str">
        <f t="shared" ca="1" si="30"/>
        <v/>
      </c>
      <c r="I45" s="165" t="str">
        <f t="shared" ca="1" si="31"/>
        <v/>
      </c>
      <c r="J45" s="164" t="str">
        <f t="shared" ca="1" si="32"/>
        <v/>
      </c>
      <c r="K45" s="164" t="str">
        <f t="shared" ca="1" si="33"/>
        <v/>
      </c>
      <c r="L45" s="164" t="str">
        <f t="shared" ca="1" si="34"/>
        <v/>
      </c>
      <c r="M45" s="164" t="str">
        <f t="shared" ca="1" si="35"/>
        <v/>
      </c>
      <c r="N45" s="164" t="str">
        <f t="shared" ca="1" si="36"/>
        <v/>
      </c>
      <c r="O45" s="164" t="str">
        <f t="shared" ca="1" si="37"/>
        <v/>
      </c>
      <c r="P45" s="164" t="str">
        <f t="shared" ca="1" si="38"/>
        <v/>
      </c>
      <c r="Q45" s="164" t="str">
        <f t="shared" ca="1" si="39"/>
        <v/>
      </c>
      <c r="R45" s="164" t="str">
        <f t="shared" ca="1" si="40"/>
        <v/>
      </c>
      <c r="S45" s="164"/>
      <c r="T45" s="164"/>
      <c r="U45" s="164"/>
      <c r="V45" s="164"/>
      <c r="W45" s="164"/>
      <c r="X45" s="164"/>
      <c r="Y45" s="164"/>
      <c r="Z45" s="164"/>
      <c r="AA45" s="164" t="str">
        <f t="shared" ca="1" si="41"/>
        <v/>
      </c>
      <c r="AB45" s="166"/>
    </row>
    <row r="46" spans="1:28" ht="41.45" customHeight="1">
      <c r="A46" s="210"/>
      <c r="B46" s="164" t="str">
        <f t="shared" ca="1" si="26"/>
        <v/>
      </c>
      <c r="C46" s="164" t="str">
        <f t="shared" ca="1" si="27"/>
        <v/>
      </c>
      <c r="D46" s="164"/>
      <c r="E46" s="164" t="str">
        <f t="shared" ca="1" si="28"/>
        <v/>
      </c>
      <c r="F46" s="164" t="str">
        <f t="shared" ca="1" si="28"/>
        <v/>
      </c>
      <c r="G46" s="165" t="str">
        <f t="shared" ca="1" si="29"/>
        <v/>
      </c>
      <c r="H46" s="165" t="str">
        <f t="shared" ca="1" si="30"/>
        <v/>
      </c>
      <c r="I46" s="165" t="str">
        <f t="shared" ca="1" si="31"/>
        <v/>
      </c>
      <c r="J46" s="164" t="str">
        <f t="shared" ca="1" si="32"/>
        <v/>
      </c>
      <c r="K46" s="164" t="str">
        <f t="shared" ca="1" si="33"/>
        <v/>
      </c>
      <c r="L46" s="164" t="str">
        <f t="shared" ca="1" si="34"/>
        <v/>
      </c>
      <c r="M46" s="164" t="str">
        <f t="shared" ca="1" si="35"/>
        <v/>
      </c>
      <c r="N46" s="164" t="str">
        <f t="shared" ca="1" si="36"/>
        <v/>
      </c>
      <c r="O46" s="164" t="str">
        <f t="shared" ca="1" si="37"/>
        <v/>
      </c>
      <c r="P46" s="164" t="str">
        <f t="shared" ca="1" si="38"/>
        <v/>
      </c>
      <c r="Q46" s="164" t="str">
        <f t="shared" ca="1" si="39"/>
        <v/>
      </c>
      <c r="R46" s="164" t="str">
        <f t="shared" ca="1" si="40"/>
        <v/>
      </c>
      <c r="S46" s="164"/>
      <c r="T46" s="164"/>
      <c r="U46" s="164"/>
      <c r="V46" s="164"/>
      <c r="W46" s="164"/>
      <c r="X46" s="164"/>
      <c r="Y46" s="164"/>
      <c r="Z46" s="164"/>
      <c r="AA46" s="164" t="str">
        <f t="shared" ca="1" si="41"/>
        <v/>
      </c>
      <c r="AB46" s="166"/>
    </row>
    <row r="47" spans="1:28" ht="41.45" customHeight="1">
      <c r="A47" s="210"/>
      <c r="B47" s="164" t="str">
        <f t="shared" ca="1" si="26"/>
        <v/>
      </c>
      <c r="C47" s="164" t="str">
        <f t="shared" ca="1" si="27"/>
        <v/>
      </c>
      <c r="D47" s="164"/>
      <c r="E47" s="164" t="str">
        <f t="shared" ca="1" si="28"/>
        <v/>
      </c>
      <c r="F47" s="164" t="str">
        <f t="shared" ca="1" si="28"/>
        <v/>
      </c>
      <c r="G47" s="165" t="str">
        <f t="shared" ca="1" si="29"/>
        <v/>
      </c>
      <c r="H47" s="165" t="str">
        <f t="shared" ca="1" si="30"/>
        <v/>
      </c>
      <c r="I47" s="165" t="str">
        <f t="shared" ca="1" si="31"/>
        <v/>
      </c>
      <c r="J47" s="164" t="str">
        <f t="shared" ca="1" si="32"/>
        <v/>
      </c>
      <c r="K47" s="164" t="str">
        <f t="shared" ca="1" si="33"/>
        <v/>
      </c>
      <c r="L47" s="164" t="str">
        <f t="shared" ca="1" si="34"/>
        <v/>
      </c>
      <c r="M47" s="164" t="str">
        <f t="shared" ca="1" si="35"/>
        <v/>
      </c>
      <c r="N47" s="164" t="str">
        <f t="shared" ca="1" si="36"/>
        <v/>
      </c>
      <c r="O47" s="164" t="str">
        <f t="shared" ca="1" si="37"/>
        <v/>
      </c>
      <c r="P47" s="164" t="str">
        <f t="shared" ca="1" si="38"/>
        <v/>
      </c>
      <c r="Q47" s="164" t="str">
        <f t="shared" ca="1" si="39"/>
        <v/>
      </c>
      <c r="R47" s="164" t="str">
        <f t="shared" ca="1" si="40"/>
        <v/>
      </c>
      <c r="S47" s="164"/>
      <c r="T47" s="164"/>
      <c r="U47" s="164"/>
      <c r="V47" s="164"/>
      <c r="W47" s="164"/>
      <c r="X47" s="164"/>
      <c r="Y47" s="164"/>
      <c r="Z47" s="164"/>
      <c r="AA47" s="164" t="str">
        <f t="shared" ca="1" si="41"/>
        <v/>
      </c>
      <c r="AB47" s="166"/>
    </row>
    <row r="48" spans="1:28" ht="41.45" customHeight="1">
      <c r="A48" s="210"/>
      <c r="B48" s="164" t="str">
        <f t="shared" ca="1" si="26"/>
        <v/>
      </c>
      <c r="C48" s="164" t="str">
        <f t="shared" ca="1" si="27"/>
        <v/>
      </c>
      <c r="D48" s="164"/>
      <c r="E48" s="164" t="str">
        <f t="shared" ca="1" si="28"/>
        <v/>
      </c>
      <c r="F48" s="164" t="str">
        <f t="shared" ca="1" si="28"/>
        <v/>
      </c>
      <c r="G48" s="165" t="str">
        <f t="shared" ca="1" si="29"/>
        <v/>
      </c>
      <c r="H48" s="165" t="str">
        <f t="shared" ca="1" si="30"/>
        <v/>
      </c>
      <c r="I48" s="165" t="str">
        <f t="shared" ca="1" si="31"/>
        <v/>
      </c>
      <c r="J48" s="164" t="str">
        <f t="shared" ca="1" si="32"/>
        <v/>
      </c>
      <c r="K48" s="164" t="str">
        <f t="shared" ca="1" si="33"/>
        <v/>
      </c>
      <c r="L48" s="164" t="str">
        <f t="shared" ca="1" si="34"/>
        <v/>
      </c>
      <c r="M48" s="164" t="str">
        <f t="shared" ca="1" si="35"/>
        <v/>
      </c>
      <c r="N48" s="164" t="str">
        <f t="shared" ca="1" si="36"/>
        <v/>
      </c>
      <c r="O48" s="164" t="str">
        <f t="shared" ca="1" si="37"/>
        <v/>
      </c>
      <c r="P48" s="164" t="str">
        <f t="shared" ca="1" si="38"/>
        <v/>
      </c>
      <c r="Q48" s="164" t="str">
        <f t="shared" ca="1" si="39"/>
        <v/>
      </c>
      <c r="R48" s="164" t="str">
        <f t="shared" ca="1" si="40"/>
        <v/>
      </c>
      <c r="S48" s="164"/>
      <c r="T48" s="164"/>
      <c r="U48" s="164"/>
      <c r="V48" s="164"/>
      <c r="W48" s="164"/>
      <c r="X48" s="164"/>
      <c r="Y48" s="164"/>
      <c r="Z48" s="164"/>
      <c r="AA48" s="164" t="str">
        <f t="shared" ca="1" si="41"/>
        <v/>
      </c>
      <c r="AB48" s="166"/>
    </row>
    <row r="49" spans="1:28" ht="41.45" customHeight="1">
      <c r="A49" s="210"/>
      <c r="B49" s="164" t="str">
        <f t="shared" ca="1" si="26"/>
        <v/>
      </c>
      <c r="C49" s="164" t="str">
        <f t="shared" ca="1" si="27"/>
        <v/>
      </c>
      <c r="D49" s="164"/>
      <c r="E49" s="164" t="str">
        <f t="shared" ca="1" si="28"/>
        <v/>
      </c>
      <c r="F49" s="164" t="str">
        <f t="shared" ca="1" si="28"/>
        <v/>
      </c>
      <c r="G49" s="165" t="str">
        <f t="shared" ca="1" si="29"/>
        <v/>
      </c>
      <c r="H49" s="165" t="str">
        <f t="shared" ca="1" si="30"/>
        <v/>
      </c>
      <c r="I49" s="165" t="str">
        <f t="shared" ca="1" si="31"/>
        <v/>
      </c>
      <c r="J49" s="164" t="str">
        <f t="shared" ca="1" si="32"/>
        <v/>
      </c>
      <c r="K49" s="164" t="str">
        <f t="shared" ca="1" si="33"/>
        <v/>
      </c>
      <c r="L49" s="164" t="str">
        <f t="shared" ca="1" si="34"/>
        <v/>
      </c>
      <c r="M49" s="164" t="str">
        <f t="shared" ca="1" si="35"/>
        <v/>
      </c>
      <c r="N49" s="164" t="str">
        <f t="shared" ca="1" si="36"/>
        <v/>
      </c>
      <c r="O49" s="164" t="str">
        <f t="shared" ca="1" si="37"/>
        <v/>
      </c>
      <c r="P49" s="164" t="str">
        <f t="shared" ca="1" si="38"/>
        <v/>
      </c>
      <c r="Q49" s="164" t="str">
        <f t="shared" ca="1" si="39"/>
        <v/>
      </c>
      <c r="R49" s="164" t="str">
        <f t="shared" ca="1" si="40"/>
        <v/>
      </c>
      <c r="S49" s="164"/>
      <c r="T49" s="164"/>
      <c r="U49" s="164"/>
      <c r="V49" s="164"/>
      <c r="W49" s="164"/>
      <c r="X49" s="164"/>
      <c r="Y49" s="164"/>
      <c r="Z49" s="164"/>
      <c r="AA49" s="164" t="str">
        <f t="shared" ca="1" si="41"/>
        <v/>
      </c>
      <c r="AB49" s="166"/>
    </row>
    <row r="50" spans="1:28" ht="41.45" customHeight="1">
      <c r="A50" s="210"/>
      <c r="B50" s="164" t="str">
        <f t="shared" ca="1" si="26"/>
        <v/>
      </c>
      <c r="C50" s="164" t="str">
        <f t="shared" ca="1" si="27"/>
        <v/>
      </c>
      <c r="D50" s="164"/>
      <c r="E50" s="164" t="str">
        <f t="shared" ca="1" si="28"/>
        <v/>
      </c>
      <c r="F50" s="164" t="str">
        <f t="shared" ca="1" si="28"/>
        <v/>
      </c>
      <c r="G50" s="165" t="str">
        <f t="shared" ca="1" si="29"/>
        <v/>
      </c>
      <c r="H50" s="165" t="str">
        <f t="shared" ca="1" si="30"/>
        <v/>
      </c>
      <c r="I50" s="165" t="str">
        <f t="shared" ca="1" si="31"/>
        <v/>
      </c>
      <c r="J50" s="164" t="str">
        <f t="shared" ca="1" si="32"/>
        <v/>
      </c>
      <c r="K50" s="164" t="str">
        <f t="shared" ca="1" si="33"/>
        <v/>
      </c>
      <c r="L50" s="164" t="str">
        <f t="shared" ca="1" si="34"/>
        <v/>
      </c>
      <c r="M50" s="164" t="str">
        <f t="shared" ca="1" si="35"/>
        <v/>
      </c>
      <c r="N50" s="164" t="str">
        <f t="shared" ca="1" si="36"/>
        <v/>
      </c>
      <c r="O50" s="164" t="str">
        <f t="shared" ca="1" si="37"/>
        <v/>
      </c>
      <c r="P50" s="164" t="str">
        <f t="shared" ca="1" si="38"/>
        <v/>
      </c>
      <c r="Q50" s="164" t="str">
        <f t="shared" ca="1" si="39"/>
        <v/>
      </c>
      <c r="R50" s="164" t="str">
        <f t="shared" ca="1" si="40"/>
        <v/>
      </c>
      <c r="S50" s="164"/>
      <c r="T50" s="164"/>
      <c r="U50" s="164"/>
      <c r="V50" s="164"/>
      <c r="W50" s="164"/>
      <c r="X50" s="164"/>
      <c r="Y50" s="164"/>
      <c r="Z50" s="164"/>
      <c r="AA50" s="164" t="str">
        <f t="shared" ca="1" si="41"/>
        <v/>
      </c>
      <c r="AB50" s="166"/>
    </row>
    <row r="51" spans="1:28" ht="41.45" customHeight="1">
      <c r="A51" s="210"/>
      <c r="B51" s="164" t="str">
        <f t="shared" ca="1" si="26"/>
        <v/>
      </c>
      <c r="C51" s="164" t="str">
        <f t="shared" ca="1" si="27"/>
        <v/>
      </c>
      <c r="D51" s="164"/>
      <c r="E51" s="164" t="str">
        <f t="shared" ca="1" si="28"/>
        <v/>
      </c>
      <c r="F51" s="164" t="str">
        <f t="shared" ca="1" si="28"/>
        <v/>
      </c>
      <c r="G51" s="165" t="str">
        <f t="shared" ca="1" si="29"/>
        <v/>
      </c>
      <c r="H51" s="165" t="str">
        <f t="shared" ca="1" si="30"/>
        <v/>
      </c>
      <c r="I51" s="165" t="str">
        <f t="shared" ca="1" si="31"/>
        <v/>
      </c>
      <c r="J51" s="164" t="str">
        <f t="shared" ca="1" si="32"/>
        <v/>
      </c>
      <c r="K51" s="164" t="str">
        <f t="shared" ca="1" si="33"/>
        <v/>
      </c>
      <c r="L51" s="164" t="str">
        <f t="shared" ca="1" si="34"/>
        <v/>
      </c>
      <c r="M51" s="164" t="str">
        <f t="shared" ca="1" si="35"/>
        <v/>
      </c>
      <c r="N51" s="164" t="str">
        <f t="shared" ca="1" si="36"/>
        <v/>
      </c>
      <c r="O51" s="164" t="str">
        <f t="shared" ca="1" si="37"/>
        <v/>
      </c>
      <c r="P51" s="164" t="str">
        <f t="shared" ca="1" si="38"/>
        <v/>
      </c>
      <c r="Q51" s="164" t="str">
        <f t="shared" ca="1" si="39"/>
        <v/>
      </c>
      <c r="R51" s="164" t="str">
        <f t="shared" ca="1" si="40"/>
        <v/>
      </c>
      <c r="S51" s="164"/>
      <c r="T51" s="164"/>
      <c r="U51" s="164"/>
      <c r="V51" s="164"/>
      <c r="W51" s="164"/>
      <c r="X51" s="164"/>
      <c r="Y51" s="164"/>
      <c r="Z51" s="164"/>
      <c r="AA51" s="164" t="str">
        <f t="shared" ca="1" si="41"/>
        <v/>
      </c>
      <c r="AB51" s="166"/>
    </row>
    <row r="52" spans="1:28" ht="41.45" customHeight="1">
      <c r="A52" s="210"/>
      <c r="B52" s="164" t="str">
        <f t="shared" ca="1" si="26"/>
        <v/>
      </c>
      <c r="C52" s="164" t="str">
        <f t="shared" ca="1" si="27"/>
        <v/>
      </c>
      <c r="D52" s="164"/>
      <c r="E52" s="164" t="str">
        <f t="shared" ca="1" si="28"/>
        <v/>
      </c>
      <c r="F52" s="164" t="str">
        <f t="shared" ca="1" si="28"/>
        <v/>
      </c>
      <c r="G52" s="165" t="str">
        <f t="shared" ca="1" si="29"/>
        <v/>
      </c>
      <c r="H52" s="165" t="str">
        <f t="shared" ca="1" si="30"/>
        <v/>
      </c>
      <c r="I52" s="165" t="str">
        <f t="shared" ca="1" si="31"/>
        <v/>
      </c>
      <c r="J52" s="164" t="str">
        <f t="shared" ca="1" si="32"/>
        <v/>
      </c>
      <c r="K52" s="164" t="str">
        <f t="shared" ca="1" si="33"/>
        <v/>
      </c>
      <c r="L52" s="164" t="str">
        <f t="shared" ca="1" si="34"/>
        <v/>
      </c>
      <c r="M52" s="164" t="str">
        <f t="shared" ca="1" si="35"/>
        <v/>
      </c>
      <c r="N52" s="164" t="str">
        <f t="shared" ca="1" si="36"/>
        <v/>
      </c>
      <c r="O52" s="164" t="str">
        <f t="shared" ca="1" si="37"/>
        <v/>
      </c>
      <c r="P52" s="164" t="str">
        <f t="shared" ca="1" si="38"/>
        <v/>
      </c>
      <c r="Q52" s="164" t="str">
        <f t="shared" ca="1" si="39"/>
        <v/>
      </c>
      <c r="R52" s="164" t="str">
        <f t="shared" ca="1" si="40"/>
        <v/>
      </c>
      <c r="S52" s="164"/>
      <c r="T52" s="164"/>
      <c r="U52" s="164"/>
      <c r="V52" s="164"/>
      <c r="W52" s="164"/>
      <c r="X52" s="164"/>
      <c r="Y52" s="164"/>
      <c r="Z52" s="164"/>
      <c r="AA52" s="164" t="str">
        <f t="shared" ca="1" si="41"/>
        <v/>
      </c>
      <c r="AB52" s="166"/>
    </row>
    <row r="53" spans="1:28" ht="41.45" customHeight="1">
      <c r="A53" s="210"/>
      <c r="B53" s="164" t="str">
        <f t="shared" ca="1" si="26"/>
        <v/>
      </c>
      <c r="C53" s="164" t="str">
        <f t="shared" ca="1" si="27"/>
        <v/>
      </c>
      <c r="D53" s="164"/>
      <c r="E53" s="164" t="str">
        <f t="shared" ca="1" si="28"/>
        <v/>
      </c>
      <c r="F53" s="164" t="str">
        <f t="shared" ca="1" si="28"/>
        <v/>
      </c>
      <c r="G53" s="165" t="str">
        <f t="shared" ca="1" si="29"/>
        <v/>
      </c>
      <c r="H53" s="165" t="str">
        <f t="shared" ca="1" si="30"/>
        <v/>
      </c>
      <c r="I53" s="165" t="str">
        <f t="shared" ca="1" si="31"/>
        <v/>
      </c>
      <c r="J53" s="164" t="str">
        <f t="shared" ca="1" si="32"/>
        <v/>
      </c>
      <c r="K53" s="164" t="str">
        <f t="shared" ca="1" si="33"/>
        <v/>
      </c>
      <c r="L53" s="164" t="str">
        <f t="shared" ca="1" si="34"/>
        <v/>
      </c>
      <c r="M53" s="164" t="str">
        <f t="shared" ca="1" si="35"/>
        <v/>
      </c>
      <c r="N53" s="164" t="str">
        <f t="shared" ca="1" si="36"/>
        <v/>
      </c>
      <c r="O53" s="164" t="str">
        <f t="shared" ca="1" si="37"/>
        <v/>
      </c>
      <c r="P53" s="164" t="str">
        <f t="shared" ca="1" si="38"/>
        <v/>
      </c>
      <c r="Q53" s="164" t="str">
        <f t="shared" ca="1" si="39"/>
        <v/>
      </c>
      <c r="R53" s="164" t="str">
        <f t="shared" ca="1" si="40"/>
        <v/>
      </c>
      <c r="S53" s="164"/>
      <c r="T53" s="164"/>
      <c r="U53" s="164"/>
      <c r="V53" s="164"/>
      <c r="W53" s="164"/>
      <c r="X53" s="164"/>
      <c r="Y53" s="164"/>
      <c r="Z53" s="164"/>
      <c r="AA53" s="164" t="str">
        <f t="shared" ca="1" si="41"/>
        <v/>
      </c>
      <c r="AB53" s="166"/>
    </row>
    <row r="54" spans="1:28" ht="41.45" customHeight="1">
      <c r="A54" s="210"/>
      <c r="B54" s="164" t="str">
        <f t="shared" ca="1" si="26"/>
        <v/>
      </c>
      <c r="C54" s="164" t="str">
        <f t="shared" ca="1" si="27"/>
        <v/>
      </c>
      <c r="D54" s="164"/>
      <c r="E54" s="164" t="str">
        <f t="shared" ca="1" si="28"/>
        <v/>
      </c>
      <c r="F54" s="164" t="str">
        <f t="shared" ca="1" si="28"/>
        <v/>
      </c>
      <c r="G54" s="165" t="str">
        <f t="shared" ca="1" si="29"/>
        <v/>
      </c>
      <c r="H54" s="165" t="str">
        <f t="shared" ca="1" si="30"/>
        <v/>
      </c>
      <c r="I54" s="165" t="str">
        <f t="shared" ca="1" si="31"/>
        <v/>
      </c>
      <c r="J54" s="164" t="str">
        <f t="shared" ca="1" si="32"/>
        <v/>
      </c>
      <c r="K54" s="164" t="str">
        <f t="shared" ca="1" si="33"/>
        <v/>
      </c>
      <c r="L54" s="164" t="str">
        <f t="shared" ca="1" si="34"/>
        <v/>
      </c>
      <c r="M54" s="164" t="str">
        <f t="shared" ca="1" si="35"/>
        <v/>
      </c>
      <c r="N54" s="164" t="str">
        <f t="shared" ca="1" si="36"/>
        <v/>
      </c>
      <c r="O54" s="164" t="str">
        <f t="shared" ca="1" si="37"/>
        <v/>
      </c>
      <c r="P54" s="164" t="str">
        <f t="shared" ca="1" si="38"/>
        <v/>
      </c>
      <c r="Q54" s="164" t="str">
        <f t="shared" ca="1" si="39"/>
        <v/>
      </c>
      <c r="R54" s="164" t="str">
        <f t="shared" ca="1" si="40"/>
        <v/>
      </c>
      <c r="S54" s="164"/>
      <c r="T54" s="164"/>
      <c r="U54" s="164"/>
      <c r="V54" s="164"/>
      <c r="W54" s="164"/>
      <c r="X54" s="164"/>
      <c r="Y54" s="164"/>
      <c r="Z54" s="164"/>
      <c r="AA54" s="164" t="str">
        <f t="shared" ca="1" si="41"/>
        <v/>
      </c>
      <c r="AB54" s="166" t="str">
        <f ca="1">IF(ISBLANK($A54),"",INDIRECT("'"&amp;$A54&amp;"'!b59"))</f>
        <v/>
      </c>
    </row>
  </sheetData>
  <autoFilter ref="A1:AB54"/>
  <conditionalFormatting sqref="N2:O54 P1:AA1048576">
    <cfRule type="cellIs" dxfId="60" priority="9" operator="equal">
      <formula>"Modérée"</formula>
    </cfRule>
    <cfRule type="cellIs" dxfId="59" priority="10" operator="equal">
      <formula>"Insuffisant"</formula>
    </cfRule>
    <cfRule type="cellIs" dxfId="58" priority="11" operator="equal">
      <formula>"Exceptionnelle"</formula>
    </cfRule>
    <cfRule type="cellIs" dxfId="57" priority="12" operator="equal">
      <formula>"Catastrophique"</formula>
    </cfRule>
    <cfRule type="cellIs" dxfId="56" priority="13" operator="equal">
      <formula>"Critique"</formula>
    </cfRule>
    <cfRule type="cellIs" dxfId="55" priority="14" operator="equal">
      <formula>"Elevé"</formula>
    </cfRule>
    <cfRule type="cellIs" dxfId="54" priority="15" operator="equal">
      <formula>"Modéré"</formula>
    </cfRule>
    <cfRule type="cellIs" dxfId="53" priority="16" operator="equal">
      <formula>"Faible"</formula>
    </cfRule>
    <cfRule type="cellIs" dxfId="52" priority="17" operator="equal">
      <formula>"Marginal"</formula>
    </cfRule>
  </conditionalFormatting>
  <conditionalFormatting sqref="N1:N1048576">
    <cfRule type="cellIs" dxfId="51" priority="5" operator="equal">
      <formula>"Permanente"</formula>
    </cfRule>
    <cfRule type="cellIs" dxfId="50" priority="6" operator="equal">
      <formula>"Récurrente"</formula>
    </cfRule>
    <cfRule type="cellIs" dxfId="49" priority="8" operator="equal">
      <formula>"Elevée"</formula>
    </cfRule>
  </conditionalFormatting>
  <conditionalFormatting sqref="P1:P1048576">
    <cfRule type="cellIs" dxfId="48" priority="3" operator="equal">
      <formula>"Acceptable"</formula>
    </cfRule>
    <cfRule type="cellIs" dxfId="47" priority="4" operator="equal">
      <formula>"Maîtrisé"</formula>
    </cfRule>
  </conditionalFormatting>
  <conditionalFormatting sqref="N1:N1048576 Q1:Q54">
    <cfRule type="cellIs" dxfId="46" priority="7" operator="equal">
      <formula>"Rare"</formula>
    </cfRule>
  </conditionalFormatting>
  <conditionalFormatting sqref="W2:Z40">
    <cfRule type="cellIs" dxfId="45" priority="1" operator="equal">
      <formula>"Maîtrisé"</formula>
    </cfRule>
    <cfRule type="cellIs" dxfId="44" priority="2" operator="equal">
      <formula>"Acceptable"</formula>
    </cfRule>
  </conditionalFormatting>
  <hyperlinks>
    <hyperlink ref="A2" location="'Risk N°1'!A1" display="'Risk N°1'!A1"/>
    <hyperlink ref="A3" location="'Risk N°2'!A1" display="Risk N°2"/>
    <hyperlink ref="A4" location="'Risk N°3'!A1" display="Risk N°3"/>
    <hyperlink ref="A5" location="'Risk N°4'!A1" display="Risk N°4"/>
    <hyperlink ref="A6:A10" location="'Risk N°2'!A1" display="Risk N°2"/>
    <hyperlink ref="A11" location="'Risk N°10'!A1" display="Risk N°10"/>
    <hyperlink ref="A17" location="'Risk N°16'!A1" display="Risk N°16"/>
    <hyperlink ref="A12:A16" location="'Risk N°2'!A1" display="Risk N°2"/>
    <hyperlink ref="A18" location="'Risk N°17'!A1" display="Risk N°17"/>
    <hyperlink ref="A19:A23" location="'Risk N°2'!A1" display="Risk N°2"/>
    <hyperlink ref="A24" location="'Risk N°23'!A1" display="Risk N°23"/>
    <hyperlink ref="A25:A29" location="'Risk N°2'!A1" display="Risk N°2"/>
    <hyperlink ref="A30" location="'Risk N°29'!A1" display="Risk N°29"/>
    <hyperlink ref="A36" location="'Risk N°35'!A1" display="Risk N°35"/>
    <hyperlink ref="A31:A35" location="'Risk N°2'!A1" display="Risk N°2"/>
    <hyperlink ref="A37" location="'Risk N°36'!A1" display="Risk N°36"/>
    <hyperlink ref="A40" location="'Risk N°39'!A1" display="Risk N°39"/>
    <hyperlink ref="A39" location="'Risk N°38'!A1" display="Risk N°38"/>
    <hyperlink ref="A38" location="'Risk N°37'!A1" display="Risk N°37"/>
    <hyperlink ref="A35" location="'Risk N°34'!A1" display="Risk N°34"/>
    <hyperlink ref="A34" location="'Risk N°33'!A1" display="Risk N°33"/>
    <hyperlink ref="A33" location="'Risk N°32'!A1" display="Risk N°32"/>
    <hyperlink ref="A32" location="'Risk N°31'!A1" display="Risk N°31"/>
    <hyperlink ref="A31" location="'Risk N°30'!A1" display="Risk N°30"/>
    <hyperlink ref="A29" location="'Risk N°28'!A1" display="Risk N°28"/>
    <hyperlink ref="A28" location="'Risk N°27'!A1" display="Risk N°27"/>
    <hyperlink ref="A27" location="'Risk N°26'!A1" display="Risk N°26"/>
    <hyperlink ref="A26" location="'Risk N°25'!A1" display="Risk N°25"/>
    <hyperlink ref="A25" location="'Risk N°24'!A1" display="Risk N°24"/>
    <hyperlink ref="A23" location="'Risk N°22'!A1" display="Risk N°22"/>
    <hyperlink ref="A22" location="'Risk N°21'!A1" display="Risk N°21"/>
    <hyperlink ref="A21" location="'Risk N°20'!A1" display="Risk N°20"/>
    <hyperlink ref="A20" location="'Risk N°19'!A1" display="Risk N°19"/>
    <hyperlink ref="A19" location="'Risk N°18'!A1" display="Risk N°18"/>
    <hyperlink ref="A16" location="'Risk N°15'!A1" display="Risk N°15"/>
    <hyperlink ref="A15" location="'Risk N°14'!A1" display="Risk N°14"/>
    <hyperlink ref="A14" location="'Risk N°13'!A1" display="Risk N°13"/>
    <hyperlink ref="A13" location="'Risk N°12'!A1" display="Risk N°12"/>
    <hyperlink ref="A12" location="'Risk N°11'!A1" display="Risk N°11"/>
    <hyperlink ref="A10" location="'Risk N°9'!A1" display="Risk N°9"/>
    <hyperlink ref="A9" location="'Risk N°8'!A1" display="Risk N°8"/>
    <hyperlink ref="A8" location="'Risk N°7'!A1" display="Risk N°7"/>
    <hyperlink ref="A7" location="'Risk N°6'!A1" display="Risk N°6"/>
    <hyperlink ref="A6" location="'Risk N°5'!A1" display="Risk N°5"/>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sheetPr codeName="Feuil7">
    <tabColor rgb="FF00B0F0"/>
    <pageSetUpPr fitToPage="1"/>
  </sheetPr>
  <dimension ref="A1:H49"/>
  <sheetViews>
    <sheetView showGridLines="0" zoomScale="130" zoomScaleNormal="130" workbookViewId="0">
      <pane ySplit="3" topLeftCell="A4" activePane="bottomLeft" state="frozenSplit"/>
      <selection activeCell="C18" sqref="C18:D18"/>
      <selection pane="bottomLeft" activeCell="C9" sqref="C9"/>
    </sheetView>
  </sheetViews>
  <sheetFormatPr baseColWidth="10" defaultColWidth="25.28515625" defaultRowHeight="12"/>
  <cols>
    <col min="1" max="1" width="22.7109375" style="195" customWidth="1"/>
    <col min="2" max="2" width="20.42578125" style="195" customWidth="1"/>
    <col min="3" max="3" width="24" style="195" customWidth="1"/>
    <col min="4" max="4" width="15.85546875" style="195" customWidth="1"/>
    <col min="5" max="5" width="16.42578125" style="195" customWidth="1"/>
    <col min="6" max="6" width="34.28515625" style="172" customWidth="1"/>
    <col min="7" max="7" width="16.7109375" style="171" customWidth="1"/>
    <col min="8" max="8" width="25.28515625" style="171"/>
    <col min="9" max="16384" width="25.28515625" style="172"/>
  </cols>
  <sheetData>
    <row r="1" spans="1:8" ht="4.9000000000000004" customHeight="1" thickTop="1">
      <c r="A1" s="239"/>
      <c r="B1" s="239"/>
      <c r="C1" s="239"/>
      <c r="D1" s="239"/>
      <c r="E1" s="239"/>
      <c r="F1" s="240"/>
    </row>
    <row r="2" spans="1:8" ht="18" customHeight="1">
      <c r="A2" s="178" t="s">
        <v>751</v>
      </c>
      <c r="B2" s="263" t="s">
        <v>201</v>
      </c>
      <c r="C2" s="264"/>
      <c r="D2" s="174"/>
      <c r="E2" s="170"/>
      <c r="F2" s="229"/>
      <c r="G2" s="171" t="str">
        <f>$B$2&amp;"Risk"</f>
        <v>Direction_Relation_Prestations_Clients.Risk</v>
      </c>
      <c r="H2" s="171" t="str">
        <f>$B$2&amp;"Ctrl"</f>
        <v>Direction_Relation_Prestations_Clients.Ctrl</v>
      </c>
    </row>
    <row r="3" spans="1:8" ht="3.75" customHeight="1">
      <c r="A3" s="173"/>
      <c r="B3" s="175"/>
      <c r="C3" s="176"/>
      <c r="D3" s="177"/>
      <c r="E3" s="178"/>
      <c r="F3" s="230"/>
    </row>
    <row r="4" spans="1:8" ht="7.15" customHeight="1">
      <c r="A4" s="173"/>
      <c r="B4" s="175"/>
      <c r="C4" s="176"/>
      <c r="D4" s="177"/>
      <c r="E4" s="178"/>
      <c r="F4" s="230"/>
    </row>
    <row r="5" spans="1:8" ht="24.75" customHeight="1">
      <c r="A5" s="179" t="s">
        <v>752</v>
      </c>
      <c r="B5" s="180" t="str">
        <f ca="1">MID(CELL("nomfichier",A2),FIND("]",CELL("nomfichier",A2))+1,20)</f>
        <v>Risk N°1</v>
      </c>
      <c r="C5" s="181"/>
      <c r="D5" s="179" t="s">
        <v>942</v>
      </c>
      <c r="E5" s="265"/>
      <c r="F5" s="266"/>
      <c r="G5" s="171" t="str">
        <f>$B$2&amp;"PO"</f>
        <v>Direction_Relation_Prestations_Clients.PO</v>
      </c>
      <c r="H5" s="171" t="str">
        <f>$B$2&amp;"PM"</f>
        <v>Direction_Relation_Prestations_Clients.PM</v>
      </c>
    </row>
    <row r="6" spans="1:8" ht="18" customHeight="1">
      <c r="A6" s="179" t="s">
        <v>943</v>
      </c>
      <c r="B6" s="263" t="s">
        <v>581</v>
      </c>
      <c r="C6" s="264"/>
      <c r="D6" s="179"/>
      <c r="E6" s="267"/>
      <c r="F6" s="268"/>
      <c r="G6" s="171" t="str">
        <f>$B$2&amp;"Act"</f>
        <v>Direction_Relation_Prestations_Clients.Act</v>
      </c>
    </row>
    <row r="7" spans="1:8" ht="18" customHeight="1">
      <c r="A7" s="179" t="s">
        <v>753</v>
      </c>
      <c r="B7" s="263" t="s">
        <v>227</v>
      </c>
      <c r="C7" s="264"/>
      <c r="D7" s="179" t="s">
        <v>941</v>
      </c>
      <c r="E7" s="261"/>
      <c r="F7" s="262"/>
    </row>
    <row r="8" spans="1:8" ht="26.25" customHeight="1">
      <c r="A8" s="179" t="s">
        <v>961</v>
      </c>
      <c r="B8" s="260" t="s">
        <v>1026</v>
      </c>
      <c r="C8" s="181"/>
      <c r="D8" s="179" t="s">
        <v>944</v>
      </c>
      <c r="E8" s="261"/>
      <c r="F8" s="262"/>
    </row>
    <row r="9" spans="1:8" ht="25.5" customHeight="1">
      <c r="A9" s="179" t="s">
        <v>938</v>
      </c>
      <c r="B9" s="260" t="s">
        <v>116</v>
      </c>
      <c r="C9" s="181"/>
      <c r="D9" s="179"/>
      <c r="E9" s="179"/>
      <c r="F9" s="242"/>
    </row>
    <row r="10" spans="1:8" ht="18" customHeight="1">
      <c r="A10" s="179" t="s">
        <v>754</v>
      </c>
      <c r="B10" s="224"/>
      <c r="C10" s="181"/>
      <c r="D10" s="179" t="s">
        <v>939</v>
      </c>
      <c r="E10" s="224" t="s">
        <v>188</v>
      </c>
      <c r="F10" s="231"/>
    </row>
    <row r="11" spans="1:8" ht="18" customHeight="1">
      <c r="A11" s="179" t="s">
        <v>945</v>
      </c>
      <c r="B11" s="183" t="s">
        <v>580</v>
      </c>
      <c r="C11" s="181"/>
      <c r="D11" s="179" t="s">
        <v>940</v>
      </c>
      <c r="E11" s="224" t="s">
        <v>188</v>
      </c>
      <c r="F11" s="231"/>
    </row>
    <row r="12" spans="1:8" ht="18" customHeight="1">
      <c r="A12" s="179" t="s">
        <v>755</v>
      </c>
      <c r="B12" s="183">
        <v>43063</v>
      </c>
      <c r="C12" s="181"/>
      <c r="D12" s="182"/>
      <c r="E12" s="182"/>
      <c r="F12" s="231"/>
    </row>
    <row r="13" spans="1:8" ht="7.15" customHeight="1">
      <c r="A13" s="179"/>
      <c r="B13" s="179"/>
      <c r="C13" s="179"/>
      <c r="D13" s="179"/>
      <c r="E13" s="179"/>
      <c r="F13" s="232"/>
    </row>
    <row r="14" spans="1:8" ht="7.15" customHeight="1" thickBot="1">
      <c r="A14" s="179"/>
      <c r="B14" s="179"/>
      <c r="C14" s="179"/>
      <c r="D14" s="176"/>
      <c r="E14" s="176"/>
      <c r="F14" s="231"/>
    </row>
    <row r="15" spans="1:8" ht="36.75" thickBot="1">
      <c r="A15" s="184" t="s">
        <v>959</v>
      </c>
      <c r="B15" s="271" t="s">
        <v>954</v>
      </c>
      <c r="C15" s="272"/>
      <c r="D15" s="273"/>
      <c r="E15" s="185" t="s">
        <v>756</v>
      </c>
      <c r="F15" s="233" t="s">
        <v>757</v>
      </c>
    </row>
    <row r="16" spans="1:8" ht="7.15" customHeight="1">
      <c r="A16" s="186"/>
      <c r="B16" s="186"/>
      <c r="C16" s="170"/>
      <c r="D16" s="170"/>
      <c r="E16" s="187"/>
      <c r="F16" s="234"/>
    </row>
    <row r="17" spans="1:6" ht="63.75" customHeight="1">
      <c r="A17" s="179" t="s">
        <v>758</v>
      </c>
      <c r="B17" s="188" t="s">
        <v>6</v>
      </c>
      <c r="C17" s="274" t="s">
        <v>759</v>
      </c>
      <c r="D17" s="275"/>
      <c r="E17" s="227"/>
      <c r="F17" s="235" t="str">
        <f>IF(ISBLANK(B17),"",IF(OR(B17=E17,E17=""),VLOOKUP(B17,Proba_Brut2,2,FALSE),VLOOKUP(E17,Proba_Brut2,2,FALSE)))</f>
        <v>Évènement pouvant se produire souvent du fait du volume et/ou de l'acteur de l'acte de gestion</v>
      </c>
    </row>
    <row r="18" spans="1:6" ht="63.75" customHeight="1">
      <c r="A18" s="179" t="s">
        <v>760</v>
      </c>
      <c r="B18" s="188" t="s">
        <v>10</v>
      </c>
      <c r="C18" s="274" t="s">
        <v>759</v>
      </c>
      <c r="D18" s="275"/>
      <c r="E18" s="227"/>
      <c r="F18" s="235" t="str">
        <f>IF(ISBLANK(B18),"",IF(OR(B18=E18,E18=""),VLOOKUP(B18,Impact_Brut2,2,FALSE),VLOOKUP(E18,Impact_Brut2,2,FALSE)))</f>
        <v>Impacts dont la gravité peut avoir des répercussions non négligeables sur les activités entrainant des pertes suffisantes pour nécessité la révision de tout ou partie des processus à l'origine des dysfonctionnements</v>
      </c>
    </row>
    <row r="19" spans="1:6" ht="28.9" customHeight="1">
      <c r="A19" s="179"/>
      <c r="B19" s="170"/>
      <c r="C19" s="170"/>
      <c r="D19" s="170"/>
      <c r="E19" s="189"/>
      <c r="F19" s="229"/>
    </row>
    <row r="20" spans="1:6" ht="63.75" customHeight="1">
      <c r="A20" s="179" t="s">
        <v>761</v>
      </c>
      <c r="B20" s="188" t="s">
        <v>88</v>
      </c>
      <c r="C20" s="274" t="s">
        <v>759</v>
      </c>
      <c r="D20" s="275"/>
      <c r="E20" s="227"/>
      <c r="F20" s="235" t="str">
        <f>IF(ISBLANK(B20),"",IF(OR(B20=E20,E20=""),VLOOKUP(B20,Cotation_DMR2,2,FALSE),VLOOKUP(E20,Cotation_DMR2,2,FALSE)))</f>
        <v>Dispositifs mis en place permettant de réduire la fréquence ou l’impact du risque à un niveau satisfaisant : règles écrites et détaillées, contrôles formalisés et appliqués (indicateurs de suivi et de contrôle, évaluation des procédures, etc.).</v>
      </c>
    </row>
    <row r="21" spans="1:6" ht="28.9" customHeight="1">
      <c r="A21" s="179"/>
      <c r="B21" s="170"/>
      <c r="C21" s="170"/>
      <c r="D21" s="170"/>
      <c r="E21" s="190"/>
      <c r="F21" s="229"/>
    </row>
    <row r="22" spans="1:6" ht="63.75" customHeight="1">
      <c r="A22" s="179" t="s">
        <v>762</v>
      </c>
      <c r="B22" s="188" t="s">
        <v>4</v>
      </c>
      <c r="C22" s="274" t="s">
        <v>759</v>
      </c>
      <c r="D22" s="275"/>
      <c r="E22" s="226"/>
      <c r="F22" s="236" t="str">
        <f>IF(ISBLANK(B22),"",IF(OR(B22=E22,E22=""),VLOOKUP(B22,Proba_Brut2,2,FALSE),VLOOKUP(E22,Proba_Brut2,2,FALSE)))</f>
        <v>Évènement peu attendu ou rare au regard du volume d'actes réalisés</v>
      </c>
    </row>
    <row r="23" spans="1:6" ht="63.75" customHeight="1">
      <c r="A23" s="179" t="s">
        <v>763</v>
      </c>
      <c r="B23" s="188" t="s">
        <v>9</v>
      </c>
      <c r="C23" s="274" t="s">
        <v>759</v>
      </c>
      <c r="D23" s="275"/>
      <c r="E23" s="226"/>
      <c r="F23" s="236" t="str">
        <f>IF(ISBLANK(B23),"",IF(OR(B23=E23,E23=""),VLOOKUP(B23,Impact_Brut2,2,FALSE),VLOOKUP(E23,Impact_Brut2,2,FALSE)))</f>
        <v>Impacts dont la gravité a des conséquences directes sur l'activité de l'entreprise, et nécessite la mise en œuvre immédiate d'un plan d'action correspondant.</v>
      </c>
    </row>
    <row r="24" spans="1:6" ht="7.15" customHeight="1" thickBot="1">
      <c r="A24" s="179"/>
      <c r="B24" s="179"/>
      <c r="C24" s="179"/>
      <c r="D24" s="176"/>
      <c r="E24" s="176"/>
      <c r="F24" s="231"/>
    </row>
    <row r="25" spans="1:6" ht="36.75" thickBot="1">
      <c r="A25" s="184" t="s">
        <v>959</v>
      </c>
      <c r="B25" s="271" t="s">
        <v>989</v>
      </c>
      <c r="C25" s="272"/>
      <c r="D25" s="273"/>
      <c r="E25" s="241" t="s">
        <v>756</v>
      </c>
      <c r="F25" s="233" t="s">
        <v>953</v>
      </c>
    </row>
    <row r="26" spans="1:6" ht="7.15" customHeight="1">
      <c r="A26" s="179"/>
      <c r="B26" s="179"/>
      <c r="C26" s="179"/>
      <c r="D26" s="176"/>
      <c r="E26" s="176"/>
      <c r="F26" s="231"/>
    </row>
    <row r="27" spans="1:6" ht="63.75" customHeight="1">
      <c r="A27" s="179" t="s">
        <v>949</v>
      </c>
      <c r="B27" s="188" t="s">
        <v>8</v>
      </c>
      <c r="C27" s="274" t="s">
        <v>759</v>
      </c>
      <c r="D27" s="275"/>
      <c r="E27" s="226"/>
      <c r="F27" s="236" t="str">
        <f>IF(ISBLANK(B27),"",IF(OR(B27=E27,E27=""),VLOOKUP(B27,Impacts_Financiers,2,FALSE),VLOOKUP(E27,Impacts_Financiers,2,FALSE)))</f>
        <v>Coût non significatif sur le chiffre d'affaires, le résultat ou la solvabilité (fonds propres)</v>
      </c>
    </row>
    <row r="28" spans="1:6" ht="63.75" customHeight="1">
      <c r="A28" s="179" t="s">
        <v>950</v>
      </c>
      <c r="B28" s="188" t="s">
        <v>9</v>
      </c>
      <c r="C28" s="274" t="s">
        <v>759</v>
      </c>
      <c r="D28" s="275"/>
      <c r="E28" s="226"/>
      <c r="F28" s="236" t="str">
        <f>IF(ISBLANK(B28),"",IF(OR(B28=E28,E28=""),VLOOKUP(B28,Impacts_Clients,2,FALSE),VLOOKUP(E28,Impacts_Clients,2,FALSE)))</f>
        <v>Perte &lt;10 clients IC 110
Augmentation &lt; 20% des appels téléphoniques / Augmentation &lt; 10% des réclamations clients
Moins de 100 assurés / allocataires touchés
Moins de 50 entreprises clientes touchés
Médiatisation limitée à la presse spécialisée</v>
      </c>
    </row>
    <row r="29" spans="1:6" ht="63.75" customHeight="1">
      <c r="A29" s="179" t="s">
        <v>951</v>
      </c>
      <c r="B29" s="188" t="s">
        <v>11</v>
      </c>
      <c r="C29" s="274" t="s">
        <v>759</v>
      </c>
      <c r="D29" s="275"/>
      <c r="E29" s="226"/>
      <c r="F29" s="236" t="str">
        <f>IF(ISBLANK(B29),"",IF(OR(B29=E29,E29=""),VLOOKUP(B29,Impacts_Conformité,2,FALSE),VLOOKUP(E29,Impacts_Conformité,2,FALSE)))</f>
        <v>Blâme des autorités de tutelle / Sanctions financières des autorités de tutelle (capital add on)
Condamnation civile d'un dirigeant ou d'une personne morale</v>
      </c>
    </row>
    <row r="30" spans="1:6" ht="63.75" customHeight="1">
      <c r="A30" s="179" t="s">
        <v>952</v>
      </c>
      <c r="B30" s="188" t="s">
        <v>10</v>
      </c>
      <c r="C30" s="274" t="s">
        <v>759</v>
      </c>
      <c r="D30" s="275"/>
      <c r="E30" s="226"/>
      <c r="F30" s="236" t="str">
        <f>IF(ISBLANK(B30),"",IF(OR(B30=E30,E30=""),VLOOKUP(B30,Impacts_Stratégie,2,FALSE),VLOOKUP(E30,Impacts_Stratégie,2,FALSE)))</f>
        <v>Remise en cause partielle d'une Orientation / Projet stratégique 
Perte notable de la performance / qualité des opérations ou des outils / des SI</v>
      </c>
    </row>
    <row r="31" spans="1:6" ht="7.15" customHeight="1" thickBot="1">
      <c r="A31" s="179"/>
      <c r="B31" s="179"/>
      <c r="C31" s="179"/>
      <c r="D31" s="176"/>
      <c r="E31" s="176"/>
      <c r="F31" s="231"/>
    </row>
    <row r="32" spans="1:6" ht="36.75" thickBot="1">
      <c r="A32" s="184" t="s">
        <v>959</v>
      </c>
      <c r="B32" s="271" t="s">
        <v>990</v>
      </c>
      <c r="C32" s="272"/>
      <c r="D32" s="273"/>
      <c r="E32" s="185" t="s">
        <v>756</v>
      </c>
      <c r="F32" s="233" t="s">
        <v>953</v>
      </c>
    </row>
    <row r="33" spans="1:8" ht="7.15" customHeight="1">
      <c r="A33" s="179"/>
      <c r="B33" s="179"/>
      <c r="C33" s="179"/>
      <c r="D33" s="176"/>
      <c r="E33" s="176"/>
      <c r="F33" s="231"/>
    </row>
    <row r="34" spans="1:8" ht="63.75" customHeight="1">
      <c r="A34" s="179" t="s">
        <v>957</v>
      </c>
      <c r="B34" s="188" t="s">
        <v>88</v>
      </c>
      <c r="C34" s="225"/>
      <c r="D34" s="225"/>
      <c r="E34" s="226"/>
      <c r="F34" s="236" t="str">
        <f>IF(ISBLANK(B34),"",IF(OR(B34=E34,E34=""),VLOOKUP(B34,DMR_Homme,2,FALSE),VLOOKUP(E34,DMR_Homme,2,FALSE)))</f>
        <v>Organisation pleinement satisfaisante. Ressources adaptées, suffisantes</v>
      </c>
    </row>
    <row r="35" spans="1:8" ht="63.75" customHeight="1">
      <c r="A35" s="179" t="s">
        <v>956</v>
      </c>
      <c r="B35" s="188" t="s">
        <v>88</v>
      </c>
      <c r="C35" s="225"/>
      <c r="D35" s="225"/>
      <c r="E35" s="226"/>
      <c r="F35" s="236" t="str">
        <f>IF(ISBLANK(B35),"",IF(OR(B35=E35,E35=""),VLOOKUP(B35,DMR_SI,2,FALSE),VLOOKUP(E35,DMR_SI,2,FALSE)))</f>
        <v>Système d'information pleinement satisfaisant et capable d'évoluer / aux besoins utilisateurs</v>
      </c>
    </row>
    <row r="36" spans="1:8" ht="63.75" customHeight="1">
      <c r="A36" s="179" t="s">
        <v>955</v>
      </c>
      <c r="B36" s="188" t="s">
        <v>88</v>
      </c>
      <c r="C36" s="225"/>
      <c r="D36" s="225"/>
      <c r="E36" s="226"/>
      <c r="F36" s="236" t="str">
        <f>IF(ISBLANK(B36),"",IF(OR(B36=E36,E36=""),VLOOKUP(B36,DMR_Procedure,2,FALSE),VLOOKUP(E36,DMR_Procedure,2,FALSE)))</f>
        <v>Processus formalisé,  procédure et mis à jour régulièrement. Processus avec très peu de dysfonctionnements (en général mineurs)</v>
      </c>
    </row>
    <row r="37" spans="1:8" ht="63.75" customHeight="1">
      <c r="A37" s="179" t="s">
        <v>958</v>
      </c>
      <c r="B37" s="188" t="s">
        <v>88</v>
      </c>
      <c r="C37" s="225"/>
      <c r="D37" s="225"/>
      <c r="E37" s="226"/>
      <c r="F37" s="236" t="str">
        <f>IF(ISBLANK(B37),"",IF(OR(B37=E37,E37=""),VLOOKUP(B37,DMR_Reglementaire,2,FALSE),VLOOKUP(E37,DMR_Reglementaire,2,FALSE)))</f>
        <v>Non-conformité  anticipées au fil de l'eau et actions de mises en conformités planifiées</v>
      </c>
    </row>
    <row r="38" spans="1:8" ht="7.15" customHeight="1" thickBot="1">
      <c r="A38" s="179"/>
      <c r="B38" s="179"/>
      <c r="C38" s="179"/>
      <c r="D38" s="176"/>
      <c r="E38" s="176"/>
      <c r="F38" s="231"/>
    </row>
    <row r="39" spans="1:8" ht="27.75" customHeight="1" thickBot="1">
      <c r="A39" s="184" t="s">
        <v>959</v>
      </c>
      <c r="B39" s="271" t="s">
        <v>1023</v>
      </c>
      <c r="C39" s="272"/>
      <c r="D39" s="272"/>
      <c r="E39" s="272"/>
      <c r="F39" s="276"/>
    </row>
    <row r="40" spans="1:8" ht="1.5" hidden="1" customHeight="1">
      <c r="A40" s="179"/>
      <c r="B40" s="179"/>
      <c r="C40" s="179"/>
      <c r="D40" s="179"/>
      <c r="E40" s="179"/>
      <c r="F40" s="232"/>
      <c r="G40" s="191"/>
      <c r="H40" s="191"/>
    </row>
    <row r="41" spans="1:8" ht="10.5" customHeight="1">
      <c r="A41" s="194"/>
      <c r="B41" s="194"/>
      <c r="C41" s="194"/>
      <c r="D41" s="194"/>
      <c r="E41" s="194"/>
      <c r="F41" s="237"/>
    </row>
    <row r="42" spans="1:8" ht="47.45" customHeight="1">
      <c r="A42" s="192" t="s">
        <v>764</v>
      </c>
      <c r="B42" s="226"/>
      <c r="C42" s="277" t="str">
        <f>IF(ISBLANK(B42),"",VLOOKUP(B42,Impact_Brut,2,FALSE))</f>
        <v/>
      </c>
      <c r="D42" s="277"/>
      <c r="E42" s="277"/>
      <c r="F42" s="277"/>
    </row>
    <row r="43" spans="1:8" ht="7.9" customHeight="1">
      <c r="A43" s="193"/>
      <c r="B43" s="193"/>
      <c r="C43" s="193"/>
      <c r="D43" s="193"/>
      <c r="E43" s="193"/>
      <c r="F43" s="237"/>
    </row>
    <row r="44" spans="1:8" ht="47.45" customHeight="1">
      <c r="A44" s="192" t="s">
        <v>765</v>
      </c>
      <c r="B44" s="226"/>
      <c r="C44" s="277" t="str">
        <f>IF(ISBLANK(B44),"",VLOOKUP(B44,Impact_Brut2,2,FALSE))</f>
        <v/>
      </c>
      <c r="D44" s="277"/>
      <c r="E44" s="277"/>
      <c r="F44" s="277"/>
    </row>
    <row r="45" spans="1:8" ht="7.9" customHeight="1">
      <c r="A45" s="193"/>
      <c r="B45" s="193"/>
      <c r="C45" s="193"/>
      <c r="D45" s="193"/>
      <c r="E45" s="193"/>
      <c r="F45" s="237"/>
    </row>
    <row r="46" spans="1:8" ht="30" customHeight="1">
      <c r="A46" s="192" t="s">
        <v>766</v>
      </c>
      <c r="B46" s="269"/>
      <c r="C46" s="269"/>
      <c r="D46" s="269"/>
      <c r="E46" s="269"/>
      <c r="F46" s="269"/>
    </row>
    <row r="47" spans="1:8" ht="52.15" customHeight="1">
      <c r="A47" s="194" t="s">
        <v>767</v>
      </c>
      <c r="B47" s="270"/>
      <c r="C47" s="270"/>
      <c r="D47" s="270"/>
      <c r="E47" s="270"/>
      <c r="F47" s="270"/>
    </row>
    <row r="48" spans="1:8" ht="20.45" customHeight="1" thickBot="1">
      <c r="A48" s="228"/>
      <c r="B48" s="228"/>
      <c r="C48" s="228"/>
      <c r="D48" s="228"/>
      <c r="E48" s="228"/>
      <c r="F48" s="238"/>
    </row>
    <row r="49" ht="12.75" thickTop="1"/>
  </sheetData>
  <dataConsolidate/>
  <mergeCells count="22">
    <mergeCell ref="B46:F47"/>
    <mergeCell ref="B15:D15"/>
    <mergeCell ref="C17:D17"/>
    <mergeCell ref="C18:D18"/>
    <mergeCell ref="B39:F39"/>
    <mergeCell ref="C20:D20"/>
    <mergeCell ref="C22:D22"/>
    <mergeCell ref="C23:D23"/>
    <mergeCell ref="C42:F42"/>
    <mergeCell ref="C44:F44"/>
    <mergeCell ref="B25:D25"/>
    <mergeCell ref="B32:D32"/>
    <mergeCell ref="C27:D27"/>
    <mergeCell ref="C28:D28"/>
    <mergeCell ref="C29:D29"/>
    <mergeCell ref="C30:D30"/>
    <mergeCell ref="E7:F7"/>
    <mergeCell ref="E8:F8"/>
    <mergeCell ref="B2:C2"/>
    <mergeCell ref="E5:F6"/>
    <mergeCell ref="B6:C6"/>
    <mergeCell ref="B7:C7"/>
  </mergeCells>
  <conditionalFormatting sqref="B42 B44 E34:E37 B34:B37 E27:E30 E20:E23 B27:B30 E17:E18 B17:B23 D40:E40">
    <cfRule type="cellIs" dxfId="43" priority="10" operator="equal">
      <formula>"Insuffisant"</formula>
    </cfRule>
    <cfRule type="cellIs" dxfId="42" priority="11" operator="equal">
      <formula>"Acceptable"</formula>
    </cfRule>
    <cfRule type="cellIs" dxfId="41" priority="12" operator="equal">
      <formula>"Permanente"</formula>
    </cfRule>
    <cfRule type="cellIs" dxfId="40" priority="13" operator="equal">
      <formula>"Récurrente"</formula>
    </cfRule>
    <cfRule type="cellIs" dxfId="39" priority="14" operator="equal">
      <formula>"Exceptionnelle"</formula>
    </cfRule>
    <cfRule type="cellIs" dxfId="38" priority="15" operator="equal">
      <formula>"Rare"</formula>
    </cfRule>
    <cfRule type="cellIs" dxfId="37" priority="16" operator="equal">
      <formula>"Modérée"</formula>
    </cfRule>
    <cfRule type="cellIs" dxfId="36" priority="17" operator="equal">
      <formula>"Maîtrisé"</formula>
    </cfRule>
    <cfRule type="cellIs" dxfId="35" priority="18" operator="equal">
      <formula>"Elevée"</formula>
    </cfRule>
    <cfRule type="cellIs" dxfId="34" priority="25" operator="equal">
      <formula>"Catastrophique"</formula>
    </cfRule>
    <cfRule type="cellIs" dxfId="33" priority="26" operator="equal">
      <formula>"Critique"</formula>
    </cfRule>
    <cfRule type="cellIs" dxfId="32" priority="27" operator="equal">
      <formula>"Elevé"</formula>
    </cfRule>
    <cfRule type="cellIs" dxfId="31" priority="28" operator="equal">
      <formula>"Modéré"</formula>
    </cfRule>
    <cfRule type="cellIs" dxfId="30" priority="30" operator="equal">
      <formula>"Marginal"</formula>
    </cfRule>
  </conditionalFormatting>
  <conditionalFormatting sqref="E20:E23 E34:E37 E27:E30 D40:E40">
    <cfRule type="cellIs" dxfId="29" priority="19" operator="equal">
      <formula>"Catastrophique"</formula>
    </cfRule>
    <cfRule type="cellIs" dxfId="28" priority="20" operator="equal">
      <formula>"Critique"</formula>
    </cfRule>
    <cfRule type="cellIs" dxfId="27" priority="21" operator="equal">
      <formula>"Elevé"</formula>
    </cfRule>
    <cfRule type="cellIs" dxfId="26" priority="22" operator="equal">
      <formula>"Modéré"</formula>
    </cfRule>
    <cfRule type="cellIs" dxfId="25" priority="23" operator="equal">
      <formula>"Faible"</formula>
    </cfRule>
    <cfRule type="cellIs" dxfId="24" priority="24" operator="equal">
      <formula>"Marginal"</formula>
    </cfRule>
  </conditionalFormatting>
  <conditionalFormatting sqref="B20 B30 B34:B37">
    <cfRule type="cellIs" dxfId="23" priority="29" operator="equal">
      <formula>"Faible"</formula>
    </cfRule>
  </conditionalFormatting>
  <conditionalFormatting sqref="B27:B30 B23 B18 B34:B37">
    <cfRule type="cellIs" dxfId="22" priority="9" operator="equal">
      <formula>"Faible"</formula>
    </cfRule>
  </conditionalFormatting>
  <dataValidations xWindow="434" yWindow="365" count="23">
    <dataValidation allowBlank="1" showErrorMessage="1" sqref="A27:A30 B12 A19:A23 B21:D21 B19:D19 A34:A37"/>
    <dataValidation allowBlank="1" showInputMessage="1" showErrorMessage="1" promptTitle="Réservé DG et CI" prompt="  " sqref="B46"/>
    <dataValidation allowBlank="1" showInputMessage="1" showErrorMessage="1" promptTitle="Réservé à la Direction Générale" prompt="  " sqref="C44"/>
    <dataValidation allowBlank="1" showInputMessage="1" showErrorMessage="1" promptTitle="Réservé au Contrôle Interne" prompt="  " sqref="C42"/>
    <dataValidation type="list" allowBlank="1" showInputMessage="1" showErrorMessage="1" promptTitle="Réservé au dépt gest des risques" prompt="  " sqref="B42">
      <formula1>Impact_Brut</formula1>
    </dataValidation>
    <dataValidation type="list" allowBlank="1" showInputMessage="1" showErrorMessage="1" promptTitle="Réservé à la Direction Générale" prompt="  " sqref="B44">
      <formula1>Impact_Brut</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34:B37">
      <formula1>Cotation_DMR</formula1>
    </dataValidation>
    <dataValidation type="list" allowBlank="1" showInputMessage="1" showErrorMessage="1" promptTitle="Synthèse de l'impact (Dir Opér)" prompt="Sélectionner dans la liste le niveau d'impact. C'est cette valeur qui s'affiche en dynamique dans la zone commentaire et qui sera retenue." sqref="E27:E30 E17:E18 E22:E23 E20 E34:E37">
      <formula1>Impp</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20">
      <formula1>Cotation_DMR</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22">
      <formula1>Proba_Brut</formula1>
    </dataValidation>
    <dataValidation type="list" allowBlank="1" showInputMessage="1" showErrorMessage="1" promptTitle="Sélectionner votre Direction" prompt="Sélectionner votre Direction dans la liste proposée" sqref="B2:C2">
      <formula1>Directions</formula1>
    </dataValidation>
    <dataValidation allowBlank="1" showInputMessage="1" promptTitle="Rattachement à un PM" prompt="Précisez ici le processus auquel se rattache le risque : il peut être de niveau 2 ou 3." sqref="E12:F12 E7:F9"/>
    <dataValidation type="list" allowBlank="1" showInputMessage="1" showErrorMessage="1" sqref="E10">
      <formula1>Choix</formula1>
    </dataValidation>
    <dataValidation allowBlank="1" showInputMessage="1" showErrorMessage="1" promptTitle="Code du risque" prompt="Référez vous à la nomenclature." sqref="B11"/>
    <dataValidation allowBlank="1" showInputMessage="1" promptTitle="Déclaré par" prompt="Nom du CMR déclarant" sqref="B10"/>
    <dataValidation type="list" allowBlank="1" showInputMessage="1" showErrorMessage="1" promptTitle="Entité du déclarant" prompt="Choisir votre département dans la liste déroulante." sqref="B7:C7">
      <formula1>INDIRECT($B$2)</formula1>
    </dataValidation>
    <dataValidation allowBlank="1" showInputMessage="1" showErrorMessage="1" promptTitle="Nom du risque" prompt="Inscrire le nom de votre risque. Il doit permettre de comprendre globalement l'événement et de le retrouver rapidement." sqref="B6:C6"/>
    <dataValidation allowBlank="1" showInputMessage="1" showErrorMessage="1" promptTitle="Descrption de l'incident" prompt="description la plus détaillée possible de l'incident" sqref="E5"/>
    <dataValidation type="list" allowBlank="1" showInputMessage="1" showErrorMessage="1" sqref="E11">
      <formula1>"Oui,Non"</formula1>
    </dataValidation>
    <dataValidation type="list" allowBlank="1" showInputMessage="1" showErrorMessage="1" promptTitle="Entité du déclarant" prompt="Choisir votre département dans la liste déroulante." sqref="B8">
      <formula1>Domaine</formula1>
    </dataValidation>
    <dataValidation type="list" allowBlank="1" showInputMessage="1" showErrorMessage="1" promptTitle="Entité du déclarant" prompt="Choisir votre département dans la liste déroulante." sqref="B9">
      <formula1>INDIRECT($B$8)</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7">
      <formula1>Proba_Brut</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8 B23 B27:B30">
      <formula1>Impact_Brut</formula1>
    </dataValidation>
  </dataValidations>
  <pageMargins left="0.70866141732283472" right="0.70866141732283472" top="0.74803149606299213" bottom="0.74803149606299213" header="0.31496062992125984" footer="0.31496062992125984"/>
  <pageSetup paperSize="9" scale="36" orientation="portrait" r:id="rId1"/>
</worksheet>
</file>

<file path=xl/worksheets/sheet4.xml><?xml version="1.0" encoding="utf-8"?>
<worksheet xmlns="http://schemas.openxmlformats.org/spreadsheetml/2006/main" xmlns:r="http://schemas.openxmlformats.org/officeDocument/2006/relationships">
  <sheetPr codeName="Feuil12">
    <tabColor rgb="FF00B0F0"/>
    <pageSetUpPr fitToPage="1"/>
  </sheetPr>
  <dimension ref="A1:H49"/>
  <sheetViews>
    <sheetView showGridLines="0" zoomScale="130" zoomScaleNormal="130" workbookViewId="0">
      <pane ySplit="3" topLeftCell="A4" activePane="bottomLeft" state="frozenSplit"/>
      <selection activeCell="C18" sqref="C18:D18"/>
      <selection pane="bottomLeft" activeCell="C11" sqref="C11"/>
    </sheetView>
  </sheetViews>
  <sheetFormatPr baseColWidth="10" defaultColWidth="25.28515625" defaultRowHeight="12"/>
  <cols>
    <col min="1" max="1" width="22.7109375" style="195" customWidth="1"/>
    <col min="2" max="2" width="20.42578125" style="195" customWidth="1"/>
    <col min="3" max="3" width="24" style="195" customWidth="1"/>
    <col min="4" max="4" width="15.85546875" style="195" customWidth="1"/>
    <col min="5" max="5" width="16.42578125" style="195" customWidth="1"/>
    <col min="6" max="6" width="34.28515625" style="172" customWidth="1"/>
    <col min="7" max="7" width="16.7109375" style="171" customWidth="1"/>
    <col min="8" max="8" width="25.28515625" style="171"/>
    <col min="9" max="16384" width="25.28515625" style="172"/>
  </cols>
  <sheetData>
    <row r="1" spans="1:8" ht="4.9000000000000004" customHeight="1" thickTop="1">
      <c r="A1" s="239"/>
      <c r="B1" s="239"/>
      <c r="C1" s="239"/>
      <c r="D1" s="239"/>
      <c r="E1" s="239"/>
      <c r="F1" s="240"/>
    </row>
    <row r="2" spans="1:8" ht="18" customHeight="1">
      <c r="A2" s="178" t="s">
        <v>751</v>
      </c>
      <c r="B2" s="263" t="s">
        <v>201</v>
      </c>
      <c r="C2" s="264"/>
      <c r="D2" s="174" t="str">
        <f ca="1">Paramètres!$A$7</f>
        <v>Vous utilisez le fichier de la période du 1 semestre 2018</v>
      </c>
      <c r="E2" s="170"/>
      <c r="F2" s="229"/>
      <c r="G2" s="171" t="str">
        <f>$B$2&amp;"Risk"</f>
        <v>Direction_Relation_Prestations_Clients.Risk</v>
      </c>
      <c r="H2" s="171" t="str">
        <f>$B$2&amp;"Ctrl"</f>
        <v>Direction_Relation_Prestations_Clients.Ctrl</v>
      </c>
    </row>
    <row r="3" spans="1:8" ht="3.75" customHeight="1">
      <c r="A3" s="173"/>
      <c r="B3" s="175"/>
      <c r="C3" s="176"/>
      <c r="D3" s="177"/>
      <c r="E3" s="178"/>
      <c r="F3" s="230"/>
    </row>
    <row r="4" spans="1:8" ht="7.15" customHeight="1">
      <c r="A4" s="173"/>
      <c r="B4" s="175"/>
      <c r="C4" s="176"/>
      <c r="D4" s="177"/>
      <c r="E4" s="178"/>
      <c r="F4" s="230"/>
    </row>
    <row r="5" spans="1:8" ht="24.75" customHeight="1">
      <c r="A5" s="179" t="s">
        <v>752</v>
      </c>
      <c r="B5" s="180" t="str">
        <f ca="1">MID(CELL("nomfichier",A2),FIND("]",CELL("nomfichier",A2))+1,20)</f>
        <v>Risk N°2</v>
      </c>
      <c r="C5" s="181"/>
      <c r="D5" s="179" t="s">
        <v>942</v>
      </c>
      <c r="E5" s="265"/>
      <c r="F5" s="266"/>
      <c r="G5" s="171" t="str">
        <f>$B$2&amp;"PO"</f>
        <v>Direction_Relation_Prestations_Clients.PO</v>
      </c>
      <c r="H5" s="171" t="str">
        <f>$B$2&amp;"PM"</f>
        <v>Direction_Relation_Prestations_Clients.PM</v>
      </c>
    </row>
    <row r="6" spans="1:8" ht="18" customHeight="1">
      <c r="A6" s="179" t="s">
        <v>943</v>
      </c>
      <c r="B6" s="263" t="s">
        <v>581</v>
      </c>
      <c r="C6" s="264"/>
      <c r="D6" s="179"/>
      <c r="E6" s="267"/>
      <c r="F6" s="268"/>
      <c r="G6" s="171" t="str">
        <f>$B$2&amp;"Act"</f>
        <v>Direction_Relation_Prestations_Clients.Act</v>
      </c>
    </row>
    <row r="7" spans="1:8" ht="18" customHeight="1">
      <c r="A7" s="179" t="s">
        <v>753</v>
      </c>
      <c r="B7" s="263" t="s">
        <v>227</v>
      </c>
      <c r="C7" s="264"/>
      <c r="D7" s="179" t="s">
        <v>941</v>
      </c>
      <c r="E7" s="261"/>
      <c r="F7" s="262"/>
    </row>
    <row r="8" spans="1:8" ht="26.25" customHeight="1">
      <c r="A8" s="179" t="s">
        <v>961</v>
      </c>
      <c r="B8" s="224" t="s">
        <v>776</v>
      </c>
      <c r="C8" s="181"/>
      <c r="D8" s="179" t="s">
        <v>944</v>
      </c>
      <c r="E8" s="261"/>
      <c r="F8" s="262"/>
    </row>
    <row r="9" spans="1:8" ht="24">
      <c r="A9" s="179" t="s">
        <v>938</v>
      </c>
      <c r="B9" s="224" t="s">
        <v>1024</v>
      </c>
      <c r="C9" s="181"/>
      <c r="D9" s="179"/>
      <c r="E9" s="179"/>
      <c r="F9" s="242"/>
    </row>
    <row r="10" spans="1:8" ht="18" customHeight="1">
      <c r="A10" s="179" t="s">
        <v>754</v>
      </c>
      <c r="B10" s="224"/>
      <c r="C10" s="181"/>
      <c r="D10" s="179" t="s">
        <v>939</v>
      </c>
      <c r="E10" s="224" t="s">
        <v>188</v>
      </c>
      <c r="F10" s="231"/>
    </row>
    <row r="11" spans="1:8" ht="18" customHeight="1">
      <c r="A11" s="179" t="s">
        <v>945</v>
      </c>
      <c r="B11" s="183" t="s">
        <v>580</v>
      </c>
      <c r="C11" s="181"/>
      <c r="D11" s="179" t="s">
        <v>940</v>
      </c>
      <c r="E11" s="224" t="s">
        <v>188</v>
      </c>
      <c r="F11" s="231"/>
    </row>
    <row r="12" spans="1:8" ht="18" customHeight="1">
      <c r="A12" s="179" t="s">
        <v>755</v>
      </c>
      <c r="B12" s="183">
        <v>43063</v>
      </c>
      <c r="C12" s="181"/>
      <c r="D12" s="182"/>
      <c r="E12" s="182"/>
      <c r="F12" s="231"/>
    </row>
    <row r="13" spans="1:8" ht="7.15" customHeight="1">
      <c r="A13" s="179"/>
      <c r="B13" s="179"/>
      <c r="C13" s="179"/>
      <c r="D13" s="179"/>
      <c r="E13" s="179"/>
      <c r="F13" s="232"/>
    </row>
    <row r="14" spans="1:8" ht="7.15" customHeight="1" thickBot="1">
      <c r="A14" s="179"/>
      <c r="B14" s="179"/>
      <c r="C14" s="179"/>
      <c r="D14" s="176"/>
      <c r="E14" s="176"/>
      <c r="F14" s="231"/>
    </row>
    <row r="15" spans="1:8" ht="36.75" thickBot="1">
      <c r="A15" s="184" t="s">
        <v>959</v>
      </c>
      <c r="B15" s="271" t="s">
        <v>954</v>
      </c>
      <c r="C15" s="272"/>
      <c r="D15" s="273"/>
      <c r="E15" s="185" t="s">
        <v>756</v>
      </c>
      <c r="F15" s="233" t="s">
        <v>757</v>
      </c>
    </row>
    <row r="16" spans="1:8" ht="7.15" customHeight="1">
      <c r="A16" s="186"/>
      <c r="B16" s="186"/>
      <c r="C16" s="170"/>
      <c r="D16" s="170"/>
      <c r="E16" s="187"/>
      <c r="F16" s="234"/>
    </row>
    <row r="17" spans="1:6" ht="63.75" customHeight="1">
      <c r="A17" s="179" t="s">
        <v>758</v>
      </c>
      <c r="B17" s="188" t="s">
        <v>6</v>
      </c>
      <c r="C17" s="274" t="s">
        <v>759</v>
      </c>
      <c r="D17" s="275"/>
      <c r="E17" s="227"/>
      <c r="F17" s="235" t="str">
        <f>IF(ISBLANK(B17),"",IF(OR(B17=E17,E17=""),VLOOKUP(B17,Proba_Brut2,2,FALSE),VLOOKUP(E17,Proba_Brut2,2,FALSE)))</f>
        <v>Évènement pouvant se produire souvent du fait du volume et/ou de l'acteur de l'acte de gestion</v>
      </c>
    </row>
    <row r="18" spans="1:6" ht="63.75" customHeight="1">
      <c r="A18" s="179" t="s">
        <v>760</v>
      </c>
      <c r="B18" s="188" t="s">
        <v>10</v>
      </c>
      <c r="C18" s="274" t="s">
        <v>759</v>
      </c>
      <c r="D18" s="275"/>
      <c r="E18" s="227"/>
      <c r="F18" s="235" t="str">
        <f>IF(ISBLANK(B18),"",IF(OR(B18=E18,E18=""),VLOOKUP(B18,Impact_Brut2,2,FALSE),VLOOKUP(E18,Impact_Brut2,2,FALSE)))</f>
        <v>Impacts dont la gravité peut avoir des répercussions non négligeables sur les activités entrainant des pertes suffisantes pour nécessité la révision de tout ou partie des processus à l'origine des dysfonctionnements</v>
      </c>
    </row>
    <row r="19" spans="1:6" ht="28.9" customHeight="1">
      <c r="A19" s="179"/>
      <c r="B19" s="170"/>
      <c r="C19" s="170"/>
      <c r="D19" s="170"/>
      <c r="E19" s="189"/>
      <c r="F19" s="229"/>
    </row>
    <row r="20" spans="1:6" ht="63.75" customHeight="1">
      <c r="A20" s="179" t="s">
        <v>761</v>
      </c>
      <c r="B20" s="188" t="s">
        <v>88</v>
      </c>
      <c r="C20" s="274" t="s">
        <v>759</v>
      </c>
      <c r="D20" s="275"/>
      <c r="E20" s="227"/>
      <c r="F20" s="235" t="str">
        <f>IF(ISBLANK(B20),"",IF(OR(B20=E20,E20=""),VLOOKUP(B20,Cotation_DMR2,2,FALSE),VLOOKUP(E20,Cotation_DMR2,2,FALSE)))</f>
        <v>Dispositifs mis en place permettant de réduire la fréquence ou l’impact du risque à un niveau satisfaisant : règles écrites et détaillées, contrôles formalisés et appliqués (indicateurs de suivi et de contrôle, évaluation des procédures, etc.).</v>
      </c>
    </row>
    <row r="21" spans="1:6" ht="28.9" customHeight="1">
      <c r="A21" s="179"/>
      <c r="B21" s="170"/>
      <c r="C21" s="170"/>
      <c r="D21" s="170"/>
      <c r="E21" s="190"/>
      <c r="F21" s="229"/>
    </row>
    <row r="22" spans="1:6" ht="63.75" customHeight="1">
      <c r="A22" s="179" t="s">
        <v>762</v>
      </c>
      <c r="B22" s="188" t="s">
        <v>4</v>
      </c>
      <c r="C22" s="274" t="s">
        <v>759</v>
      </c>
      <c r="D22" s="275"/>
      <c r="E22" s="226"/>
      <c r="F22" s="236" t="str">
        <f>IF(ISBLANK(B22),"",IF(OR(B22=E22,E22=""),VLOOKUP(B22,Proba_Brut2,2,FALSE),VLOOKUP(E22,Proba_Brut2,2,FALSE)))</f>
        <v>Évènement peu attendu ou rare au regard du volume d'actes réalisés</v>
      </c>
    </row>
    <row r="23" spans="1:6" ht="63.75" customHeight="1">
      <c r="A23" s="179" t="s">
        <v>763</v>
      </c>
      <c r="B23" s="188" t="s">
        <v>9</v>
      </c>
      <c r="C23" s="274" t="s">
        <v>759</v>
      </c>
      <c r="D23" s="275"/>
      <c r="E23" s="226"/>
      <c r="F23" s="236" t="str">
        <f>IF(ISBLANK(B23),"",IF(OR(B23=E23,E23=""),VLOOKUP(B23,Impact_Brut2,2,FALSE),VLOOKUP(E23,Impact_Brut2,2,FALSE)))</f>
        <v>Impacts dont la gravité a des conséquences directes sur l'activité de l'entreprise, et nécessite la mise en œuvre immédiate d'un plan d'action correspondant.</v>
      </c>
    </row>
    <row r="24" spans="1:6" ht="7.15" customHeight="1" thickBot="1">
      <c r="A24" s="179"/>
      <c r="B24" s="179"/>
      <c r="C24" s="179"/>
      <c r="D24" s="176"/>
      <c r="E24" s="176"/>
      <c r="F24" s="231"/>
    </row>
    <row r="25" spans="1:6" ht="36.75" thickBot="1">
      <c r="A25" s="184" t="s">
        <v>959</v>
      </c>
      <c r="B25" s="271" t="s">
        <v>989</v>
      </c>
      <c r="C25" s="272"/>
      <c r="D25" s="273"/>
      <c r="E25" s="241" t="s">
        <v>756</v>
      </c>
      <c r="F25" s="233" t="s">
        <v>953</v>
      </c>
    </row>
    <row r="26" spans="1:6" ht="7.15" customHeight="1">
      <c r="A26" s="179"/>
      <c r="B26" s="179"/>
      <c r="C26" s="179"/>
      <c r="D26" s="176"/>
      <c r="E26" s="176"/>
      <c r="F26" s="231"/>
    </row>
    <row r="27" spans="1:6" ht="63.75" customHeight="1">
      <c r="A27" s="179" t="s">
        <v>949</v>
      </c>
      <c r="B27" s="188" t="s">
        <v>8</v>
      </c>
      <c r="C27" s="274" t="s">
        <v>759</v>
      </c>
      <c r="D27" s="275"/>
      <c r="E27" s="226"/>
      <c r="F27" s="236" t="str">
        <f>IF(ISBLANK(B27),"",IF(OR(B27=E27,E27=""),VLOOKUP(B27,Impacts_Financiers,2,FALSE),VLOOKUP(E27,Impacts_Financiers,2,FALSE)))</f>
        <v>Coût non significatif sur le chiffre d'affaires, le résultat ou la solvabilité (fonds propres)</v>
      </c>
    </row>
    <row r="28" spans="1:6" ht="63.75" customHeight="1">
      <c r="A28" s="179" t="s">
        <v>950</v>
      </c>
      <c r="B28" s="188" t="s">
        <v>8</v>
      </c>
      <c r="C28" s="274" t="s">
        <v>759</v>
      </c>
      <c r="D28" s="275"/>
      <c r="E28" s="226"/>
      <c r="F28" s="236" t="str">
        <f>IF(ISBLANK(B28),"",IF(OR(B28=E28,E28=""),VLOOKUP(B28,Impacts_Clients,2,FALSE),VLOOKUP(E28,Impacts_Clients,2,FALSE)))</f>
        <v xml:space="preserve">Perte d'un client hors IC 110, 
Augmentation &lt; 10% des appels téléphoniques / Augmentation &lt; 5% des réclamations clients
Moins de 10 assurés / allocataires touchés
Moins de 5  entreprises clientes touchés
Médiatisation limitée à la presse locale ou régionale
</v>
      </c>
    </row>
    <row r="29" spans="1:6" ht="63.75" customHeight="1">
      <c r="A29" s="179" t="s">
        <v>951</v>
      </c>
      <c r="B29" s="188" t="s">
        <v>10</v>
      </c>
      <c r="C29" s="274" t="s">
        <v>759</v>
      </c>
      <c r="D29" s="275"/>
      <c r="E29" s="226"/>
      <c r="F29" s="236" t="str">
        <f>IF(ISBLANK(B29),"",IF(OR(B29=E29,E29=""),VLOOKUP(B29,Impacts_Conformité,2,FALSE),VLOOKUP(E29,Impacts_Conformité,2,FALSE)))</f>
        <v>Constats de non-conformité et recommandations importantes, remarques formelles des autorités de tutelles
Injonction ou mise en cause devant les tribunaux</v>
      </c>
    </row>
    <row r="30" spans="1:6" ht="63.75" customHeight="1">
      <c r="A30" s="179" t="s">
        <v>952</v>
      </c>
      <c r="B30" s="188" t="s">
        <v>8</v>
      </c>
      <c r="C30" s="274" t="s">
        <v>759</v>
      </c>
      <c r="D30" s="275"/>
      <c r="E30" s="226"/>
      <c r="F30" s="236" t="str">
        <f>IF(ISBLANK(B30),"",IF(OR(B30=E30,E30=""),VLOOKUP(B30,Impacts_Stratégie,2,FALSE),VLOOKUP(E30,Impacts_Stratégie,2,FALSE)))</f>
        <v>Impact non significatif sur les activités, les SI, les axes stratégiques, ou la continuité d'activité</v>
      </c>
    </row>
    <row r="31" spans="1:6" ht="7.15" customHeight="1" thickBot="1">
      <c r="A31" s="179"/>
      <c r="B31" s="179"/>
      <c r="C31" s="179"/>
      <c r="D31" s="176"/>
      <c r="E31" s="176"/>
      <c r="F31" s="231"/>
    </row>
    <row r="32" spans="1:6" ht="36.75" thickBot="1">
      <c r="A32" s="184" t="s">
        <v>959</v>
      </c>
      <c r="B32" s="271" t="s">
        <v>990</v>
      </c>
      <c r="C32" s="272"/>
      <c r="D32" s="273"/>
      <c r="E32" s="185" t="s">
        <v>756</v>
      </c>
      <c r="F32" s="233" t="s">
        <v>953</v>
      </c>
    </row>
    <row r="33" spans="1:8" ht="7.15" customHeight="1">
      <c r="A33" s="179"/>
      <c r="B33" s="179"/>
      <c r="C33" s="179"/>
      <c r="D33" s="176"/>
      <c r="E33" s="176"/>
      <c r="F33" s="231"/>
    </row>
    <row r="34" spans="1:8" ht="63.75" customHeight="1">
      <c r="A34" s="179" t="s">
        <v>957</v>
      </c>
      <c r="B34" s="188" t="s">
        <v>88</v>
      </c>
      <c r="C34" s="225"/>
      <c r="D34" s="225"/>
      <c r="E34" s="226"/>
      <c r="F34" s="236" t="str">
        <f>IF(ISBLANK(B34),"",IF(OR(B34=E34,E34=""),VLOOKUP(B34,DMR_Homme,2,FALSE),VLOOKUP(E34,DMR_Homme,2,FALSE)))</f>
        <v>Organisation pleinement satisfaisante. Ressources adaptées, suffisantes</v>
      </c>
    </row>
    <row r="35" spans="1:8" ht="63.75" customHeight="1">
      <c r="A35" s="179" t="s">
        <v>956</v>
      </c>
      <c r="B35" s="188" t="s">
        <v>32</v>
      </c>
      <c r="C35" s="225"/>
      <c r="D35" s="225"/>
      <c r="E35" s="226"/>
      <c r="F35" s="236" t="str">
        <f>IF(ISBLANK(B35),"",IF(OR(B35=E35,E35=""),VLOOKUP(B35,DMR_SI,2,FALSE),VLOOKUP(E35,DMR_SI,2,FALSE)))</f>
        <v>Système d'information satisfaisant (aux besoins utilisateurs, peu de bugs...).</v>
      </c>
    </row>
    <row r="36" spans="1:8" ht="63.75" customHeight="1">
      <c r="A36" s="179" t="s">
        <v>955</v>
      </c>
      <c r="B36" s="188" t="s">
        <v>88</v>
      </c>
      <c r="C36" s="225"/>
      <c r="D36" s="225"/>
      <c r="E36" s="226"/>
      <c r="F36" s="236" t="str">
        <f>IF(ISBLANK(B36),"",IF(OR(B36=E36,E36=""),VLOOKUP(B36,DMR_Procedure,2,FALSE),VLOOKUP(E36,DMR_Procedure,2,FALSE)))</f>
        <v>Processus formalisé,  procédure et mis à jour régulièrement. Processus avec très peu de dysfonctionnements (en général mineurs)</v>
      </c>
    </row>
    <row r="37" spans="1:8" ht="63.75" customHeight="1">
      <c r="A37" s="179" t="s">
        <v>958</v>
      </c>
      <c r="B37" s="188" t="s">
        <v>88</v>
      </c>
      <c r="C37" s="225"/>
      <c r="D37" s="225"/>
      <c r="E37" s="226"/>
      <c r="F37" s="236" t="str">
        <f>IF(ISBLANK(B37),"",IF(OR(B37=E37,E37=""),VLOOKUP(B37,DMR_Reglementaire,2,FALSE),VLOOKUP(E37,DMR_Reglementaire,2,FALSE)))</f>
        <v>Non-conformité  anticipées au fil de l'eau et actions de mises en conformités planifiées</v>
      </c>
    </row>
    <row r="38" spans="1:8" ht="7.15" customHeight="1" thickBot="1">
      <c r="A38" s="179"/>
      <c r="B38" s="179"/>
      <c r="C38" s="179"/>
      <c r="D38" s="176"/>
      <c r="E38" s="176"/>
      <c r="F38" s="231"/>
    </row>
    <row r="39" spans="1:8" ht="27.75" customHeight="1" thickBot="1">
      <c r="A39" s="184" t="s">
        <v>959</v>
      </c>
      <c r="B39" s="271" t="s">
        <v>1023</v>
      </c>
      <c r="C39" s="272"/>
      <c r="D39" s="272"/>
      <c r="E39" s="272"/>
      <c r="F39" s="276"/>
    </row>
    <row r="40" spans="1:8" ht="1.5" hidden="1" customHeight="1">
      <c r="A40" s="179"/>
      <c r="B40" s="179"/>
      <c r="C40" s="179"/>
      <c r="D40" s="179"/>
      <c r="E40" s="179"/>
      <c r="F40" s="232"/>
      <c r="G40" s="191"/>
      <c r="H40" s="191"/>
    </row>
    <row r="41" spans="1:8" ht="10.5" customHeight="1">
      <c r="A41" s="194"/>
      <c r="B41" s="194"/>
      <c r="C41" s="194"/>
      <c r="D41" s="194"/>
      <c r="E41" s="194"/>
      <c r="F41" s="237"/>
    </row>
    <row r="42" spans="1:8" ht="47.45" customHeight="1">
      <c r="A42" s="192" t="s">
        <v>764</v>
      </c>
      <c r="B42" s="226"/>
      <c r="C42" s="277" t="str">
        <f>IF(ISBLANK(B42),"",VLOOKUP(B42,Impact_Brut2,2,FALSE))</f>
        <v/>
      </c>
      <c r="D42" s="277"/>
      <c r="E42" s="277"/>
      <c r="F42" s="277"/>
    </row>
    <row r="43" spans="1:8" ht="7.9" customHeight="1">
      <c r="A43" s="193"/>
      <c r="B43" s="193"/>
      <c r="C43" s="193"/>
      <c r="D43" s="193"/>
      <c r="E43" s="193"/>
      <c r="F43" s="237"/>
    </row>
    <row r="44" spans="1:8" ht="47.45" customHeight="1">
      <c r="A44" s="192" t="s">
        <v>765</v>
      </c>
      <c r="B44" s="226"/>
      <c r="C44" s="277" t="str">
        <f>IF(ISBLANK(B44),"",VLOOKUP(B44,Impact_Brut2,2,FALSE))</f>
        <v/>
      </c>
      <c r="D44" s="277"/>
      <c r="E44" s="277"/>
      <c r="F44" s="277"/>
    </row>
    <row r="45" spans="1:8" ht="7.9" customHeight="1">
      <c r="A45" s="193"/>
      <c r="B45" s="193"/>
      <c r="C45" s="193"/>
      <c r="D45" s="193"/>
      <c r="E45" s="193"/>
      <c r="F45" s="237"/>
    </row>
    <row r="46" spans="1:8" ht="30" customHeight="1">
      <c r="A46" s="192" t="s">
        <v>766</v>
      </c>
      <c r="B46" s="269"/>
      <c r="C46" s="269"/>
      <c r="D46" s="269"/>
      <c r="E46" s="269"/>
      <c r="F46" s="269"/>
    </row>
    <row r="47" spans="1:8" ht="52.15" customHeight="1">
      <c r="A47" s="194" t="s">
        <v>767</v>
      </c>
      <c r="B47" s="270"/>
      <c r="C47" s="270"/>
      <c r="D47" s="270"/>
      <c r="E47" s="270"/>
      <c r="F47" s="270"/>
    </row>
    <row r="48" spans="1:8" ht="20.45" customHeight="1" thickBot="1">
      <c r="A48" s="228"/>
      <c r="B48" s="228"/>
      <c r="C48" s="228"/>
      <c r="D48" s="228"/>
      <c r="E48" s="228"/>
      <c r="F48" s="238"/>
    </row>
    <row r="49" ht="12.75" thickTop="1"/>
  </sheetData>
  <dataConsolidate/>
  <mergeCells count="22">
    <mergeCell ref="C23:D23"/>
    <mergeCell ref="B2:C2"/>
    <mergeCell ref="E5:F6"/>
    <mergeCell ref="B6:C6"/>
    <mergeCell ref="B7:C7"/>
    <mergeCell ref="E7:F7"/>
    <mergeCell ref="E8:F8"/>
    <mergeCell ref="B15:D15"/>
    <mergeCell ref="C17:D17"/>
    <mergeCell ref="C18:D18"/>
    <mergeCell ref="C20:D20"/>
    <mergeCell ref="C22:D22"/>
    <mergeCell ref="B39:F39"/>
    <mergeCell ref="C42:F42"/>
    <mergeCell ref="C44:F44"/>
    <mergeCell ref="B46:F47"/>
    <mergeCell ref="B25:D25"/>
    <mergeCell ref="C27:D27"/>
    <mergeCell ref="C28:D28"/>
    <mergeCell ref="C29:D29"/>
    <mergeCell ref="C30:D30"/>
    <mergeCell ref="B32:D32"/>
  </mergeCells>
  <conditionalFormatting sqref="B42 B44 E34:E37 B34:B37 E27:E30 E20:E23 B27:B30 E17:E18 B17:B23 D40:E40">
    <cfRule type="cellIs" dxfId="21" priority="9" operator="equal">
      <formula>"Insuffisant"</formula>
    </cfRule>
    <cfRule type="cellIs" dxfId="20" priority="10" operator="equal">
      <formula>"Acceptable"</formula>
    </cfRule>
    <cfRule type="cellIs" dxfId="19" priority="11" operator="equal">
      <formula>"Permanente"</formula>
    </cfRule>
    <cfRule type="cellIs" dxfId="18" priority="12" operator="equal">
      <formula>"Récurrente"</formula>
    </cfRule>
    <cfRule type="cellIs" dxfId="17" priority="13" operator="equal">
      <formula>"Exceptionnelle"</formula>
    </cfRule>
    <cfRule type="cellIs" dxfId="16" priority="14" operator="equal">
      <formula>"Rare"</formula>
    </cfRule>
    <cfRule type="cellIs" dxfId="15" priority="15" operator="equal">
      <formula>"Modérée"</formula>
    </cfRule>
    <cfRule type="cellIs" dxfId="14" priority="16" operator="equal">
      <formula>"Maîtrisé"</formula>
    </cfRule>
    <cfRule type="cellIs" dxfId="13" priority="17" operator="equal">
      <formula>"Elevée"</formula>
    </cfRule>
    <cfRule type="cellIs" dxfId="12" priority="18" operator="equal">
      <formula>"Catastrophique"</formula>
    </cfRule>
    <cfRule type="cellIs" dxfId="11" priority="19" operator="equal">
      <formula>"Critique"</formula>
    </cfRule>
    <cfRule type="cellIs" dxfId="10" priority="20" operator="equal">
      <formula>"Elevé"</formula>
    </cfRule>
    <cfRule type="cellIs" dxfId="9" priority="21" operator="equal">
      <formula>"Modéré"</formula>
    </cfRule>
    <cfRule type="cellIs" dxfId="8" priority="22" operator="equal">
      <formula>"Marginal"</formula>
    </cfRule>
  </conditionalFormatting>
  <conditionalFormatting sqref="E20:E23 E34:E37 E27:E30 D40:E40">
    <cfRule type="cellIs" dxfId="7" priority="3" operator="equal">
      <formula>"Catastrophique"</formula>
    </cfRule>
    <cfRule type="cellIs" dxfId="6" priority="4" operator="equal">
      <formula>"Critique"</formula>
    </cfRule>
    <cfRule type="cellIs" dxfId="5" priority="5" operator="equal">
      <formula>"Elevé"</formula>
    </cfRule>
    <cfRule type="cellIs" dxfId="4" priority="6" operator="equal">
      <formula>"Modéré"</formula>
    </cfRule>
    <cfRule type="cellIs" dxfId="3" priority="7" operator="equal">
      <formula>"Faible"</formula>
    </cfRule>
    <cfRule type="cellIs" dxfId="2" priority="8" operator="equal">
      <formula>"Marginal"</formula>
    </cfRule>
  </conditionalFormatting>
  <conditionalFormatting sqref="B20 B30 B34:B37">
    <cfRule type="cellIs" dxfId="1" priority="2" operator="equal">
      <formula>"Faible"</formula>
    </cfRule>
  </conditionalFormatting>
  <conditionalFormatting sqref="B27:B30 B23 B18 B34:B37">
    <cfRule type="cellIs" dxfId="0" priority="1" operator="equal">
      <formula>"Faible"</formula>
    </cfRule>
  </conditionalFormatting>
  <dataValidations count="21">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8 B23 B27:B30">
      <formula1>Impact_Brut</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17 B22">
      <formula1>Proba_Brut</formula1>
    </dataValidation>
    <dataValidation type="list" allowBlank="1" showInputMessage="1" showErrorMessage="1" promptTitle="Entité du déclarant" prompt="Choisir votre département dans la liste déroulante." sqref="B9">
      <formula1>INDIRECT($B$8)</formula1>
    </dataValidation>
    <dataValidation type="list" allowBlank="1" showInputMessage="1" showErrorMessage="1" promptTitle="Entité du déclarant" prompt="Choisir votre département dans la liste déroulante." sqref="B8">
      <formula1>Domaine</formula1>
    </dataValidation>
    <dataValidation type="list" allowBlank="1" showInputMessage="1" showErrorMessage="1" sqref="E11">
      <formula1>"Oui,Non"</formula1>
    </dataValidation>
    <dataValidation allowBlank="1" showInputMessage="1" showErrorMessage="1" promptTitle="Descrption de l'incident" prompt="description la plus détaillée possible de l'incident" sqref="E5"/>
    <dataValidation allowBlank="1" showInputMessage="1" showErrorMessage="1" promptTitle="Nom du risque" prompt="Inscrire le nom de votre risque. Il doit permettre de comprendre globalement l'événement et de le retrouver rapidement." sqref="B6:C6"/>
    <dataValidation type="list" allowBlank="1" showInputMessage="1" showErrorMessage="1" promptTitle="Entité du déclarant" prompt="Choisir votre département dans la liste déroulante." sqref="B7:C7">
      <formula1>INDIRECT($B$2)</formula1>
    </dataValidation>
    <dataValidation allowBlank="1" showInputMessage="1" promptTitle="Déclaré par" prompt="Nom du CMR déclarant" sqref="B10"/>
    <dataValidation allowBlank="1" showInputMessage="1" showErrorMessage="1" promptTitle="Code du risque" prompt="Référez vous à la nomenclature." sqref="B11"/>
    <dataValidation type="list" allowBlank="1" showInputMessage="1" showErrorMessage="1" sqref="E10">
      <formula1>Choix</formula1>
    </dataValidation>
    <dataValidation allowBlank="1" showInputMessage="1" promptTitle="Rattachement à un PM" prompt="Précisez ici le processus auquel se rattache le risque : il peut être de niveau 2 ou 3." sqref="E12:F12 E7:F9"/>
    <dataValidation type="list" allowBlank="1" showInputMessage="1" showErrorMessage="1" promptTitle="Sélectionner votre Direction" prompt="Sélectionner votre Direction dans la liste proposée" sqref="B2:C2">
      <formula1>Directions</formula1>
    </dataValidation>
    <dataValidation type="list" allowBlank="1" showErrorMessage="1" promptTitle="Synthèse de l'impact (CMR)" prompt="Sélectionner dans la liste le niveau d'impact. La valeur s'affiche en dynamique dans la zone commentaire._x000a_En cas d'appréciation différente de la direction opérationnelle, c'est le commentaire correspondant qui est affiché." sqref="B20 B34:B37">
      <formula1>Cotation_DMR</formula1>
    </dataValidation>
    <dataValidation type="list" allowBlank="1" showInputMessage="1" showErrorMessage="1" promptTitle="Synthèse de l'impact (Dir Opér)" prompt="Sélectionner dans la liste le niveau d'impact. C'est cette valeur qui s'affiche en dynamique dans la zone commentaire et qui sera retenue." sqref="E27:E30 E17:E18 E22:E23 E20 E34:E37">
      <formula1>Impp</formula1>
    </dataValidation>
    <dataValidation type="list" allowBlank="1" showInputMessage="1" showErrorMessage="1" promptTitle="Réservé à la Direction Générale" prompt="  " sqref="B44">
      <formula1>Impact_Brut</formula1>
    </dataValidation>
    <dataValidation type="list" allowBlank="1" showInputMessage="1" showErrorMessage="1" promptTitle="Réservé au dépt gest des risques" prompt="  " sqref="B42">
      <formula1>Impact_Brut</formula1>
    </dataValidation>
    <dataValidation allowBlank="1" showInputMessage="1" showErrorMessage="1" promptTitle="Réservé au Contrôle Interne" prompt="  " sqref="C42"/>
    <dataValidation allowBlank="1" showInputMessage="1" showErrorMessage="1" promptTitle="Réservé à la Direction Générale" prompt="  " sqref="C44"/>
    <dataValidation allowBlank="1" showInputMessage="1" showErrorMessage="1" promptTitle="Réservé DG et CI" prompt="  " sqref="B46"/>
    <dataValidation allowBlank="1" showErrorMessage="1" sqref="A27:A30 B12 A19:A23 B21:D21 B19:D19 A34:A37"/>
  </dataValidations>
  <pageMargins left="0.70866141732283472" right="0.70866141732283472" top="0.74803149606299213" bottom="0.74803149606299213" header="0.31496062992125984" footer="0.31496062992125984"/>
  <pageSetup paperSize="9" scale="36" orientation="portrait" r:id="rId1"/>
</worksheet>
</file>

<file path=xl/worksheets/sheet5.xml><?xml version="1.0" encoding="utf-8"?>
<worksheet xmlns="http://schemas.openxmlformats.org/spreadsheetml/2006/main" xmlns:r="http://schemas.openxmlformats.org/officeDocument/2006/relationships">
  <sheetPr codeName="Feuil8"/>
  <dimension ref="A1:T73"/>
  <sheetViews>
    <sheetView topLeftCell="B1" zoomScale="110" zoomScaleNormal="110" workbookViewId="0">
      <selection activeCell="E28" sqref="E28"/>
    </sheetView>
  </sheetViews>
  <sheetFormatPr baseColWidth="10" defaultColWidth="11.42578125" defaultRowHeight="11.25"/>
  <cols>
    <col min="1" max="1" width="9.7109375" style="79" bestFit="1" customWidth="1"/>
    <col min="2" max="2" width="6.42578125" style="79" bestFit="1" customWidth="1"/>
    <col min="3" max="3" width="24.5703125" style="79" bestFit="1" customWidth="1"/>
    <col min="4" max="4" width="23.42578125" style="79" bestFit="1" customWidth="1"/>
    <col min="5" max="6" width="12" style="79" customWidth="1"/>
    <col min="7" max="7" width="25.28515625" style="79" bestFit="1" customWidth="1"/>
    <col min="8" max="8" width="35.140625" style="79" customWidth="1"/>
    <col min="9" max="9" width="31.28515625" style="79" customWidth="1"/>
    <col min="10" max="10" width="27.5703125" style="79" customWidth="1"/>
    <col min="11" max="11" width="23.7109375" style="79" customWidth="1"/>
    <col min="12" max="12" width="22.28515625" style="79" customWidth="1"/>
    <col min="13" max="13" width="29.5703125" style="79" customWidth="1"/>
    <col min="14" max="14" width="51.7109375" style="79" customWidth="1"/>
    <col min="15" max="15" width="24.28515625" style="80" customWidth="1"/>
    <col min="16" max="16" width="22.5703125" style="80" customWidth="1"/>
    <col min="17" max="17" width="19.140625" style="80" customWidth="1"/>
    <col min="18" max="18" width="28" style="79" customWidth="1"/>
    <col min="19" max="20" width="22.5703125" style="79" customWidth="1"/>
    <col min="21" max="16384" width="11.42578125" style="79"/>
  </cols>
  <sheetData>
    <row r="1" spans="1:17">
      <c r="A1" s="77" t="s">
        <v>160</v>
      </c>
      <c r="B1" s="78"/>
      <c r="C1" s="78"/>
      <c r="D1" s="77" t="s">
        <v>69</v>
      </c>
      <c r="E1" s="77" t="s">
        <v>161</v>
      </c>
      <c r="G1" s="77" t="s">
        <v>70</v>
      </c>
      <c r="H1" s="77" t="s">
        <v>162</v>
      </c>
    </row>
    <row r="2" spans="1:17" ht="14.25" customHeight="1">
      <c r="A2" s="81">
        <v>43101</v>
      </c>
      <c r="B2" s="82"/>
      <c r="C2" s="83"/>
      <c r="D2" s="84" t="s">
        <v>8</v>
      </c>
      <c r="E2" s="85" t="s">
        <v>163</v>
      </c>
      <c r="F2" s="85"/>
      <c r="G2" s="82" t="s">
        <v>164</v>
      </c>
      <c r="H2" s="82" t="s">
        <v>165</v>
      </c>
      <c r="I2" s="77" t="s">
        <v>166</v>
      </c>
      <c r="J2" s="86"/>
      <c r="K2" s="86"/>
      <c r="L2" s="86"/>
      <c r="M2" s="86"/>
      <c r="N2" s="77" t="s">
        <v>167</v>
      </c>
      <c r="O2" s="86"/>
      <c r="P2" s="86"/>
      <c r="Q2" s="86"/>
    </row>
    <row r="3" spans="1:17">
      <c r="A3" s="81">
        <v>43343</v>
      </c>
      <c r="B3" s="82"/>
      <c r="C3" s="83"/>
      <c r="D3" s="84" t="s">
        <v>9</v>
      </c>
      <c r="E3" s="85" t="s">
        <v>168</v>
      </c>
      <c r="F3" s="85"/>
      <c r="G3" s="82" t="s">
        <v>169</v>
      </c>
      <c r="H3" s="82" t="s">
        <v>170</v>
      </c>
      <c r="I3" s="87" t="s">
        <v>73</v>
      </c>
      <c r="J3" s="87" t="s">
        <v>74</v>
      </c>
      <c r="K3" s="87" t="s">
        <v>75</v>
      </c>
      <c r="L3" s="87" t="s">
        <v>76</v>
      </c>
      <c r="M3" s="87" t="s">
        <v>77</v>
      </c>
      <c r="N3" s="88" t="s">
        <v>171</v>
      </c>
      <c r="O3" s="88" t="s">
        <v>78</v>
      </c>
      <c r="P3" s="88" t="s">
        <v>172</v>
      </c>
      <c r="Q3" s="89" t="s">
        <v>79</v>
      </c>
    </row>
    <row r="4" spans="1:17">
      <c r="A4" s="81"/>
      <c r="B4" s="82"/>
      <c r="C4" s="83"/>
      <c r="D4" s="84" t="s">
        <v>5</v>
      </c>
      <c r="E4" s="85" t="s">
        <v>173</v>
      </c>
      <c r="F4" s="85"/>
      <c r="G4" s="82" t="s">
        <v>80</v>
      </c>
      <c r="H4" s="82" t="s">
        <v>174</v>
      </c>
      <c r="I4" s="82" t="s">
        <v>175</v>
      </c>
      <c r="J4" s="82" t="s">
        <v>81</v>
      </c>
      <c r="K4" s="82" t="s">
        <v>82</v>
      </c>
      <c r="L4" s="82" t="s">
        <v>83</v>
      </c>
      <c r="M4" s="84" t="s">
        <v>84</v>
      </c>
      <c r="N4" s="84" t="s">
        <v>85</v>
      </c>
      <c r="O4" s="84" t="s">
        <v>176</v>
      </c>
      <c r="P4" s="84" t="s">
        <v>86</v>
      </c>
      <c r="Q4" s="90" t="s">
        <v>87</v>
      </c>
    </row>
    <row r="5" spans="1:17">
      <c r="A5" s="81">
        <v>43403</v>
      </c>
      <c r="B5" s="278" t="s">
        <v>177</v>
      </c>
      <c r="C5" s="278"/>
      <c r="D5" s="84" t="s">
        <v>6</v>
      </c>
      <c r="F5" s="85"/>
      <c r="G5" s="82" t="s">
        <v>89</v>
      </c>
      <c r="H5" s="82" t="s">
        <v>178</v>
      </c>
      <c r="I5" s="82" t="s">
        <v>90</v>
      </c>
      <c r="J5" s="82" t="s">
        <v>91</v>
      </c>
      <c r="K5" s="82" t="s">
        <v>92</v>
      </c>
      <c r="L5" s="82" t="s">
        <v>93</v>
      </c>
      <c r="M5" s="84" t="s">
        <v>94</v>
      </c>
      <c r="N5" s="84" t="s">
        <v>95</v>
      </c>
      <c r="O5" s="84" t="s">
        <v>96</v>
      </c>
      <c r="P5" s="84" t="s">
        <v>97</v>
      </c>
      <c r="Q5" s="84" t="s">
        <v>98</v>
      </c>
    </row>
    <row r="6" spans="1:17">
      <c r="B6" s="278"/>
      <c r="C6" s="278"/>
      <c r="D6" s="84" t="s">
        <v>12</v>
      </c>
      <c r="E6" s="85"/>
      <c r="F6" s="85"/>
      <c r="G6" s="82" t="s">
        <v>99</v>
      </c>
      <c r="H6" s="82" t="s">
        <v>179</v>
      </c>
      <c r="I6" s="82" t="s">
        <v>180</v>
      </c>
      <c r="J6" s="82" t="s">
        <v>100</v>
      </c>
      <c r="K6" s="82" t="s">
        <v>101</v>
      </c>
      <c r="L6" s="82" t="s">
        <v>102</v>
      </c>
      <c r="M6" s="84" t="s">
        <v>103</v>
      </c>
      <c r="N6" s="84" t="s">
        <v>104</v>
      </c>
      <c r="O6" s="84" t="s">
        <v>105</v>
      </c>
      <c r="P6" s="90" t="s">
        <v>106</v>
      </c>
      <c r="Q6" s="84" t="s">
        <v>107</v>
      </c>
    </row>
    <row r="7" spans="1:17">
      <c r="A7" s="91" t="str">
        <f ca="1">IF(AND(TODAY()&gt;=A2,TODAY()&lt;=A3),"Vous utilisez le fichier de la période du "&amp;ROUNDUP(MONTH(A2)/3,0)&amp;" semestre "&amp;YEAR(A2),"Attention, vous n'utilisez pas la bonne version de fichier, contacter le Département Gestion des Risques")</f>
        <v>Vous utilisez le fichier de la période du 1 semestre 2018</v>
      </c>
      <c r="B7" s="92"/>
      <c r="C7" s="93"/>
      <c r="D7" s="84" t="s">
        <v>19</v>
      </c>
      <c r="G7" s="82" t="s">
        <v>181</v>
      </c>
      <c r="H7" s="82" t="s">
        <v>182</v>
      </c>
      <c r="I7" s="82" t="s">
        <v>109</v>
      </c>
      <c r="J7" s="82" t="s">
        <v>110</v>
      </c>
      <c r="K7" s="82"/>
      <c r="L7" s="82" t="s">
        <v>111</v>
      </c>
      <c r="M7" s="84" t="s">
        <v>112</v>
      </c>
      <c r="O7" s="84" t="s">
        <v>113</v>
      </c>
      <c r="P7" s="84" t="s">
        <v>114</v>
      </c>
      <c r="Q7" s="84" t="s">
        <v>115</v>
      </c>
    </row>
    <row r="8" spans="1:17">
      <c r="A8" s="94"/>
      <c r="B8" s="94"/>
      <c r="G8" s="82" t="s">
        <v>108</v>
      </c>
      <c r="H8" s="79" t="s">
        <v>183</v>
      </c>
      <c r="I8" s="82" t="s">
        <v>184</v>
      </c>
      <c r="J8" s="82" t="s">
        <v>185</v>
      </c>
      <c r="K8" s="82"/>
      <c r="L8" s="82"/>
      <c r="M8" s="84" t="s">
        <v>117</v>
      </c>
      <c r="O8" s="84" t="s">
        <v>118</v>
      </c>
      <c r="P8" s="84" t="s">
        <v>119</v>
      </c>
    </row>
    <row r="9" spans="1:17">
      <c r="A9" s="94"/>
      <c r="B9" s="94"/>
      <c r="G9" s="79" t="s">
        <v>116</v>
      </c>
      <c r="H9" s="79" t="s">
        <v>186</v>
      </c>
      <c r="I9" s="82" t="s">
        <v>120</v>
      </c>
      <c r="J9" s="82"/>
      <c r="K9" s="82"/>
      <c r="L9" s="82"/>
      <c r="M9" s="84" t="s">
        <v>121</v>
      </c>
      <c r="P9" s="90" t="s">
        <v>122</v>
      </c>
    </row>
    <row r="10" spans="1:17">
      <c r="D10" s="77" t="s">
        <v>66</v>
      </c>
      <c r="G10" s="77" t="s">
        <v>187</v>
      </c>
      <c r="H10" s="77"/>
      <c r="I10" s="82" t="s">
        <v>124</v>
      </c>
      <c r="J10" s="82"/>
      <c r="K10" s="82"/>
      <c r="L10" s="82"/>
      <c r="M10" s="82"/>
    </row>
    <row r="11" spans="1:17">
      <c r="D11" s="84" t="s">
        <v>64</v>
      </c>
      <c r="G11" s="79" t="s">
        <v>188</v>
      </c>
      <c r="J11" s="82"/>
      <c r="K11" s="82"/>
      <c r="L11" s="82"/>
      <c r="M11" s="82"/>
    </row>
    <row r="12" spans="1:17">
      <c r="A12" s="95"/>
      <c r="B12" s="94"/>
      <c r="D12" s="84" t="s">
        <v>4</v>
      </c>
      <c r="G12" s="79" t="s">
        <v>189</v>
      </c>
      <c r="J12" s="82"/>
      <c r="K12" s="82"/>
      <c r="L12" s="82"/>
      <c r="M12" s="82"/>
    </row>
    <row r="13" spans="1:17">
      <c r="A13" s="95"/>
      <c r="B13" s="94"/>
      <c r="D13" s="84" t="s">
        <v>5</v>
      </c>
      <c r="J13" s="82"/>
      <c r="K13" s="82"/>
      <c r="L13" s="82"/>
      <c r="M13" s="82"/>
    </row>
    <row r="14" spans="1:17">
      <c r="A14" s="95"/>
      <c r="B14" s="94"/>
      <c r="D14" s="84" t="s">
        <v>6</v>
      </c>
      <c r="J14" s="82"/>
      <c r="K14" s="82"/>
      <c r="L14" s="82"/>
      <c r="M14" s="82"/>
    </row>
    <row r="15" spans="1:17">
      <c r="A15" s="95"/>
      <c r="B15" s="94"/>
      <c r="D15" s="84" t="s">
        <v>21</v>
      </c>
      <c r="G15" s="77" t="s">
        <v>190</v>
      </c>
      <c r="H15" s="77"/>
      <c r="I15" s="95"/>
      <c r="J15" s="95"/>
      <c r="K15" s="95"/>
      <c r="L15" s="82"/>
      <c r="M15" s="82"/>
    </row>
    <row r="16" spans="1:17">
      <c r="A16" s="95"/>
      <c r="B16" s="94"/>
      <c r="D16" s="84" t="s">
        <v>7</v>
      </c>
      <c r="G16" s="79" t="s">
        <v>191</v>
      </c>
      <c r="I16" s="95"/>
      <c r="J16" s="95"/>
      <c r="K16" s="95"/>
      <c r="L16" s="82"/>
      <c r="M16" s="82"/>
    </row>
    <row r="17" spans="3:20">
      <c r="G17" s="79" t="s">
        <v>192</v>
      </c>
      <c r="I17" s="82"/>
      <c r="J17" s="82"/>
      <c r="K17" s="82"/>
      <c r="L17" s="82"/>
      <c r="M17" s="82"/>
    </row>
    <row r="18" spans="3:20" ht="15">
      <c r="C18" s="96"/>
      <c r="D18" s="77" t="s">
        <v>193</v>
      </c>
      <c r="G18" s="79" t="s">
        <v>194</v>
      </c>
      <c r="I18" s="82"/>
      <c r="J18" s="82"/>
      <c r="K18" s="82"/>
      <c r="L18" s="82"/>
      <c r="M18" s="84"/>
    </row>
    <row r="19" spans="3:20" ht="10.15" customHeight="1">
      <c r="C19" s="97"/>
      <c r="D19" s="84" t="s">
        <v>34</v>
      </c>
      <c r="G19" s="79" t="s">
        <v>195</v>
      </c>
      <c r="I19" s="82"/>
      <c r="J19" s="82"/>
      <c r="K19" s="82"/>
      <c r="L19" s="82"/>
      <c r="M19" s="84"/>
    </row>
    <row r="20" spans="3:20" ht="10.15" customHeight="1">
      <c r="D20" s="84" t="s">
        <v>9</v>
      </c>
      <c r="G20" s="79" t="s">
        <v>196</v>
      </c>
      <c r="I20" s="77" t="s">
        <v>197</v>
      </c>
      <c r="J20" s="82"/>
      <c r="K20" s="82"/>
      <c r="L20" s="82"/>
      <c r="M20" s="84"/>
    </row>
    <row r="21" spans="3:20" ht="10.15" customHeight="1">
      <c r="D21" s="84" t="s">
        <v>32</v>
      </c>
      <c r="G21" s="79" t="s">
        <v>186</v>
      </c>
      <c r="I21" s="98" t="s">
        <v>198</v>
      </c>
      <c r="J21" s="82"/>
      <c r="K21" s="82"/>
      <c r="L21" s="82"/>
      <c r="M21" s="84"/>
    </row>
    <row r="22" spans="3:20" ht="10.15" customHeight="1">
      <c r="D22" s="84" t="s">
        <v>31</v>
      </c>
      <c r="I22" s="98" t="s">
        <v>199</v>
      </c>
      <c r="J22" s="82"/>
      <c r="K22" s="82"/>
      <c r="L22" s="82"/>
      <c r="M22" s="84"/>
    </row>
    <row r="23" spans="3:20" ht="10.15" customHeight="1">
      <c r="D23" s="84"/>
      <c r="I23" s="98" t="s">
        <v>200</v>
      </c>
      <c r="J23" s="82"/>
      <c r="K23" s="82"/>
      <c r="L23" s="82"/>
      <c r="M23" s="84"/>
    </row>
    <row r="24" spans="3:20" ht="10.15" customHeight="1">
      <c r="D24" s="84"/>
      <c r="G24" s="202"/>
      <c r="I24" s="98" t="s">
        <v>201</v>
      </c>
      <c r="J24" s="77" t="s">
        <v>200</v>
      </c>
      <c r="K24" s="77" t="s">
        <v>199</v>
      </c>
      <c r="L24" s="77" t="s">
        <v>198</v>
      </c>
      <c r="M24" s="77" t="s">
        <v>201</v>
      </c>
      <c r="N24" s="77" t="s">
        <v>202</v>
      </c>
      <c r="O24" s="77" t="s">
        <v>203</v>
      </c>
      <c r="P24" s="99" t="s">
        <v>204</v>
      </c>
      <c r="Q24" s="99" t="s">
        <v>205</v>
      </c>
      <c r="R24" s="99" t="s">
        <v>206</v>
      </c>
      <c r="S24" s="99" t="s">
        <v>207</v>
      </c>
      <c r="T24" s="99" t="s">
        <v>208</v>
      </c>
    </row>
    <row r="25" spans="3:20" ht="10.15" customHeight="1">
      <c r="G25" s="202"/>
      <c r="I25" s="98" t="s">
        <v>202</v>
      </c>
      <c r="J25" s="98" t="s">
        <v>209</v>
      </c>
      <c r="K25" s="98" t="s">
        <v>210</v>
      </c>
      <c r="L25" s="98" t="s">
        <v>211</v>
      </c>
      <c r="M25" s="98" t="s">
        <v>212</v>
      </c>
      <c r="N25" s="98" t="s">
        <v>213</v>
      </c>
      <c r="O25" s="98" t="s">
        <v>214</v>
      </c>
      <c r="P25" s="98" t="s">
        <v>204</v>
      </c>
      <c r="Q25" s="80" t="s">
        <v>215</v>
      </c>
      <c r="R25" s="79" t="s">
        <v>216</v>
      </c>
      <c r="S25" s="79" t="s">
        <v>217</v>
      </c>
      <c r="T25" s="79" t="s">
        <v>218</v>
      </c>
    </row>
    <row r="26" spans="3:20" ht="10.15" customHeight="1">
      <c r="C26" s="77" t="s">
        <v>776</v>
      </c>
      <c r="D26" s="77" t="s">
        <v>1026</v>
      </c>
      <c r="E26" s="77" t="s">
        <v>778</v>
      </c>
      <c r="F26" s="77" t="s">
        <v>108</v>
      </c>
      <c r="G26" s="77" t="s">
        <v>116</v>
      </c>
      <c r="I26" s="98" t="s">
        <v>203</v>
      </c>
      <c r="J26" s="98" t="s">
        <v>219</v>
      </c>
      <c r="K26" s="98" t="s">
        <v>220</v>
      </c>
      <c r="L26" s="98" t="s">
        <v>221</v>
      </c>
      <c r="M26" s="98" t="s">
        <v>222</v>
      </c>
      <c r="N26" s="98" t="s">
        <v>223</v>
      </c>
      <c r="O26" s="100"/>
      <c r="P26" s="100"/>
      <c r="Q26" s="80" t="s">
        <v>224</v>
      </c>
      <c r="T26" s="79" t="s">
        <v>225</v>
      </c>
    </row>
    <row r="27" spans="3:20" ht="15">
      <c r="C27" s="244" t="s">
        <v>1024</v>
      </c>
      <c r="D27" s="244" t="s">
        <v>962</v>
      </c>
      <c r="E27" s="244" t="s">
        <v>99</v>
      </c>
      <c r="F27" s="243" t="s">
        <v>108</v>
      </c>
      <c r="G27" s="244" t="s">
        <v>116</v>
      </c>
      <c r="I27" s="98" t="s">
        <v>204</v>
      </c>
      <c r="J27" s="100"/>
      <c r="K27" s="98" t="s">
        <v>226</v>
      </c>
      <c r="L27" s="100"/>
      <c r="M27" s="98" t="s">
        <v>227</v>
      </c>
      <c r="N27" s="98" t="s">
        <v>228</v>
      </c>
      <c r="O27" s="100"/>
      <c r="P27" s="100"/>
      <c r="Q27" s="80" t="s">
        <v>229</v>
      </c>
      <c r="T27" s="79" t="s">
        <v>230</v>
      </c>
    </row>
    <row r="28" spans="3:20" ht="15">
      <c r="C28" s="244" t="s">
        <v>72</v>
      </c>
      <c r="D28" s="245" t="s">
        <v>1025</v>
      </c>
      <c r="E28" s="245"/>
      <c r="F28" s="245"/>
      <c r="G28" s="244"/>
      <c r="I28" s="98" t="s">
        <v>205</v>
      </c>
      <c r="J28" s="100"/>
      <c r="K28" s="100"/>
      <c r="L28" s="100"/>
      <c r="M28" s="100"/>
      <c r="N28" s="101" t="s">
        <v>231</v>
      </c>
      <c r="O28" s="100"/>
      <c r="P28" s="100"/>
      <c r="Q28" s="80" t="s">
        <v>232</v>
      </c>
      <c r="T28" s="79" t="s">
        <v>233</v>
      </c>
    </row>
    <row r="29" spans="3:20" ht="15">
      <c r="C29" s="243" t="s">
        <v>71</v>
      </c>
      <c r="D29" s="244" t="s">
        <v>99</v>
      </c>
      <c r="G29" s="202"/>
      <c r="I29" s="79" t="s">
        <v>206</v>
      </c>
      <c r="J29" s="100"/>
      <c r="K29" s="100"/>
      <c r="L29" s="100"/>
      <c r="M29" s="100"/>
      <c r="N29" s="101" t="s">
        <v>234</v>
      </c>
      <c r="O29" s="100"/>
      <c r="P29" s="100"/>
    </row>
    <row r="30" spans="3:20" ht="15">
      <c r="G30" s="209"/>
      <c r="I30" s="79" t="s">
        <v>207</v>
      </c>
      <c r="J30" s="100"/>
      <c r="K30" s="100"/>
      <c r="M30" s="100"/>
      <c r="N30" s="101" t="s">
        <v>235</v>
      </c>
      <c r="O30" s="100"/>
      <c r="P30" s="100"/>
    </row>
    <row r="31" spans="3:20" ht="15">
      <c r="I31" s="79" t="s">
        <v>208</v>
      </c>
      <c r="J31" s="100"/>
      <c r="K31" s="100"/>
      <c r="M31" s="100"/>
      <c r="N31" s="100"/>
      <c r="O31" s="100"/>
      <c r="P31" s="100"/>
    </row>
    <row r="32" spans="3:20">
      <c r="J32" s="77" t="s">
        <v>236</v>
      </c>
      <c r="K32" s="77" t="s">
        <v>237</v>
      </c>
      <c r="L32" s="77" t="s">
        <v>238</v>
      </c>
      <c r="M32" s="77" t="s">
        <v>239</v>
      </c>
      <c r="N32" s="77" t="s">
        <v>240</v>
      </c>
      <c r="O32" s="77" t="s">
        <v>241</v>
      </c>
      <c r="P32" s="77" t="s">
        <v>242</v>
      </c>
    </row>
    <row r="33" spans="1:16">
      <c r="G33" s="202"/>
      <c r="I33" s="98"/>
      <c r="J33" s="98" t="s">
        <v>243</v>
      </c>
      <c r="K33" s="98" t="s">
        <v>244</v>
      </c>
      <c r="L33" s="98" t="s">
        <v>245</v>
      </c>
      <c r="M33" s="98" t="s">
        <v>246</v>
      </c>
      <c r="N33" s="98" t="s">
        <v>247</v>
      </c>
      <c r="O33" s="98" t="s">
        <v>248</v>
      </c>
      <c r="P33" s="98" t="s">
        <v>249</v>
      </c>
    </row>
    <row r="34" spans="1:16">
      <c r="G34" s="202"/>
      <c r="I34" s="98"/>
      <c r="J34" s="98" t="s">
        <v>250</v>
      </c>
      <c r="L34" s="101" t="s">
        <v>251</v>
      </c>
      <c r="M34" s="98" t="s">
        <v>252</v>
      </c>
      <c r="N34" s="98" t="s">
        <v>253</v>
      </c>
      <c r="O34" s="98" t="s">
        <v>254</v>
      </c>
      <c r="P34" s="98" t="s">
        <v>255</v>
      </c>
    </row>
    <row r="35" spans="1:16">
      <c r="E35" s="94"/>
      <c r="F35" s="94"/>
      <c r="G35" s="202"/>
      <c r="I35" s="77" t="s">
        <v>256</v>
      </c>
      <c r="J35" s="98" t="s">
        <v>257</v>
      </c>
      <c r="N35" s="98"/>
      <c r="O35" s="79"/>
      <c r="P35" s="98"/>
    </row>
    <row r="36" spans="1:16">
      <c r="E36" s="94"/>
      <c r="F36" s="94"/>
      <c r="G36" s="202"/>
      <c r="I36" s="98" t="s">
        <v>258</v>
      </c>
    </row>
    <row r="37" spans="1:16">
      <c r="E37" s="94"/>
      <c r="F37" s="94"/>
      <c r="G37" s="202"/>
      <c r="I37" s="98" t="s">
        <v>259</v>
      </c>
    </row>
    <row r="38" spans="1:16">
      <c r="E38" s="94"/>
      <c r="F38" s="94"/>
      <c r="G38" s="209"/>
      <c r="J38" s="77" t="s">
        <v>260</v>
      </c>
      <c r="K38" s="77" t="s">
        <v>261</v>
      </c>
      <c r="L38" s="77" t="s">
        <v>262</v>
      </c>
      <c r="M38" s="77" t="s">
        <v>263</v>
      </c>
      <c r="N38" s="77" t="s">
        <v>264</v>
      </c>
      <c r="O38" s="77" t="s">
        <v>265</v>
      </c>
    </row>
    <row r="39" spans="1:16">
      <c r="E39" s="94"/>
      <c r="F39" s="94"/>
      <c r="G39" s="209"/>
      <c r="L39" s="79" t="s">
        <v>266</v>
      </c>
      <c r="M39" s="79" t="s">
        <v>267</v>
      </c>
    </row>
    <row r="40" spans="1:16">
      <c r="E40" s="94"/>
      <c r="F40" s="94"/>
      <c r="L40" s="102" t="s">
        <v>268</v>
      </c>
      <c r="M40" s="79" t="s">
        <v>269</v>
      </c>
    </row>
    <row r="41" spans="1:16">
      <c r="A41" s="103" t="s">
        <v>270</v>
      </c>
      <c r="B41" s="104"/>
      <c r="C41" s="105"/>
      <c r="E41" s="94"/>
      <c r="F41" s="94"/>
      <c r="M41" s="102" t="s">
        <v>268</v>
      </c>
    </row>
    <row r="42" spans="1:16">
      <c r="A42" s="106" t="s">
        <v>271</v>
      </c>
      <c r="B42" s="94"/>
      <c r="C42" s="105"/>
    </row>
    <row r="47" spans="1:16">
      <c r="J47" s="77" t="s">
        <v>272</v>
      </c>
      <c r="K47" s="77" t="s">
        <v>273</v>
      </c>
      <c r="L47" s="77" t="s">
        <v>274</v>
      </c>
      <c r="M47" s="77" t="s">
        <v>275</v>
      </c>
      <c r="N47" s="77" t="s">
        <v>276</v>
      </c>
      <c r="O47" s="77" t="s">
        <v>277</v>
      </c>
    </row>
    <row r="48" spans="1:16">
      <c r="L48" s="79" t="s">
        <v>278</v>
      </c>
      <c r="M48" s="79" t="s">
        <v>279</v>
      </c>
    </row>
    <row r="49" spans="10:15">
      <c r="L49" s="79" t="s">
        <v>280</v>
      </c>
      <c r="M49" s="79" t="s">
        <v>281</v>
      </c>
    </row>
    <row r="50" spans="10:15">
      <c r="L50" s="102" t="s">
        <v>268</v>
      </c>
    </row>
    <row r="56" spans="10:15">
      <c r="J56" s="77" t="s">
        <v>282</v>
      </c>
      <c r="K56" s="77" t="s">
        <v>283</v>
      </c>
      <c r="L56" s="77" t="s">
        <v>284</v>
      </c>
      <c r="M56" s="77" t="s">
        <v>285</v>
      </c>
      <c r="N56" s="77" t="s">
        <v>286</v>
      </c>
      <c r="O56" s="77" t="s">
        <v>287</v>
      </c>
    </row>
    <row r="57" spans="10:15">
      <c r="L57" s="79" t="s">
        <v>288</v>
      </c>
      <c r="M57" s="79" t="s">
        <v>289</v>
      </c>
    </row>
    <row r="58" spans="10:15">
      <c r="L58" s="79" t="s">
        <v>290</v>
      </c>
      <c r="M58" s="79" t="s">
        <v>291</v>
      </c>
    </row>
    <row r="59" spans="10:15">
      <c r="L59" s="102" t="s">
        <v>268</v>
      </c>
    </row>
    <row r="63" spans="10:15">
      <c r="J63" s="77" t="s">
        <v>292</v>
      </c>
      <c r="K63" s="77" t="s">
        <v>293</v>
      </c>
      <c r="L63" s="77" t="s">
        <v>294</v>
      </c>
      <c r="M63" s="77" t="s">
        <v>295</v>
      </c>
      <c r="N63" s="77" t="s">
        <v>296</v>
      </c>
      <c r="O63" s="77" t="s">
        <v>297</v>
      </c>
    </row>
    <row r="64" spans="10:15">
      <c r="L64" s="107" t="s">
        <v>298</v>
      </c>
      <c r="M64" s="79" t="s">
        <v>299</v>
      </c>
    </row>
    <row r="65" spans="10:15">
      <c r="L65" s="79" t="s">
        <v>300</v>
      </c>
      <c r="M65" s="79" t="s">
        <v>301</v>
      </c>
    </row>
    <row r="66" spans="10:15">
      <c r="L66" s="79" t="s">
        <v>302</v>
      </c>
      <c r="M66" s="79" t="s">
        <v>303</v>
      </c>
    </row>
    <row r="67" spans="10:15">
      <c r="L67" s="79" t="s">
        <v>304</v>
      </c>
      <c r="M67" s="79" t="s">
        <v>305</v>
      </c>
    </row>
    <row r="71" spans="10:15">
      <c r="J71" s="77" t="s">
        <v>306</v>
      </c>
      <c r="K71" s="77" t="s">
        <v>307</v>
      </c>
      <c r="L71" s="77" t="s">
        <v>308</v>
      </c>
      <c r="M71" s="77" t="s">
        <v>309</v>
      </c>
      <c r="N71" s="77" t="s">
        <v>310</v>
      </c>
      <c r="O71" s="77" t="s">
        <v>311</v>
      </c>
    </row>
    <row r="72" spans="10:15">
      <c r="L72" s="79" t="s">
        <v>312</v>
      </c>
      <c r="M72" s="79" t="s">
        <v>313</v>
      </c>
    </row>
    <row r="73" spans="10:15">
      <c r="L73" s="79" t="s">
        <v>314</v>
      </c>
      <c r="M73" s="79" t="s">
        <v>315</v>
      </c>
    </row>
  </sheetData>
  <dataConsolidate/>
  <mergeCells count="1">
    <mergeCell ref="B5:C6"/>
  </mergeCells>
  <dataValidations count="1">
    <dataValidation type="list" allowBlank="1" showInputMessage="1" showErrorMessage="1" sqref="H1">
      <formula1>origine_de_détection</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sheetPr codeName="Feuil1">
    <tabColor rgb="FF7030A0"/>
    <pageSetUpPr fitToPage="1"/>
  </sheetPr>
  <dimension ref="A1:BW42"/>
  <sheetViews>
    <sheetView showGridLines="0" topLeftCell="D1" zoomScale="90" zoomScaleNormal="90" zoomScaleSheetLayoutView="100" workbookViewId="0">
      <selection activeCell="BF4" sqref="BF4"/>
    </sheetView>
  </sheetViews>
  <sheetFormatPr baseColWidth="10" defaultRowHeight="12.75"/>
  <cols>
    <col min="1" max="1" width="12.85546875" style="2" customWidth="1"/>
    <col min="2" max="2" width="34.140625" style="1" customWidth="1"/>
    <col min="3" max="3" width="10.140625" style="2" customWidth="1"/>
    <col min="4" max="4" width="6.7109375" style="2" customWidth="1"/>
    <col min="5" max="5" width="7.85546875" style="2" customWidth="1"/>
    <col min="6" max="6" width="6" style="2" customWidth="1"/>
    <col min="7" max="7" width="8.140625" style="2" customWidth="1"/>
    <col min="8" max="8" width="9.28515625" style="2" customWidth="1"/>
    <col min="9" max="9" width="10.140625" style="2" customWidth="1"/>
    <col min="10" max="10" width="5.42578125" style="2" customWidth="1"/>
    <col min="11" max="11" width="9" style="2" customWidth="1"/>
    <col min="12" max="12" width="7.140625" style="2" customWidth="1"/>
    <col min="13" max="13" width="11.28515625" style="2" customWidth="1"/>
    <col min="14" max="14" width="7.5703125" style="2" customWidth="1"/>
    <col min="15" max="16" width="10.5703125" style="2" hidden="1" customWidth="1"/>
    <col min="17" max="17" width="10.7109375" style="2" hidden="1" customWidth="1"/>
    <col min="18" max="20" width="10.5703125" style="2" hidden="1" customWidth="1"/>
    <col min="21" max="21" width="11.7109375" style="2" hidden="1" customWidth="1"/>
    <col min="22" max="29" width="10.5703125" style="2" hidden="1" customWidth="1"/>
    <col min="30" max="30" width="12.42578125" style="2" hidden="1" customWidth="1"/>
    <col min="31" max="31" width="11" style="2" hidden="1" customWidth="1"/>
    <col min="32" max="50" width="10.5703125" style="2" hidden="1" customWidth="1"/>
    <col min="51" max="54" width="16.7109375" style="4" customWidth="1"/>
    <col min="55" max="55" width="10.5703125" style="2" bestFit="1" customWidth="1"/>
    <col min="56" max="56" width="6.7109375" style="2" bestFit="1" customWidth="1"/>
    <col min="57" max="57" width="7.85546875" style="2" bestFit="1" customWidth="1"/>
    <col min="58" max="58" width="8.42578125" style="2" bestFit="1" customWidth="1"/>
    <col min="59" max="59" width="13.28515625" style="2" hidden="1" customWidth="1"/>
    <col min="60" max="60" width="12.7109375" style="2" hidden="1" customWidth="1"/>
    <col min="61" max="62" width="12.5703125" style="2" hidden="1" customWidth="1"/>
    <col min="63" max="63" width="13.5703125" style="2" hidden="1" customWidth="1"/>
    <col min="64" max="66" width="22.28515625" style="2" hidden="1" customWidth="1"/>
    <col min="67" max="67" width="12.5703125" style="2" hidden="1" customWidth="1"/>
    <col min="68" max="69" width="10.5703125" style="2" hidden="1" customWidth="1"/>
    <col min="70" max="71" width="19.28515625" style="2" hidden="1" customWidth="1"/>
    <col min="72" max="74" width="17.7109375" style="2" hidden="1" customWidth="1"/>
    <col min="75" max="75" width="38.5703125" style="16" hidden="1" customWidth="1"/>
  </cols>
  <sheetData>
    <row r="1" spans="1:75" s="3" customFormat="1" ht="18" customHeight="1">
      <c r="A1" s="280" t="s">
        <v>1</v>
      </c>
      <c r="B1" s="279" t="s">
        <v>2</v>
      </c>
      <c r="C1" s="284" t="s">
        <v>154</v>
      </c>
      <c r="D1" s="285"/>
      <c r="E1" s="285"/>
      <c r="F1" s="285"/>
      <c r="G1" s="285"/>
      <c r="H1" s="286"/>
      <c r="I1" s="283" t="s">
        <v>155</v>
      </c>
      <c r="J1" s="283"/>
      <c r="K1" s="283"/>
      <c r="L1" s="283"/>
      <c r="M1" s="283"/>
      <c r="N1" s="283"/>
      <c r="O1" s="299" t="s">
        <v>153</v>
      </c>
      <c r="P1" s="300"/>
      <c r="Q1" s="300"/>
      <c r="R1" s="36"/>
      <c r="S1" s="37"/>
      <c r="T1" s="38"/>
      <c r="U1" s="297"/>
      <c r="V1" s="298"/>
      <c r="W1" s="36"/>
      <c r="X1" s="36"/>
      <c r="Y1" s="37"/>
      <c r="Z1" s="39"/>
      <c r="AA1" s="40"/>
      <c r="AB1" s="36"/>
      <c r="AC1" s="36"/>
      <c r="AD1" s="37"/>
      <c r="AE1" s="37"/>
      <c r="AF1" s="39"/>
      <c r="AG1" s="41"/>
      <c r="AH1" s="36"/>
      <c r="AI1" s="37"/>
      <c r="AJ1" s="37"/>
      <c r="AK1" s="42"/>
      <c r="AL1" s="39"/>
      <c r="AM1" s="43"/>
      <c r="AN1" s="44"/>
      <c r="AO1" s="44"/>
      <c r="AP1" s="44"/>
      <c r="AQ1" s="44"/>
      <c r="AR1" s="45"/>
      <c r="AS1" s="287" t="s">
        <v>19</v>
      </c>
      <c r="AT1" s="288"/>
      <c r="AU1" s="288"/>
      <c r="AV1" s="288"/>
      <c r="AW1" s="288"/>
      <c r="AX1" s="289"/>
      <c r="AY1" s="284" t="s">
        <v>156</v>
      </c>
      <c r="AZ1" s="285"/>
      <c r="BA1" s="285"/>
      <c r="BB1" s="285"/>
      <c r="BC1" s="46" t="s">
        <v>0</v>
      </c>
      <c r="BD1" s="46"/>
      <c r="BE1" s="46"/>
      <c r="BF1" s="46"/>
      <c r="BG1" s="290" t="s">
        <v>131</v>
      </c>
      <c r="BH1" s="291"/>
      <c r="BI1" s="292" t="s">
        <v>137</v>
      </c>
      <c r="BJ1" s="292"/>
      <c r="BK1" s="293"/>
      <c r="BL1" s="47" t="s">
        <v>133</v>
      </c>
      <c r="BM1" s="47" t="s">
        <v>133</v>
      </c>
      <c r="BN1" s="47" t="s">
        <v>133</v>
      </c>
      <c r="BO1" s="294" t="s">
        <v>132</v>
      </c>
      <c r="BP1" s="295"/>
      <c r="BQ1" s="296"/>
      <c r="BR1" s="301" t="s">
        <v>148</v>
      </c>
      <c r="BS1" s="302"/>
      <c r="BT1" s="303" t="s">
        <v>149</v>
      </c>
      <c r="BU1" s="304"/>
      <c r="BV1" s="305"/>
      <c r="BW1" s="281" t="s">
        <v>894</v>
      </c>
    </row>
    <row r="2" spans="1:75" s="4" customFormat="1" ht="27.75" customHeight="1">
      <c r="A2" s="280"/>
      <c r="B2" s="279"/>
      <c r="C2" s="48" t="s">
        <v>8</v>
      </c>
      <c r="D2" s="48" t="s">
        <v>9</v>
      </c>
      <c r="E2" s="48" t="s">
        <v>10</v>
      </c>
      <c r="F2" s="48" t="s">
        <v>11</v>
      </c>
      <c r="G2" s="48" t="s">
        <v>12</v>
      </c>
      <c r="H2" s="48" t="s">
        <v>13</v>
      </c>
      <c r="I2" s="49" t="s">
        <v>14</v>
      </c>
      <c r="J2" s="49" t="s">
        <v>4</v>
      </c>
      <c r="K2" s="49" t="s">
        <v>5</v>
      </c>
      <c r="L2" s="49" t="s">
        <v>11</v>
      </c>
      <c r="M2" s="49" t="s">
        <v>21</v>
      </c>
      <c r="N2" s="49" t="s">
        <v>15</v>
      </c>
      <c r="O2" s="50" t="s">
        <v>16</v>
      </c>
      <c r="P2" s="50" t="s">
        <v>17</v>
      </c>
      <c r="Q2" s="50" t="s">
        <v>18</v>
      </c>
      <c r="R2" s="51" t="s">
        <v>39</v>
      </c>
      <c r="S2" s="52" t="s">
        <v>40</v>
      </c>
      <c r="T2" s="52" t="s">
        <v>26</v>
      </c>
      <c r="U2" s="53" t="s">
        <v>41</v>
      </c>
      <c r="V2" s="53" t="s">
        <v>22</v>
      </c>
      <c r="W2" s="51" t="s">
        <v>42</v>
      </c>
      <c r="X2" s="51" t="s">
        <v>23</v>
      </c>
      <c r="Y2" s="52" t="s">
        <v>43</v>
      </c>
      <c r="Z2" s="54" t="s">
        <v>44</v>
      </c>
      <c r="AA2" s="53" t="s">
        <v>45</v>
      </c>
      <c r="AB2" s="51" t="s">
        <v>46</v>
      </c>
      <c r="AC2" s="51" t="s">
        <v>47</v>
      </c>
      <c r="AD2" s="52" t="s">
        <v>48</v>
      </c>
      <c r="AE2" s="52" t="s">
        <v>49</v>
      </c>
      <c r="AF2" s="54" t="s">
        <v>50</v>
      </c>
      <c r="AG2" s="51" t="s">
        <v>24</v>
      </c>
      <c r="AH2" s="51" t="s">
        <v>25</v>
      </c>
      <c r="AI2" s="52" t="s">
        <v>51</v>
      </c>
      <c r="AJ2" s="52" t="s">
        <v>52</v>
      </c>
      <c r="AK2" s="54" t="s">
        <v>53</v>
      </c>
      <c r="AL2" s="54" t="s">
        <v>54</v>
      </c>
      <c r="AM2" s="55" t="s">
        <v>55</v>
      </c>
      <c r="AN2" s="55" t="s">
        <v>56</v>
      </c>
      <c r="AO2" s="55" t="s">
        <v>57</v>
      </c>
      <c r="AP2" s="55" t="s">
        <v>58</v>
      </c>
      <c r="AQ2" s="55" t="s">
        <v>27</v>
      </c>
      <c r="AR2" s="55" t="s">
        <v>59</v>
      </c>
      <c r="AS2" s="55" t="s">
        <v>60</v>
      </c>
      <c r="AT2" s="55" t="s">
        <v>28</v>
      </c>
      <c r="AU2" s="55" t="s">
        <v>61</v>
      </c>
      <c r="AV2" s="55" t="s">
        <v>62</v>
      </c>
      <c r="AW2" s="55" t="s">
        <v>29</v>
      </c>
      <c r="AX2" s="55" t="s">
        <v>30</v>
      </c>
      <c r="AY2" s="49" t="s">
        <v>35</v>
      </c>
      <c r="AZ2" s="56" t="s">
        <v>10</v>
      </c>
      <c r="BA2" s="57" t="s">
        <v>11</v>
      </c>
      <c r="BB2" s="58" t="s">
        <v>36</v>
      </c>
      <c r="BC2" s="48" t="s">
        <v>34</v>
      </c>
      <c r="BD2" s="48" t="s">
        <v>9</v>
      </c>
      <c r="BE2" s="48" t="s">
        <v>33</v>
      </c>
      <c r="BF2" s="48" t="s">
        <v>31</v>
      </c>
      <c r="BG2" s="59" t="s">
        <v>134</v>
      </c>
      <c r="BH2" s="59" t="s">
        <v>135</v>
      </c>
      <c r="BI2" s="60" t="s">
        <v>136</v>
      </c>
      <c r="BJ2" s="60" t="s">
        <v>138</v>
      </c>
      <c r="BK2" s="60" t="s">
        <v>139</v>
      </c>
      <c r="BL2" s="61" t="s">
        <v>140</v>
      </c>
      <c r="BM2" s="62" t="s">
        <v>141</v>
      </c>
      <c r="BN2" s="62" t="s">
        <v>142</v>
      </c>
      <c r="BO2" s="63" t="s">
        <v>143</v>
      </c>
      <c r="BP2" s="64" t="s">
        <v>144</v>
      </c>
      <c r="BQ2" s="64" t="s">
        <v>145</v>
      </c>
      <c r="BR2" s="65" t="s">
        <v>146</v>
      </c>
      <c r="BS2" s="65" t="s">
        <v>147</v>
      </c>
      <c r="BT2" s="66" t="s">
        <v>150</v>
      </c>
      <c r="BU2" s="66" t="s">
        <v>151</v>
      </c>
      <c r="BV2" s="66" t="s">
        <v>152</v>
      </c>
      <c r="BW2" s="282"/>
    </row>
    <row r="3" spans="1:75" ht="25.5" hidden="1" customHeight="1">
      <c r="A3" s="67"/>
      <c r="B3" s="68"/>
      <c r="C3" s="67"/>
      <c r="D3" s="67"/>
      <c r="E3" s="67"/>
      <c r="F3" s="67"/>
      <c r="G3" s="67"/>
      <c r="H3" s="67"/>
      <c r="I3" s="67"/>
      <c r="J3" s="67"/>
      <c r="K3" s="67"/>
      <c r="L3" s="67"/>
      <c r="M3" s="67"/>
      <c r="N3" s="67"/>
      <c r="O3" s="69">
        <v>1</v>
      </c>
      <c r="P3" s="69">
        <v>1</v>
      </c>
      <c r="Q3" s="69">
        <v>1</v>
      </c>
      <c r="R3" s="69">
        <v>1</v>
      </c>
      <c r="S3" s="69">
        <v>1</v>
      </c>
      <c r="T3" s="69">
        <v>1</v>
      </c>
      <c r="U3" s="69">
        <v>1</v>
      </c>
      <c r="V3" s="69">
        <v>1</v>
      </c>
      <c r="W3" s="69">
        <v>1</v>
      </c>
      <c r="X3" s="69">
        <v>1</v>
      </c>
      <c r="Y3" s="69">
        <v>1</v>
      </c>
      <c r="Z3" s="69">
        <v>1</v>
      </c>
      <c r="AA3" s="69">
        <v>1</v>
      </c>
      <c r="AB3" s="69">
        <v>1</v>
      </c>
      <c r="AC3" s="69">
        <v>1</v>
      </c>
      <c r="AD3" s="69">
        <v>1</v>
      </c>
      <c r="AE3" s="69">
        <v>1</v>
      </c>
      <c r="AF3" s="69">
        <v>1</v>
      </c>
      <c r="AG3" s="69">
        <v>1</v>
      </c>
      <c r="AH3" s="69">
        <v>1</v>
      </c>
      <c r="AI3" s="69">
        <v>1</v>
      </c>
      <c r="AJ3" s="69">
        <v>1</v>
      </c>
      <c r="AK3" s="69">
        <v>1</v>
      </c>
      <c r="AL3" s="69">
        <v>1</v>
      </c>
      <c r="AM3" s="69">
        <v>1</v>
      </c>
      <c r="AN3" s="69">
        <v>1</v>
      </c>
      <c r="AO3" s="69">
        <v>1</v>
      </c>
      <c r="AP3" s="69">
        <v>1</v>
      </c>
      <c r="AQ3" s="69">
        <v>1</v>
      </c>
      <c r="AR3" s="69">
        <v>1</v>
      </c>
      <c r="AS3" s="69">
        <v>1</v>
      </c>
      <c r="AT3" s="69">
        <v>1</v>
      </c>
      <c r="AU3" s="69">
        <v>1</v>
      </c>
      <c r="AV3" s="69">
        <v>1</v>
      </c>
      <c r="AW3" s="69">
        <v>1</v>
      </c>
      <c r="AX3" s="69">
        <v>1</v>
      </c>
      <c r="AY3" s="70"/>
      <c r="AZ3" s="70"/>
      <c r="BA3" s="70"/>
      <c r="BB3" s="70"/>
      <c r="BC3" s="67"/>
      <c r="BD3" s="67"/>
      <c r="BE3" s="67"/>
      <c r="BF3" s="67"/>
      <c r="BG3" s="69">
        <v>1</v>
      </c>
      <c r="BH3" s="69">
        <v>1</v>
      </c>
      <c r="BI3" s="69">
        <v>1</v>
      </c>
      <c r="BJ3" s="69"/>
      <c r="BK3" s="69"/>
      <c r="BL3" s="69">
        <v>1</v>
      </c>
      <c r="BM3" s="69"/>
      <c r="BN3" s="69"/>
      <c r="BO3" s="69">
        <v>1</v>
      </c>
      <c r="BP3" s="69">
        <v>1</v>
      </c>
      <c r="BQ3" s="69"/>
      <c r="BR3" s="69">
        <v>1</v>
      </c>
      <c r="BS3" s="69"/>
      <c r="BT3" s="69"/>
      <c r="BU3" s="69"/>
      <c r="BV3" s="69">
        <v>1</v>
      </c>
      <c r="BW3" s="71" t="s">
        <v>63</v>
      </c>
    </row>
    <row r="4" spans="1:75" ht="25.5" customHeight="1">
      <c r="A4" s="211" t="s">
        <v>817</v>
      </c>
      <c r="B4" s="72" t="str">
        <f>'Risk N°1'!B6:C6</f>
        <v>Ne pas réaliser la volumétrie des EIR (objectif COM 4)</v>
      </c>
      <c r="C4" s="73" t="str">
        <f ca="1">IF(COUNTIF(Conso!O2,"*Marginal*"),"x"," ")</f>
        <v xml:space="preserve"> </v>
      </c>
      <c r="D4" s="73" t="str">
        <f ca="1">IF(COUNTIF(Conso!O2,"*Faible*"),"x"," ")</f>
        <v xml:space="preserve"> </v>
      </c>
      <c r="E4" s="73" t="str">
        <f ca="1">IF(COUNTIF(Conso!O2,"*Modéré*"),"x"," ")</f>
        <v>x</v>
      </c>
      <c r="F4" s="73" t="str">
        <f ca="1">IF(COUNTIF(Conso!O2,"*Elevé*"),"x"," ")</f>
        <v xml:space="preserve"> </v>
      </c>
      <c r="G4" s="73" t="str">
        <f ca="1">IF(COUNTIF(Conso!O2,"*Critique*"),"x"," ")</f>
        <v xml:space="preserve"> </v>
      </c>
      <c r="H4" s="73" t="str">
        <f ca="1">IF(COUNTIF(Conso!O2,"*Catastrophique*"),"x"," ")</f>
        <v xml:space="preserve"> </v>
      </c>
      <c r="I4" s="73" t="str">
        <f ca="1">IF(COUNTIF(Conso!N2,"*Exceptionnelle*"),"x"," ")</f>
        <v xml:space="preserve"> </v>
      </c>
      <c r="J4" s="73" t="str">
        <f ca="1">IF(COUNTIF(Conso!N2,"*Rare*"),"x"," ")</f>
        <v xml:space="preserve"> </v>
      </c>
      <c r="K4" s="73" t="str">
        <f ca="1">IF(COUNTIF(Conso!N2,"*Modérée*"),"x"," ")</f>
        <v xml:space="preserve"> </v>
      </c>
      <c r="L4" s="73" t="str">
        <f ca="1">IF(COUNTIF(Conso!N2,"*Elevée*"),"x"," ")</f>
        <v>x</v>
      </c>
      <c r="M4" s="73" t="str">
        <f ca="1">IF(COUNTIF(Conso!N2,"*Récurrente*"),"x"," ")</f>
        <v xml:space="preserve"> </v>
      </c>
      <c r="N4" s="73" t="str">
        <f ca="1">IF(COUNTIF(Conso!N2,"*Permanente*"),"x"," ")</f>
        <v xml:space="preserve"> </v>
      </c>
      <c r="O4" s="74" t="str">
        <f ca="1">IF(AND(C4="x",I4="x"),"x"," ")</f>
        <v xml:space="preserve"> </v>
      </c>
      <c r="P4" s="74" t="str">
        <f ca="1">IF(AND(C4="x",J4="x"),"x"," ")</f>
        <v xml:space="preserve"> </v>
      </c>
      <c r="Q4" s="74" t="str">
        <f ca="1">IF(AND(C4="x",K4="x"),"x"," ")</f>
        <v xml:space="preserve"> </v>
      </c>
      <c r="R4" s="74" t="str">
        <f ca="1">IF(AND(C4="x",L4="x"),"x"," ")</f>
        <v xml:space="preserve"> </v>
      </c>
      <c r="S4" s="74" t="str">
        <f ca="1">IF(AND(C4="x",M4="x"),"x"," ")</f>
        <v xml:space="preserve"> </v>
      </c>
      <c r="T4" s="74" t="str">
        <f ca="1">IF(AND(C4="x",N4="x"),"x"," ")</f>
        <v xml:space="preserve"> </v>
      </c>
      <c r="U4" s="74" t="str">
        <f ca="1">IF(AND(D4="x",I4="x"),"x"," ")</f>
        <v xml:space="preserve"> </v>
      </c>
      <c r="V4" s="74" t="str">
        <f ca="1">IF(AND(D4="x",J4="x"),"x"," ")</f>
        <v xml:space="preserve"> </v>
      </c>
      <c r="W4" s="74" t="str">
        <f ca="1">IF(AND(D4="x",K4="x"),"x"," ")</f>
        <v xml:space="preserve"> </v>
      </c>
      <c r="X4" s="74" t="str">
        <f ca="1">IF(AND(D4="x",L4="x"),"x"," ")</f>
        <v xml:space="preserve"> </v>
      </c>
      <c r="Y4" s="74" t="str">
        <f ca="1">IF(AND(D4="x",M4="x"),"x"," ")</f>
        <v xml:space="preserve"> </v>
      </c>
      <c r="Z4" s="74" t="str">
        <f ca="1">IF(AND(D4="x",N4="x"),"x"," ")</f>
        <v xml:space="preserve"> </v>
      </c>
      <c r="AA4" s="74" t="str">
        <f ca="1">IF(AND(E4="x",I4="x"),"x"," ")</f>
        <v xml:space="preserve"> </v>
      </c>
      <c r="AB4" s="74" t="str">
        <f ca="1">IF(AND(E4="x",J4="x"),"x"," ")</f>
        <v xml:space="preserve"> </v>
      </c>
      <c r="AC4" s="74" t="str">
        <f ca="1">IF(AND(E4="x",K4="x"),"x"," ")</f>
        <v xml:space="preserve"> </v>
      </c>
      <c r="AD4" s="74" t="str">
        <f ca="1">IF(AND(E4="x",L4="x"),"x"," ")</f>
        <v>x</v>
      </c>
      <c r="AE4" s="74" t="str">
        <f ca="1">IF(AND(E4="x",M4="x"),"x"," ")</f>
        <v xml:space="preserve"> </v>
      </c>
      <c r="AF4" s="74" t="str">
        <f ca="1">IF(AND(E4="x",N4="x"),"x"," ")</f>
        <v xml:space="preserve"> </v>
      </c>
      <c r="AG4" s="74" t="str">
        <f ca="1">IF(AND(F4="x",I4="x"),"x"," ")</f>
        <v xml:space="preserve"> </v>
      </c>
      <c r="AH4" s="74" t="str">
        <f ca="1">IF(AND(F4="x",J4="x"),"x"," ")</f>
        <v xml:space="preserve"> </v>
      </c>
      <c r="AI4" s="74" t="str">
        <f ca="1">IF(AND(F4="x",K4="x"),"x"," ")</f>
        <v xml:space="preserve"> </v>
      </c>
      <c r="AJ4" s="74" t="str">
        <f ca="1">IF(AND(F4="x",L4="x"),"x"," ")</f>
        <v xml:space="preserve"> </v>
      </c>
      <c r="AK4" s="74" t="str">
        <f ca="1">IF(AND(F4="x",M4="x"),"x"," ")</f>
        <v xml:space="preserve"> </v>
      </c>
      <c r="AL4" s="74" t="str">
        <f ca="1">IF(AND(F4="x",N4="x"),"x"," ")</f>
        <v xml:space="preserve"> </v>
      </c>
      <c r="AM4" s="74" t="str">
        <f ca="1">IF(AND(G4="x",I4="x"),"x"," ")</f>
        <v xml:space="preserve"> </v>
      </c>
      <c r="AN4" s="74" t="str">
        <f ca="1">IF(AND(G4="x",J4="x"),"x"," ")</f>
        <v xml:space="preserve"> </v>
      </c>
      <c r="AO4" s="74" t="str">
        <f ca="1">IF(AND(G4="x",K4="x"),"x"," ")</f>
        <v xml:space="preserve"> </v>
      </c>
      <c r="AP4" s="74" t="str">
        <f ca="1">IF(AND(G4="x",L4="x"),"x"," ")</f>
        <v xml:space="preserve"> </v>
      </c>
      <c r="AQ4" s="74" t="str">
        <f ca="1">IF(AND(G4="x",M4="x"),"x"," ")</f>
        <v xml:space="preserve"> </v>
      </c>
      <c r="AR4" s="74" t="str">
        <f ca="1">IF(AND(G4="x",N4="x"),"x"," ")</f>
        <v xml:space="preserve"> </v>
      </c>
      <c r="AS4" s="74" t="str">
        <f ca="1">IF(AND(H4="x",I4="x"),"x"," ")</f>
        <v xml:space="preserve"> </v>
      </c>
      <c r="AT4" s="74" t="str">
        <f ca="1">IF(AND(H4="x",J4="x"),"x"," ")</f>
        <v xml:space="preserve"> </v>
      </c>
      <c r="AU4" s="74" t="str">
        <f ca="1">IF(AND(H4="x",K4="x"),"x"," ")</f>
        <v xml:space="preserve"> </v>
      </c>
      <c r="AV4" s="74" t="str">
        <f ca="1">IF(AND(H4="x",L4="x"),"x"," ")</f>
        <v xml:space="preserve"> </v>
      </c>
      <c r="AW4" s="74" t="str">
        <f ca="1">IF(AND(H4="x",M4="x"),"x"," ")</f>
        <v xml:space="preserve"> </v>
      </c>
      <c r="AX4" s="74" t="str">
        <f ca="1">IF(AND(H4="x",N4="x"),"x"," ")</f>
        <v xml:space="preserve"> </v>
      </c>
      <c r="AY4" s="75" t="str">
        <f ca="1">IF(OR(C4&amp;J4="xx",C4&amp;K4="xx",C4&amp;I4="xx",D4&amp;I4="xx",D4&amp;J4="xx",E4&amp;I4="xx"),"x"," ")</f>
        <v xml:space="preserve"> </v>
      </c>
      <c r="AZ4" s="73" t="str">
        <f ca="1">IF(OR(C4&amp;L4="xx",D4&amp;K4="xx",D4&amp;L4="xx",E4&amp;J4="xx",E4&amp;K4="xx",F4&amp;I4="xx",F4&amp;J4="xx"),"x"," ")</f>
        <v xml:space="preserve"> </v>
      </c>
      <c r="BA4" s="73" t="str">
        <f ca="1">IF(OR(C4&amp;N4="xx",C4&amp;M4="xx",D4&amp;M4="xx",E4&amp;M4="xx",E4&amp;L4="xx",F4&amp;L4="xx",F4&amp;K4="xx"),"x"," ")</f>
        <v>x</v>
      </c>
      <c r="BB4" s="73" t="str">
        <f ca="1">IF(OR(D4&amp;N4="xx",E4&amp;N4="xx",F4&amp;N4="xx",F4&amp;M4="xx",G4&amp;I4="xx",G4&amp;J4="xx",G4&amp;K4="xx",G4&amp;L4="xx",G4&amp;M4="xx",G4&amp;N4="xx"),"x"," ")</f>
        <v xml:space="preserve"> </v>
      </c>
      <c r="BC4" s="73" t="str">
        <f ca="1">IF(COUNTIF(Conso!P2,"*Insuffisant*"),"x"," ")</f>
        <v xml:space="preserve"> </v>
      </c>
      <c r="BD4" s="73" t="str">
        <f ca="1">IF(COUNTIF(Conso!P2,"*Faible*"),"x"," ")</f>
        <v xml:space="preserve"> </v>
      </c>
      <c r="BE4" s="73" t="str">
        <f ca="1">IF(COUNTIF(Conso!P2,"*Acceptable*"),"x"," ")</f>
        <v xml:space="preserve"> </v>
      </c>
      <c r="BF4" s="73" t="str">
        <f ca="1">IF(COUNTIF(Conso!P2,"*Maîtrisé*"),"x"," ")</f>
        <v>x</v>
      </c>
      <c r="BG4" s="73" t="str">
        <f t="shared" ref="BG4" ca="1" si="0">IF(AND(AY4="x",BC4="x"),"x"," ")</f>
        <v xml:space="preserve"> </v>
      </c>
      <c r="BH4" s="73" t="str">
        <f t="shared" ref="BH4" ca="1" si="1">IF(AND(AY4="x",BD4="x"),"x"," ")</f>
        <v xml:space="preserve"> </v>
      </c>
      <c r="BI4" s="73" t="str">
        <f t="shared" ref="BI4" ca="1" si="2">IF(AND(AY4="x",BE4="x"),"x"," ")</f>
        <v xml:space="preserve"> </v>
      </c>
      <c r="BJ4" s="73" t="str">
        <f t="shared" ref="BJ4" ca="1" si="3">IF(AND(AY4="x",BF4="x"),"x"," ")</f>
        <v xml:space="preserve"> </v>
      </c>
      <c r="BK4" s="73" t="str">
        <f t="shared" ref="BK4" ca="1" si="4">IF(AND(AZ4="x",BF4="x"),"x"," ")</f>
        <v xml:space="preserve"> </v>
      </c>
      <c r="BL4" s="73" t="str">
        <f t="shared" ref="BL4" ca="1" si="5">IF(AND(AZ4="x",BC4="x"),"x"," ")</f>
        <v xml:space="preserve"> </v>
      </c>
      <c r="BM4" s="73" t="str">
        <f t="shared" ref="BM4" ca="1" si="6">IF(AND(BA4="x",BD4="x"),"x"," ")</f>
        <v xml:space="preserve"> </v>
      </c>
      <c r="BN4" s="73" t="str">
        <f t="shared" ref="BN4" ca="1" si="7">IF(AND(BB4="x",BE4="x"),"x"," ")</f>
        <v xml:space="preserve"> </v>
      </c>
      <c r="BO4" s="73" t="str">
        <f t="shared" ref="BO4" ca="1" si="8">IF(AND(AZ4="x",BD4="x"),"x"," ")</f>
        <v xml:space="preserve"> </v>
      </c>
      <c r="BP4" s="73" t="str">
        <f t="shared" ref="BP4" ca="1" si="9">IF(AND(AZ4="x",BE4="x"),"x"," ")</f>
        <v xml:space="preserve"> </v>
      </c>
      <c r="BQ4" s="73" t="str">
        <f t="shared" ref="BQ4" ca="1" si="10">IF(AND(BA4="x",BE4="x"),"x"," ")</f>
        <v xml:space="preserve"> </v>
      </c>
      <c r="BR4" s="73" t="str">
        <f t="shared" ref="BR4" ca="1" si="11">IF(AND(BA4="x",BF4="x"),"x"," ")</f>
        <v>x</v>
      </c>
      <c r="BS4" s="73" t="str">
        <f t="shared" ref="BS4" ca="1" si="12">IF(AND(BB4="x",BF4="x"),"x"," ")</f>
        <v xml:space="preserve"> </v>
      </c>
      <c r="BT4" s="73" t="str">
        <f t="shared" ref="BT4" ca="1" si="13">IF(AND(BB4="x",BC4="x"),"x"," ")</f>
        <v xml:space="preserve"> </v>
      </c>
      <c r="BU4" s="73" t="str">
        <f t="shared" ref="BU4" ca="1" si="14">IF(AND(BA4="x",BC4="x"),"x"," ")</f>
        <v xml:space="preserve"> </v>
      </c>
      <c r="BV4" s="73" t="str">
        <f t="shared" ref="BV4" ca="1" si="15">IF(AND(BB4="x",BD4="x"),"x"," ")</f>
        <v xml:space="preserve"> </v>
      </c>
      <c r="BW4" s="216" t="s">
        <v>895</v>
      </c>
    </row>
    <row r="5" spans="1:75" ht="25.5" customHeight="1">
      <c r="A5" s="211" t="s">
        <v>818</v>
      </c>
      <c r="B5" s="72" t="e">
        <f>#REF!</f>
        <v>#REF!</v>
      </c>
      <c r="C5" s="73" t="str">
        <f ca="1">IF(COUNTIF(Conso!O3,"*Marginal*"),"x"," ")</f>
        <v xml:space="preserve"> </v>
      </c>
      <c r="D5" s="73" t="str">
        <f ca="1">IF(COUNTIF(Conso!O3,"*Faible*"),"x"," ")</f>
        <v xml:space="preserve"> </v>
      </c>
      <c r="E5" s="73" t="str">
        <f ca="1">IF(COUNTIF(Conso!O3,"*Modéré*"),"x"," ")</f>
        <v>x</v>
      </c>
      <c r="F5" s="73" t="str">
        <f ca="1">IF(COUNTIF(Conso!O3,"*Elevé*"),"x"," ")</f>
        <v xml:space="preserve"> </v>
      </c>
      <c r="G5" s="73" t="str">
        <f ca="1">IF(COUNTIF(Conso!O3,"*Critique*"),"x"," ")</f>
        <v xml:space="preserve"> </v>
      </c>
      <c r="H5" s="73" t="str">
        <f ca="1">IF(COUNTIF(Conso!O3,"*Catastrophique*"),"x"," ")</f>
        <v xml:space="preserve"> </v>
      </c>
      <c r="I5" s="73" t="str">
        <f ca="1">IF(COUNTIF(Conso!N3,"*Exceptionnelle*"),"x"," ")</f>
        <v xml:space="preserve"> </v>
      </c>
      <c r="J5" s="73" t="str">
        <f ca="1">IF(COUNTIF(Conso!N3,"*Rare*"),"x"," ")</f>
        <v xml:space="preserve"> </v>
      </c>
      <c r="K5" s="73" t="str">
        <f ca="1">IF(COUNTIF(Conso!N3,"*Modérée*"),"x"," ")</f>
        <v xml:space="preserve"> </v>
      </c>
      <c r="L5" s="73" t="str">
        <f ca="1">IF(COUNTIF(Conso!N3,"*Elevée*"),"x"," ")</f>
        <v>x</v>
      </c>
      <c r="M5" s="73" t="str">
        <f ca="1">IF(COUNTIF(Conso!N3,"*Récurrente*"),"x"," ")</f>
        <v xml:space="preserve"> </v>
      </c>
      <c r="N5" s="73" t="str">
        <f ca="1">IF(COUNTIF(Conso!N3,"*Permanente*"),"x"," ")</f>
        <v xml:space="preserve"> </v>
      </c>
      <c r="O5" s="74" t="str">
        <f t="shared" ref="O5:O42" ca="1" si="16">IF(AND(C5="x",I5="x"),"x"," ")</f>
        <v xml:space="preserve"> </v>
      </c>
      <c r="P5" s="74" t="str">
        <f t="shared" ref="P5:P42" ca="1" si="17">IF(AND(C5="x",J5="x"),"x"," ")</f>
        <v xml:space="preserve"> </v>
      </c>
      <c r="Q5" s="74" t="str">
        <f t="shared" ref="Q5:Q42" ca="1" si="18">IF(AND(C5="x",K5="x"),"x"," ")</f>
        <v xml:space="preserve"> </v>
      </c>
      <c r="R5" s="74" t="str">
        <f t="shared" ref="R5:R42" ca="1" si="19">IF(AND(C5="x",L5="x"),"x"," ")</f>
        <v xml:space="preserve"> </v>
      </c>
      <c r="S5" s="74" t="str">
        <f t="shared" ref="S5:S42" ca="1" si="20">IF(AND(C5="x",M5="x"),"x"," ")</f>
        <v xml:space="preserve"> </v>
      </c>
      <c r="T5" s="74" t="str">
        <f t="shared" ref="T5:T42" ca="1" si="21">IF(AND(C5="x",N5="x"),"x"," ")</f>
        <v xml:space="preserve"> </v>
      </c>
      <c r="U5" s="74" t="str">
        <f t="shared" ref="U5:U42" ca="1" si="22">IF(AND(D5="x",I5="x"),"x"," ")</f>
        <v xml:space="preserve"> </v>
      </c>
      <c r="V5" s="74" t="str">
        <f t="shared" ref="V5:V42" ca="1" si="23">IF(AND(D5="x",J5="x"),"x"," ")</f>
        <v xml:space="preserve"> </v>
      </c>
      <c r="W5" s="74" t="str">
        <f t="shared" ref="W5:W42" ca="1" si="24">IF(AND(D5="x",K5="x"),"x"," ")</f>
        <v xml:space="preserve"> </v>
      </c>
      <c r="X5" s="74" t="str">
        <f t="shared" ref="X5:X42" ca="1" si="25">IF(AND(D5="x",L5="x"),"x"," ")</f>
        <v xml:space="preserve"> </v>
      </c>
      <c r="Y5" s="74" t="str">
        <f t="shared" ref="Y5:Y42" ca="1" si="26">IF(AND(D5="x",M5="x"),"x"," ")</f>
        <v xml:space="preserve"> </v>
      </c>
      <c r="Z5" s="74" t="str">
        <f t="shared" ref="Z5:Z42" ca="1" si="27">IF(AND(D5="x",N5="x"),"x"," ")</f>
        <v xml:space="preserve"> </v>
      </c>
      <c r="AA5" s="74" t="str">
        <f t="shared" ref="AA5:AA42" ca="1" si="28">IF(AND(E5="x",I5="x"),"x"," ")</f>
        <v xml:space="preserve"> </v>
      </c>
      <c r="AB5" s="74" t="str">
        <f t="shared" ref="AB5:AB42" ca="1" si="29">IF(AND(E5="x",J5="x"),"x"," ")</f>
        <v xml:space="preserve"> </v>
      </c>
      <c r="AC5" s="74" t="str">
        <f t="shared" ref="AC5:AC42" ca="1" si="30">IF(AND(E5="x",K5="x"),"x"," ")</f>
        <v xml:space="preserve"> </v>
      </c>
      <c r="AD5" s="74" t="str">
        <f t="shared" ref="AD5:AD42" ca="1" si="31">IF(AND(E5="x",L5="x"),"x"," ")</f>
        <v>x</v>
      </c>
      <c r="AE5" s="74" t="str">
        <f t="shared" ref="AE5:AE42" ca="1" si="32">IF(AND(E5="x",M5="x"),"x"," ")</f>
        <v xml:space="preserve"> </v>
      </c>
      <c r="AF5" s="74" t="str">
        <f t="shared" ref="AF5:AF42" ca="1" si="33">IF(AND(E5="x",N5="x"),"x"," ")</f>
        <v xml:space="preserve"> </v>
      </c>
      <c r="AG5" s="74" t="str">
        <f t="shared" ref="AG5:AG42" ca="1" si="34">IF(AND(F5="x",I5="x"),"x"," ")</f>
        <v xml:space="preserve"> </v>
      </c>
      <c r="AH5" s="74" t="str">
        <f t="shared" ref="AH5:AH42" ca="1" si="35">IF(AND(F5="x",J5="x"),"x"," ")</f>
        <v xml:space="preserve"> </v>
      </c>
      <c r="AI5" s="74" t="str">
        <f t="shared" ref="AI5:AI42" ca="1" si="36">IF(AND(F5="x",K5="x"),"x"," ")</f>
        <v xml:space="preserve"> </v>
      </c>
      <c r="AJ5" s="74" t="str">
        <f t="shared" ref="AJ5:AJ42" ca="1" si="37">IF(AND(F5="x",L5="x"),"x"," ")</f>
        <v xml:space="preserve"> </v>
      </c>
      <c r="AK5" s="74" t="str">
        <f t="shared" ref="AK5:AK42" ca="1" si="38">IF(AND(F5="x",M5="x"),"x"," ")</f>
        <v xml:space="preserve"> </v>
      </c>
      <c r="AL5" s="74" t="str">
        <f t="shared" ref="AL5:AL42" ca="1" si="39">IF(AND(F5="x",N5="x"),"x"," ")</f>
        <v xml:space="preserve"> </v>
      </c>
      <c r="AM5" s="74" t="str">
        <f t="shared" ref="AM5:AM42" ca="1" si="40">IF(AND(G5="x",I5="x"),"x"," ")</f>
        <v xml:space="preserve"> </v>
      </c>
      <c r="AN5" s="74" t="str">
        <f t="shared" ref="AN5:AN42" ca="1" si="41">IF(AND(G5="x",J5="x"),"x"," ")</f>
        <v xml:space="preserve"> </v>
      </c>
      <c r="AO5" s="74" t="str">
        <f t="shared" ref="AO5:AO42" ca="1" si="42">IF(AND(G5="x",K5="x"),"x"," ")</f>
        <v xml:space="preserve"> </v>
      </c>
      <c r="AP5" s="74" t="str">
        <f t="shared" ref="AP5:AP42" ca="1" si="43">IF(AND(G5="x",L5="x"),"x"," ")</f>
        <v xml:space="preserve"> </v>
      </c>
      <c r="AQ5" s="74" t="str">
        <f t="shared" ref="AQ5:AQ42" ca="1" si="44">IF(AND(G5="x",M5="x"),"x"," ")</f>
        <v xml:space="preserve"> </v>
      </c>
      <c r="AR5" s="74" t="str">
        <f t="shared" ref="AR5:AR42" ca="1" si="45">IF(AND(G5="x",N5="x"),"x"," ")</f>
        <v xml:space="preserve"> </v>
      </c>
      <c r="AS5" s="74" t="str">
        <f t="shared" ref="AS5:AS42" ca="1" si="46">IF(AND(H5="x",I5="x"),"x"," ")</f>
        <v xml:space="preserve"> </v>
      </c>
      <c r="AT5" s="74" t="str">
        <f t="shared" ref="AT5:AT42" ca="1" si="47">IF(AND(H5="x",J5="x"),"x"," ")</f>
        <v xml:space="preserve"> </v>
      </c>
      <c r="AU5" s="74" t="str">
        <f t="shared" ref="AU5:AU42" ca="1" si="48">IF(AND(H5="x",K5="x"),"x"," ")</f>
        <v xml:space="preserve"> </v>
      </c>
      <c r="AV5" s="74" t="str">
        <f t="shared" ref="AV5:AV42" ca="1" si="49">IF(AND(H5="x",L5="x"),"x"," ")</f>
        <v xml:space="preserve"> </v>
      </c>
      <c r="AW5" s="74" t="str">
        <f t="shared" ref="AW5:AW42" ca="1" si="50">IF(AND(H5="x",M5="x"),"x"," ")</f>
        <v xml:space="preserve"> </v>
      </c>
      <c r="AX5" s="74" t="str">
        <f t="shared" ref="AX5:AX42" ca="1" si="51">IF(AND(H5="x",N5="x"),"x"," ")</f>
        <v xml:space="preserve"> </v>
      </c>
      <c r="AY5" s="75" t="str">
        <f t="shared" ref="AY5:AY42" ca="1" si="52">IF(OR(C5&amp;J5="xx",C5&amp;K5="xx",C5&amp;I5="xx",D5&amp;I5="xx",D5&amp;J5="xx",E5&amp;I5="xx"),"x"," ")</f>
        <v xml:space="preserve"> </v>
      </c>
      <c r="AZ5" s="73" t="str">
        <f t="shared" ref="AZ5:AZ42" ca="1" si="53">IF(OR(C5&amp;L5="xx",D5&amp;K5="xx",D5&amp;L5="xx",E5&amp;J5="xx",E5&amp;K5="xx",F5&amp;I5="xx",F5&amp;J5="xx"),"x"," ")</f>
        <v xml:space="preserve"> </v>
      </c>
      <c r="BA5" s="73" t="str">
        <f t="shared" ref="BA5:BA42" ca="1" si="54">IF(OR(C5&amp;N5="xx",C5&amp;M5="xx",D5&amp;M5="xx",E5&amp;M5="xx",E5&amp;L5="xx",F5&amp;L5="xx",F5&amp;K5="xx"),"x"," ")</f>
        <v>x</v>
      </c>
      <c r="BB5" s="73" t="str">
        <f t="shared" ref="BB5:BB42" ca="1" si="55">IF(OR(D5&amp;N5="xx",E5&amp;N5="xx",F5&amp;N5="xx",F5&amp;M5="xx",G5&amp;I5="xx",G5&amp;J5="xx",G5&amp;K5="xx",G5&amp;L5="xx",G5&amp;M5="xx",G5&amp;N5="xx"),"x"," ")</f>
        <v xml:space="preserve"> </v>
      </c>
      <c r="BC5" s="73" t="str">
        <f ca="1">IF(COUNTIF(Conso!P3,"*Insuffisant*"),"x"," ")</f>
        <v xml:space="preserve"> </v>
      </c>
      <c r="BD5" s="73" t="str">
        <f ca="1">IF(COUNTIF(Conso!P3,"*Faible*"),"x"," ")</f>
        <v xml:space="preserve"> </v>
      </c>
      <c r="BE5" s="73" t="str">
        <f ca="1">IF(COUNTIF(Conso!P3,"*Acceptable*"),"x"," ")</f>
        <v xml:space="preserve"> </v>
      </c>
      <c r="BF5" s="73" t="str">
        <f ca="1">IF(COUNTIF(Conso!P3,"*Maîtrisé*"),"x"," ")</f>
        <v>x</v>
      </c>
      <c r="BG5" s="73" t="str">
        <f t="shared" ref="BG5:BG42" ca="1" si="56">IF(AND(AY5="x",BC5="x"),"x"," ")</f>
        <v xml:space="preserve"> </v>
      </c>
      <c r="BH5" s="73" t="str">
        <f t="shared" ref="BH5:BH42" ca="1" si="57">IF(AND(AY5="x",BD5="x"),"x"," ")</f>
        <v xml:space="preserve"> </v>
      </c>
      <c r="BI5" s="73" t="str">
        <f t="shared" ref="BI5:BI42" ca="1" si="58">IF(AND(AY5="x",BE5="x"),"x"," ")</f>
        <v xml:space="preserve"> </v>
      </c>
      <c r="BJ5" s="73" t="str">
        <f t="shared" ref="BJ5:BJ42" ca="1" si="59">IF(AND(AY5="x",BF5="x"),"x"," ")</f>
        <v xml:space="preserve"> </v>
      </c>
      <c r="BK5" s="73" t="str">
        <f t="shared" ref="BK5:BK42" ca="1" si="60">IF(AND(AZ5="x",BF5="x"),"x"," ")</f>
        <v xml:space="preserve"> </v>
      </c>
      <c r="BL5" s="73" t="str">
        <f t="shared" ref="BL5:BL42" ca="1" si="61">IF(AND(AZ5="x",BC5="x"),"x"," ")</f>
        <v xml:space="preserve"> </v>
      </c>
      <c r="BM5" s="73" t="str">
        <f t="shared" ref="BM5:BM42" ca="1" si="62">IF(AND(BA5="x",BD5="x"),"x"," ")</f>
        <v xml:space="preserve"> </v>
      </c>
      <c r="BN5" s="73" t="str">
        <f t="shared" ref="BN5:BN42" ca="1" si="63">IF(AND(BB5="x",BE5="x"),"x"," ")</f>
        <v xml:space="preserve"> </v>
      </c>
      <c r="BO5" s="73" t="str">
        <f t="shared" ref="BO5:BO42" ca="1" si="64">IF(AND(AZ5="x",BD5="x"),"x"," ")</f>
        <v xml:space="preserve"> </v>
      </c>
      <c r="BP5" s="73" t="str">
        <f t="shared" ref="BP5:BP42" ca="1" si="65">IF(AND(AZ5="x",BE5="x"),"x"," ")</f>
        <v xml:space="preserve"> </v>
      </c>
      <c r="BQ5" s="73" t="str">
        <f t="shared" ref="BQ5:BQ42" ca="1" si="66">IF(AND(BA5="x",BE5="x"),"x"," ")</f>
        <v xml:space="preserve"> </v>
      </c>
      <c r="BR5" s="73" t="str">
        <f t="shared" ref="BR5:BR42" ca="1" si="67">IF(AND(BA5="x",BF5="x"),"x"," ")</f>
        <v>x</v>
      </c>
      <c r="BS5" s="73" t="str">
        <f t="shared" ref="BS5:BS42" ca="1" si="68">IF(AND(BB5="x",BF5="x"),"x"," ")</f>
        <v xml:space="preserve"> </v>
      </c>
      <c r="BT5" s="73" t="str">
        <f t="shared" ref="BT5:BT42" ca="1" si="69">IF(AND(BB5="x",BC5="x"),"x"," ")</f>
        <v xml:space="preserve"> </v>
      </c>
      <c r="BU5" s="73" t="str">
        <f t="shared" ref="BU5:BU42" ca="1" si="70">IF(AND(BA5="x",BC5="x"),"x"," ")</f>
        <v xml:space="preserve"> </v>
      </c>
      <c r="BV5" s="73" t="str">
        <f t="shared" ref="BV5:BV42" ca="1" si="71">IF(AND(BB5="x",BD5="x"),"x"," ")</f>
        <v xml:space="preserve"> </v>
      </c>
      <c r="BW5" s="216" t="s">
        <v>896</v>
      </c>
    </row>
    <row r="6" spans="1:75" ht="30" customHeight="1">
      <c r="A6" s="211" t="s">
        <v>819</v>
      </c>
      <c r="B6" s="72" t="e">
        <f>#REF!</f>
        <v>#REF!</v>
      </c>
      <c r="C6" s="73" t="str">
        <f ca="1">IF(COUNTIF(Conso!O4,"*Marginal*"),"x"," ")</f>
        <v xml:space="preserve"> </v>
      </c>
      <c r="D6" s="73" t="str">
        <f ca="1">IF(COUNTIF(Conso!O4,"*Faible*"),"x"," ")</f>
        <v xml:space="preserve"> </v>
      </c>
      <c r="E6" s="73" t="str">
        <f ca="1">IF(COUNTIF(Conso!O4,"*Modéré*"),"x"," ")</f>
        <v xml:space="preserve"> </v>
      </c>
      <c r="F6" s="73" t="str">
        <f ca="1">IF(COUNTIF(Conso!O4,"*Elevé*"),"x"," ")</f>
        <v xml:space="preserve"> </v>
      </c>
      <c r="G6" s="73" t="str">
        <f ca="1">IF(COUNTIF(Conso!O4,"*Critique*"),"x"," ")</f>
        <v xml:space="preserve"> </v>
      </c>
      <c r="H6" s="73" t="str">
        <f ca="1">IF(COUNTIF(Conso!O4,"*Catastrophique*"),"x"," ")</f>
        <v xml:space="preserve"> </v>
      </c>
      <c r="I6" s="73" t="str">
        <f ca="1">IF(COUNTIF(Conso!N4,"*Exceptionnelle*"),"x"," ")</f>
        <v xml:space="preserve"> </v>
      </c>
      <c r="J6" s="73" t="str">
        <f ca="1">IF(COUNTIF(Conso!N4,"*Rare*"),"x"," ")</f>
        <v xml:space="preserve"> </v>
      </c>
      <c r="K6" s="73" t="str">
        <f ca="1">IF(COUNTIF(Conso!N4,"*Modérée*"),"x"," ")</f>
        <v xml:space="preserve"> </v>
      </c>
      <c r="L6" s="73" t="str">
        <f ca="1">IF(COUNTIF(Conso!N4,"*Elevée*"),"x"," ")</f>
        <v xml:space="preserve"> </v>
      </c>
      <c r="M6" s="73" t="str">
        <f ca="1">IF(COUNTIF(Conso!N4,"*Récurrente*"),"x"," ")</f>
        <v xml:space="preserve"> </v>
      </c>
      <c r="N6" s="73" t="str">
        <f ca="1">IF(COUNTIF(Conso!N4,"*Permanente*"),"x"," ")</f>
        <v xml:space="preserve"> </v>
      </c>
      <c r="O6" s="74" t="str">
        <f t="shared" ca="1" si="16"/>
        <v xml:space="preserve"> </v>
      </c>
      <c r="P6" s="74" t="str">
        <f t="shared" ca="1" si="17"/>
        <v xml:space="preserve"> </v>
      </c>
      <c r="Q6" s="74" t="str">
        <f t="shared" ca="1" si="18"/>
        <v xml:space="preserve"> </v>
      </c>
      <c r="R6" s="74" t="str">
        <f t="shared" ca="1" si="19"/>
        <v xml:space="preserve"> </v>
      </c>
      <c r="S6" s="74" t="str">
        <f t="shared" ca="1" si="20"/>
        <v xml:space="preserve"> </v>
      </c>
      <c r="T6" s="74" t="str">
        <f t="shared" ca="1" si="21"/>
        <v xml:space="preserve"> </v>
      </c>
      <c r="U6" s="74" t="str">
        <f t="shared" ca="1" si="22"/>
        <v xml:space="preserve"> </v>
      </c>
      <c r="V6" s="74" t="str">
        <f t="shared" ca="1" si="23"/>
        <v xml:space="preserve"> </v>
      </c>
      <c r="W6" s="74" t="str">
        <f t="shared" ca="1" si="24"/>
        <v xml:space="preserve"> </v>
      </c>
      <c r="X6" s="74" t="str">
        <f t="shared" ca="1" si="25"/>
        <v xml:space="preserve"> </v>
      </c>
      <c r="Y6" s="74" t="str">
        <f t="shared" ca="1" si="26"/>
        <v xml:space="preserve"> </v>
      </c>
      <c r="Z6" s="74" t="str">
        <f t="shared" ca="1" si="27"/>
        <v xml:space="preserve"> </v>
      </c>
      <c r="AA6" s="74" t="str">
        <f t="shared" ca="1" si="28"/>
        <v xml:space="preserve"> </v>
      </c>
      <c r="AB6" s="74" t="str">
        <f t="shared" ca="1" si="29"/>
        <v xml:space="preserve"> </v>
      </c>
      <c r="AC6" s="74" t="str">
        <f t="shared" ca="1" si="30"/>
        <v xml:space="preserve"> </v>
      </c>
      <c r="AD6" s="74" t="str">
        <f t="shared" ca="1" si="31"/>
        <v xml:space="preserve"> </v>
      </c>
      <c r="AE6" s="74" t="str">
        <f t="shared" ca="1" si="32"/>
        <v xml:space="preserve"> </v>
      </c>
      <c r="AF6" s="74" t="str">
        <f t="shared" ca="1" si="33"/>
        <v xml:space="preserve"> </v>
      </c>
      <c r="AG6" s="74" t="str">
        <f t="shared" ca="1" si="34"/>
        <v xml:space="preserve"> </v>
      </c>
      <c r="AH6" s="74" t="str">
        <f t="shared" ca="1" si="35"/>
        <v xml:space="preserve"> </v>
      </c>
      <c r="AI6" s="74" t="str">
        <f t="shared" ca="1" si="36"/>
        <v xml:space="preserve"> </v>
      </c>
      <c r="AJ6" s="74" t="str">
        <f t="shared" ca="1" si="37"/>
        <v xml:space="preserve"> </v>
      </c>
      <c r="AK6" s="74" t="str">
        <f t="shared" ca="1" si="38"/>
        <v xml:space="preserve"> </v>
      </c>
      <c r="AL6" s="74" t="str">
        <f t="shared" ca="1" si="39"/>
        <v xml:space="preserve"> </v>
      </c>
      <c r="AM6" s="74" t="str">
        <f t="shared" ca="1" si="40"/>
        <v xml:space="preserve"> </v>
      </c>
      <c r="AN6" s="74" t="str">
        <f t="shared" ca="1" si="41"/>
        <v xml:space="preserve"> </v>
      </c>
      <c r="AO6" s="74" t="str">
        <f t="shared" ca="1" si="42"/>
        <v xml:space="preserve"> </v>
      </c>
      <c r="AP6" s="74" t="str">
        <f t="shared" ca="1" si="43"/>
        <v xml:space="preserve"> </v>
      </c>
      <c r="AQ6" s="74" t="str">
        <f t="shared" ca="1" si="44"/>
        <v xml:space="preserve"> </v>
      </c>
      <c r="AR6" s="74" t="str">
        <f t="shared" ca="1" si="45"/>
        <v xml:space="preserve"> </v>
      </c>
      <c r="AS6" s="74" t="str">
        <f t="shared" ca="1" si="46"/>
        <v xml:space="preserve"> </v>
      </c>
      <c r="AT6" s="74" t="str">
        <f t="shared" ca="1" si="47"/>
        <v xml:space="preserve"> </v>
      </c>
      <c r="AU6" s="74" t="str">
        <f t="shared" ca="1" si="48"/>
        <v xml:space="preserve"> </v>
      </c>
      <c r="AV6" s="74" t="str">
        <f t="shared" ca="1" si="49"/>
        <v xml:space="preserve"> </v>
      </c>
      <c r="AW6" s="74" t="str">
        <f t="shared" ca="1" si="50"/>
        <v xml:space="preserve"> </v>
      </c>
      <c r="AX6" s="74" t="str">
        <f t="shared" ca="1" si="51"/>
        <v xml:space="preserve"> </v>
      </c>
      <c r="AY6" s="75" t="str">
        <f t="shared" ca="1" si="52"/>
        <v xml:space="preserve"> </v>
      </c>
      <c r="AZ6" s="73" t="str">
        <f t="shared" ca="1" si="53"/>
        <v xml:space="preserve"> </v>
      </c>
      <c r="BA6" s="73" t="str">
        <f t="shared" ca="1" si="54"/>
        <v xml:space="preserve"> </v>
      </c>
      <c r="BB6" s="73" t="str">
        <f t="shared" ca="1" si="55"/>
        <v xml:space="preserve"> </v>
      </c>
      <c r="BC6" s="73" t="str">
        <f ca="1">IF(COUNTIF(Conso!P4,"*Insuffisant*"),"x"," ")</f>
        <v xml:space="preserve"> </v>
      </c>
      <c r="BD6" s="73" t="str">
        <f ca="1">IF(COUNTIF(Conso!P4,"*Faible*"),"x"," ")</f>
        <v xml:space="preserve"> </v>
      </c>
      <c r="BE6" s="73" t="str">
        <f ca="1">IF(COUNTIF(Conso!P4,"*Acceptable*"),"x"," ")</f>
        <v xml:space="preserve"> </v>
      </c>
      <c r="BF6" s="73" t="str">
        <f ca="1">IF(COUNTIF(Conso!P4,"*Maîtrisé*"),"x"," ")</f>
        <v xml:space="preserve"> </v>
      </c>
      <c r="BG6" s="73" t="str">
        <f t="shared" ca="1" si="56"/>
        <v xml:space="preserve"> </v>
      </c>
      <c r="BH6" s="73" t="str">
        <f t="shared" ca="1" si="57"/>
        <v xml:space="preserve"> </v>
      </c>
      <c r="BI6" s="73" t="str">
        <f t="shared" ca="1" si="58"/>
        <v xml:space="preserve"> </v>
      </c>
      <c r="BJ6" s="73" t="str">
        <f t="shared" ca="1" si="59"/>
        <v xml:space="preserve"> </v>
      </c>
      <c r="BK6" s="73" t="str">
        <f t="shared" ca="1" si="60"/>
        <v xml:space="preserve"> </v>
      </c>
      <c r="BL6" s="73" t="str">
        <f t="shared" ca="1" si="61"/>
        <v xml:space="preserve"> </v>
      </c>
      <c r="BM6" s="73" t="str">
        <f t="shared" ca="1" si="62"/>
        <v xml:space="preserve"> </v>
      </c>
      <c r="BN6" s="73" t="str">
        <f t="shared" ca="1" si="63"/>
        <v xml:space="preserve"> </v>
      </c>
      <c r="BO6" s="73" t="str">
        <f t="shared" ca="1" si="64"/>
        <v xml:space="preserve"> </v>
      </c>
      <c r="BP6" s="73" t="str">
        <f t="shared" ca="1" si="65"/>
        <v xml:space="preserve"> </v>
      </c>
      <c r="BQ6" s="73" t="str">
        <f t="shared" ca="1" si="66"/>
        <v xml:space="preserve"> </v>
      </c>
      <c r="BR6" s="73" t="str">
        <f t="shared" ca="1" si="67"/>
        <v xml:space="preserve"> </v>
      </c>
      <c r="BS6" s="73" t="str">
        <f t="shared" ca="1" si="68"/>
        <v xml:space="preserve"> </v>
      </c>
      <c r="BT6" s="73" t="str">
        <f t="shared" ca="1" si="69"/>
        <v xml:space="preserve"> </v>
      </c>
      <c r="BU6" s="73" t="str">
        <f t="shared" ca="1" si="70"/>
        <v xml:space="preserve"> </v>
      </c>
      <c r="BV6" s="73" t="str">
        <f t="shared" ca="1" si="71"/>
        <v xml:space="preserve"> </v>
      </c>
      <c r="BW6" s="216" t="s">
        <v>897</v>
      </c>
    </row>
    <row r="7" spans="1:75" ht="36" customHeight="1">
      <c r="A7" s="211" t="s">
        <v>820</v>
      </c>
      <c r="B7" s="72" t="e">
        <f>#REF!</f>
        <v>#REF!</v>
      </c>
      <c r="C7" s="73" t="str">
        <f ca="1">IF(COUNTIF(Conso!O5,"*Marginal*"),"x"," ")</f>
        <v xml:space="preserve"> </v>
      </c>
      <c r="D7" s="73" t="str">
        <f ca="1">IF(COUNTIF(Conso!O5,"*Faible*"),"x"," ")</f>
        <v xml:space="preserve"> </v>
      </c>
      <c r="E7" s="73" t="str">
        <f ca="1">IF(COUNTIF(Conso!O5,"*Modéré*"),"x"," ")</f>
        <v xml:space="preserve"> </v>
      </c>
      <c r="F7" s="73" t="str">
        <f ca="1">IF(COUNTIF(Conso!O5,"*Elevé*"),"x"," ")</f>
        <v xml:space="preserve"> </v>
      </c>
      <c r="G7" s="73" t="str">
        <f ca="1">IF(COUNTIF(Conso!O5,"*Critique*"),"x"," ")</f>
        <v xml:space="preserve"> </v>
      </c>
      <c r="H7" s="73" t="str">
        <f ca="1">IF(COUNTIF(Conso!O5,"*Catastrophique*"),"x"," ")</f>
        <v xml:space="preserve"> </v>
      </c>
      <c r="I7" s="73" t="str">
        <f ca="1">IF(COUNTIF(Conso!N5,"*Exceptionnelle*"),"x"," ")</f>
        <v xml:space="preserve"> </v>
      </c>
      <c r="J7" s="73" t="str">
        <f ca="1">IF(COUNTIF(Conso!N5,"*Rare*"),"x"," ")</f>
        <v xml:space="preserve"> </v>
      </c>
      <c r="K7" s="73" t="str">
        <f ca="1">IF(COUNTIF(Conso!N5,"*Modérée*"),"x"," ")</f>
        <v xml:space="preserve"> </v>
      </c>
      <c r="L7" s="73" t="str">
        <f ca="1">IF(COUNTIF(Conso!N5,"*Elevée*"),"x"," ")</f>
        <v xml:space="preserve"> </v>
      </c>
      <c r="M7" s="73" t="str">
        <f ca="1">IF(COUNTIF(Conso!N5,"*Récurrente*"),"x"," ")</f>
        <v xml:space="preserve"> </v>
      </c>
      <c r="N7" s="73" t="str">
        <f ca="1">IF(COUNTIF(Conso!N5,"*Permanente*"),"x"," ")</f>
        <v xml:space="preserve"> </v>
      </c>
      <c r="O7" s="74" t="str">
        <f t="shared" ca="1" si="16"/>
        <v xml:space="preserve"> </v>
      </c>
      <c r="P7" s="74" t="str">
        <f t="shared" ca="1" si="17"/>
        <v xml:space="preserve"> </v>
      </c>
      <c r="Q7" s="74" t="str">
        <f t="shared" ca="1" si="18"/>
        <v xml:space="preserve"> </v>
      </c>
      <c r="R7" s="74" t="str">
        <f t="shared" ca="1" si="19"/>
        <v xml:space="preserve"> </v>
      </c>
      <c r="S7" s="74" t="str">
        <f t="shared" ca="1" si="20"/>
        <v xml:space="preserve"> </v>
      </c>
      <c r="T7" s="74" t="str">
        <f t="shared" ca="1" si="21"/>
        <v xml:space="preserve"> </v>
      </c>
      <c r="U7" s="74" t="str">
        <f t="shared" ca="1" si="22"/>
        <v xml:space="preserve"> </v>
      </c>
      <c r="V7" s="74" t="str">
        <f t="shared" ca="1" si="23"/>
        <v xml:space="preserve"> </v>
      </c>
      <c r="W7" s="74" t="str">
        <f t="shared" ca="1" si="24"/>
        <v xml:space="preserve"> </v>
      </c>
      <c r="X7" s="74" t="str">
        <f t="shared" ca="1" si="25"/>
        <v xml:space="preserve"> </v>
      </c>
      <c r="Y7" s="74" t="str">
        <f t="shared" ca="1" si="26"/>
        <v xml:space="preserve"> </v>
      </c>
      <c r="Z7" s="74" t="str">
        <f t="shared" ca="1" si="27"/>
        <v xml:space="preserve"> </v>
      </c>
      <c r="AA7" s="74" t="str">
        <f t="shared" ca="1" si="28"/>
        <v xml:space="preserve"> </v>
      </c>
      <c r="AB7" s="74" t="str">
        <f t="shared" ca="1" si="29"/>
        <v xml:space="preserve"> </v>
      </c>
      <c r="AC7" s="74" t="str">
        <f t="shared" ca="1" si="30"/>
        <v xml:space="preserve"> </v>
      </c>
      <c r="AD7" s="74" t="str">
        <f t="shared" ca="1" si="31"/>
        <v xml:space="preserve"> </v>
      </c>
      <c r="AE7" s="74" t="str">
        <f t="shared" ca="1" si="32"/>
        <v xml:space="preserve"> </v>
      </c>
      <c r="AF7" s="74" t="str">
        <f t="shared" ca="1" si="33"/>
        <v xml:space="preserve"> </v>
      </c>
      <c r="AG7" s="74" t="str">
        <f t="shared" ca="1" si="34"/>
        <v xml:space="preserve"> </v>
      </c>
      <c r="AH7" s="74" t="str">
        <f t="shared" ca="1" si="35"/>
        <v xml:space="preserve"> </v>
      </c>
      <c r="AI7" s="74" t="str">
        <f t="shared" ca="1" si="36"/>
        <v xml:space="preserve"> </v>
      </c>
      <c r="AJ7" s="74" t="str">
        <f t="shared" ca="1" si="37"/>
        <v xml:space="preserve"> </v>
      </c>
      <c r="AK7" s="74" t="str">
        <f t="shared" ca="1" si="38"/>
        <v xml:space="preserve"> </v>
      </c>
      <c r="AL7" s="74" t="str">
        <f t="shared" ca="1" si="39"/>
        <v xml:space="preserve"> </v>
      </c>
      <c r="AM7" s="74" t="str">
        <f t="shared" ca="1" si="40"/>
        <v xml:space="preserve"> </v>
      </c>
      <c r="AN7" s="74" t="str">
        <f t="shared" ca="1" si="41"/>
        <v xml:space="preserve"> </v>
      </c>
      <c r="AO7" s="74" t="str">
        <f t="shared" ca="1" si="42"/>
        <v xml:space="preserve"> </v>
      </c>
      <c r="AP7" s="74" t="str">
        <f t="shared" ca="1" si="43"/>
        <v xml:space="preserve"> </v>
      </c>
      <c r="AQ7" s="74" t="str">
        <f t="shared" ca="1" si="44"/>
        <v xml:space="preserve"> </v>
      </c>
      <c r="AR7" s="74" t="str">
        <f t="shared" ca="1" si="45"/>
        <v xml:space="preserve"> </v>
      </c>
      <c r="AS7" s="74" t="str">
        <f t="shared" ca="1" si="46"/>
        <v xml:space="preserve"> </v>
      </c>
      <c r="AT7" s="74" t="str">
        <f t="shared" ca="1" si="47"/>
        <v xml:space="preserve"> </v>
      </c>
      <c r="AU7" s="74" t="str">
        <f t="shared" ca="1" si="48"/>
        <v xml:space="preserve"> </v>
      </c>
      <c r="AV7" s="74" t="str">
        <f t="shared" ca="1" si="49"/>
        <v xml:space="preserve"> </v>
      </c>
      <c r="AW7" s="74" t="str">
        <f t="shared" ca="1" si="50"/>
        <v xml:space="preserve"> </v>
      </c>
      <c r="AX7" s="74" t="str">
        <f t="shared" ca="1" si="51"/>
        <v xml:space="preserve"> </v>
      </c>
      <c r="AY7" s="75" t="str">
        <f t="shared" ca="1" si="52"/>
        <v xml:space="preserve"> </v>
      </c>
      <c r="AZ7" s="73" t="str">
        <f t="shared" ca="1" si="53"/>
        <v xml:space="preserve"> </v>
      </c>
      <c r="BA7" s="73" t="str">
        <f t="shared" ca="1" si="54"/>
        <v xml:space="preserve"> </v>
      </c>
      <c r="BB7" s="73" t="str">
        <f t="shared" ca="1" si="55"/>
        <v xml:space="preserve"> </v>
      </c>
      <c r="BC7" s="73" t="str">
        <f ca="1">IF(COUNTIF(Conso!P5,"*Insuffisant*"),"x"," ")</f>
        <v xml:space="preserve"> </v>
      </c>
      <c r="BD7" s="73" t="str">
        <f ca="1">IF(COUNTIF(Conso!P5,"*Faible*"),"x"," ")</f>
        <v xml:space="preserve"> </v>
      </c>
      <c r="BE7" s="73" t="str">
        <f ca="1">IF(COUNTIF(Conso!P5,"*Acceptable*"),"x"," ")</f>
        <v xml:space="preserve"> </v>
      </c>
      <c r="BF7" s="73" t="str">
        <f ca="1">IF(COUNTIF(Conso!P5,"*Maîtrisé*"),"x"," ")</f>
        <v xml:space="preserve"> </v>
      </c>
      <c r="BG7" s="73" t="str">
        <f t="shared" ca="1" si="56"/>
        <v xml:space="preserve"> </v>
      </c>
      <c r="BH7" s="73" t="str">
        <f t="shared" ca="1" si="57"/>
        <v xml:space="preserve"> </v>
      </c>
      <c r="BI7" s="73" t="str">
        <f t="shared" ca="1" si="58"/>
        <v xml:space="preserve"> </v>
      </c>
      <c r="BJ7" s="73" t="str">
        <f t="shared" ca="1" si="59"/>
        <v xml:space="preserve"> </v>
      </c>
      <c r="BK7" s="73" t="str">
        <f t="shared" ca="1" si="60"/>
        <v xml:space="preserve"> </v>
      </c>
      <c r="BL7" s="73" t="str">
        <f t="shared" ca="1" si="61"/>
        <v xml:space="preserve"> </v>
      </c>
      <c r="BM7" s="73" t="str">
        <f t="shared" ca="1" si="62"/>
        <v xml:space="preserve"> </v>
      </c>
      <c r="BN7" s="73" t="str">
        <f t="shared" ca="1" si="63"/>
        <v xml:space="preserve"> </v>
      </c>
      <c r="BO7" s="73" t="str">
        <f t="shared" ca="1" si="64"/>
        <v xml:space="preserve"> </v>
      </c>
      <c r="BP7" s="73" t="str">
        <f t="shared" ca="1" si="65"/>
        <v xml:space="preserve"> </v>
      </c>
      <c r="BQ7" s="73" t="str">
        <f t="shared" ca="1" si="66"/>
        <v xml:space="preserve"> </v>
      </c>
      <c r="BR7" s="73" t="str">
        <f t="shared" ca="1" si="67"/>
        <v xml:space="preserve"> </v>
      </c>
      <c r="BS7" s="73" t="str">
        <f t="shared" ca="1" si="68"/>
        <v xml:space="preserve"> </v>
      </c>
      <c r="BT7" s="73" t="str">
        <f t="shared" ca="1" si="69"/>
        <v xml:space="preserve"> </v>
      </c>
      <c r="BU7" s="73" t="str">
        <f t="shared" ca="1" si="70"/>
        <v xml:space="preserve"> </v>
      </c>
      <c r="BV7" s="73" t="str">
        <f t="shared" ca="1" si="71"/>
        <v xml:space="preserve"> </v>
      </c>
      <c r="BW7" s="216" t="s">
        <v>898</v>
      </c>
    </row>
    <row r="8" spans="1:75" ht="25.5" customHeight="1">
      <c r="A8" s="211" t="s">
        <v>821</v>
      </c>
      <c r="B8" s="72" t="e">
        <f>#REF!</f>
        <v>#REF!</v>
      </c>
      <c r="C8" s="73" t="str">
        <f ca="1">IF(COUNTIF(Conso!O6,"*Marginal*"),"x"," ")</f>
        <v xml:space="preserve"> </v>
      </c>
      <c r="D8" s="73" t="str">
        <f ca="1">IF(COUNTIF(Conso!O6,"*Faible*"),"x"," ")</f>
        <v xml:space="preserve"> </v>
      </c>
      <c r="E8" s="73" t="str">
        <f ca="1">IF(COUNTIF(Conso!O6,"*Modéré*"),"x"," ")</f>
        <v xml:space="preserve"> </v>
      </c>
      <c r="F8" s="73" t="str">
        <f ca="1">IF(COUNTIF(Conso!O6,"*Elevé*"),"x"," ")</f>
        <v xml:space="preserve"> </v>
      </c>
      <c r="G8" s="73" t="str">
        <f ca="1">IF(COUNTIF(Conso!O6,"*Critique*"),"x"," ")</f>
        <v xml:space="preserve"> </v>
      </c>
      <c r="H8" s="73" t="str">
        <f ca="1">IF(COUNTIF(Conso!O6,"*Catastrophique*"),"x"," ")</f>
        <v xml:space="preserve"> </v>
      </c>
      <c r="I8" s="73" t="str">
        <f ca="1">IF(COUNTIF(Conso!N6,"*Exceptionnelle*"),"x"," ")</f>
        <v xml:space="preserve"> </v>
      </c>
      <c r="J8" s="73" t="str">
        <f ca="1">IF(COUNTIF(Conso!N6,"*Rare*"),"x"," ")</f>
        <v xml:space="preserve"> </v>
      </c>
      <c r="K8" s="73" t="str">
        <f ca="1">IF(COUNTIF(Conso!N6,"*Modérée*"),"x"," ")</f>
        <v xml:space="preserve"> </v>
      </c>
      <c r="L8" s="73" t="str">
        <f ca="1">IF(COUNTIF(Conso!N6,"*Elevée*"),"x"," ")</f>
        <v xml:space="preserve"> </v>
      </c>
      <c r="M8" s="73" t="str">
        <f ca="1">IF(COUNTIF(Conso!N6,"*Récurrente*"),"x"," ")</f>
        <v xml:space="preserve"> </v>
      </c>
      <c r="N8" s="73" t="str">
        <f ca="1">IF(COUNTIF(Conso!N6,"*Permanente*"),"x"," ")</f>
        <v xml:space="preserve"> </v>
      </c>
      <c r="O8" s="74" t="str">
        <f t="shared" ca="1" si="16"/>
        <v xml:space="preserve"> </v>
      </c>
      <c r="P8" s="74" t="str">
        <f t="shared" ca="1" si="17"/>
        <v xml:space="preserve"> </v>
      </c>
      <c r="Q8" s="74" t="str">
        <f t="shared" ca="1" si="18"/>
        <v xml:space="preserve"> </v>
      </c>
      <c r="R8" s="74" t="str">
        <f t="shared" ca="1" si="19"/>
        <v xml:space="preserve"> </v>
      </c>
      <c r="S8" s="74" t="str">
        <f t="shared" ca="1" si="20"/>
        <v xml:space="preserve"> </v>
      </c>
      <c r="T8" s="74" t="str">
        <f t="shared" ca="1" si="21"/>
        <v xml:space="preserve"> </v>
      </c>
      <c r="U8" s="74" t="str">
        <f t="shared" ca="1" si="22"/>
        <v xml:space="preserve"> </v>
      </c>
      <c r="V8" s="74" t="str">
        <f t="shared" ca="1" si="23"/>
        <v xml:space="preserve"> </v>
      </c>
      <c r="W8" s="74" t="str">
        <f t="shared" ca="1" si="24"/>
        <v xml:space="preserve"> </v>
      </c>
      <c r="X8" s="74" t="str">
        <f t="shared" ca="1" si="25"/>
        <v xml:space="preserve"> </v>
      </c>
      <c r="Y8" s="74" t="str">
        <f t="shared" ca="1" si="26"/>
        <v xml:space="preserve"> </v>
      </c>
      <c r="Z8" s="74" t="str">
        <f t="shared" ca="1" si="27"/>
        <v xml:space="preserve"> </v>
      </c>
      <c r="AA8" s="74" t="str">
        <f t="shared" ca="1" si="28"/>
        <v xml:space="preserve"> </v>
      </c>
      <c r="AB8" s="74" t="str">
        <f t="shared" ca="1" si="29"/>
        <v xml:space="preserve"> </v>
      </c>
      <c r="AC8" s="74" t="str">
        <f t="shared" ca="1" si="30"/>
        <v xml:space="preserve"> </v>
      </c>
      <c r="AD8" s="74" t="str">
        <f t="shared" ca="1" si="31"/>
        <v xml:space="preserve"> </v>
      </c>
      <c r="AE8" s="74" t="str">
        <f t="shared" ca="1" si="32"/>
        <v xml:space="preserve"> </v>
      </c>
      <c r="AF8" s="74" t="str">
        <f t="shared" ca="1" si="33"/>
        <v xml:space="preserve"> </v>
      </c>
      <c r="AG8" s="74" t="str">
        <f t="shared" ca="1" si="34"/>
        <v xml:space="preserve"> </v>
      </c>
      <c r="AH8" s="74" t="str">
        <f t="shared" ca="1" si="35"/>
        <v xml:space="preserve"> </v>
      </c>
      <c r="AI8" s="74" t="str">
        <f t="shared" ca="1" si="36"/>
        <v xml:space="preserve"> </v>
      </c>
      <c r="AJ8" s="74" t="str">
        <f t="shared" ca="1" si="37"/>
        <v xml:space="preserve"> </v>
      </c>
      <c r="AK8" s="74" t="str">
        <f t="shared" ca="1" si="38"/>
        <v xml:space="preserve"> </v>
      </c>
      <c r="AL8" s="74" t="str">
        <f t="shared" ca="1" si="39"/>
        <v xml:space="preserve"> </v>
      </c>
      <c r="AM8" s="74" t="str">
        <f t="shared" ca="1" si="40"/>
        <v xml:space="preserve"> </v>
      </c>
      <c r="AN8" s="74" t="str">
        <f t="shared" ca="1" si="41"/>
        <v xml:space="preserve"> </v>
      </c>
      <c r="AO8" s="74" t="str">
        <f t="shared" ca="1" si="42"/>
        <v xml:space="preserve"> </v>
      </c>
      <c r="AP8" s="74" t="str">
        <f t="shared" ca="1" si="43"/>
        <v xml:space="preserve"> </v>
      </c>
      <c r="AQ8" s="74" t="str">
        <f t="shared" ca="1" si="44"/>
        <v xml:space="preserve"> </v>
      </c>
      <c r="AR8" s="74" t="str">
        <f t="shared" ca="1" si="45"/>
        <v xml:space="preserve"> </v>
      </c>
      <c r="AS8" s="74" t="str">
        <f t="shared" ca="1" si="46"/>
        <v xml:space="preserve"> </v>
      </c>
      <c r="AT8" s="74" t="str">
        <f t="shared" ca="1" si="47"/>
        <v xml:space="preserve"> </v>
      </c>
      <c r="AU8" s="74" t="str">
        <f t="shared" ca="1" si="48"/>
        <v xml:space="preserve"> </v>
      </c>
      <c r="AV8" s="74" t="str">
        <f t="shared" ca="1" si="49"/>
        <v xml:space="preserve"> </v>
      </c>
      <c r="AW8" s="74" t="str">
        <f t="shared" ca="1" si="50"/>
        <v xml:space="preserve"> </v>
      </c>
      <c r="AX8" s="74" t="str">
        <f t="shared" ca="1" si="51"/>
        <v xml:space="preserve"> </v>
      </c>
      <c r="AY8" s="75" t="str">
        <f t="shared" ca="1" si="52"/>
        <v xml:space="preserve"> </v>
      </c>
      <c r="AZ8" s="73" t="str">
        <f t="shared" ca="1" si="53"/>
        <v xml:space="preserve"> </v>
      </c>
      <c r="BA8" s="73" t="str">
        <f t="shared" ca="1" si="54"/>
        <v xml:space="preserve"> </v>
      </c>
      <c r="BB8" s="73" t="str">
        <f t="shared" ca="1" si="55"/>
        <v xml:space="preserve"> </v>
      </c>
      <c r="BC8" s="73" t="str">
        <f ca="1">IF(COUNTIF(Conso!P6,"*Insuffisant*"),"x"," ")</f>
        <v xml:space="preserve"> </v>
      </c>
      <c r="BD8" s="73" t="str">
        <f ca="1">IF(COUNTIF(Conso!P6,"*Faible*"),"x"," ")</f>
        <v xml:space="preserve"> </v>
      </c>
      <c r="BE8" s="73" t="str">
        <f ca="1">IF(COUNTIF(Conso!P6,"*Acceptable*"),"x"," ")</f>
        <v xml:space="preserve"> </v>
      </c>
      <c r="BF8" s="73" t="str">
        <f ca="1">IF(COUNTIF(Conso!P6,"*Maîtrisé*"),"x"," ")</f>
        <v xml:space="preserve"> </v>
      </c>
      <c r="BG8" s="73" t="str">
        <f t="shared" ca="1" si="56"/>
        <v xml:space="preserve"> </v>
      </c>
      <c r="BH8" s="73" t="str">
        <f t="shared" ca="1" si="57"/>
        <v xml:space="preserve"> </v>
      </c>
      <c r="BI8" s="73" t="str">
        <f t="shared" ca="1" si="58"/>
        <v xml:space="preserve"> </v>
      </c>
      <c r="BJ8" s="73" t="str">
        <f t="shared" ca="1" si="59"/>
        <v xml:space="preserve"> </v>
      </c>
      <c r="BK8" s="73" t="str">
        <f t="shared" ca="1" si="60"/>
        <v xml:space="preserve"> </v>
      </c>
      <c r="BL8" s="73" t="str">
        <f t="shared" ca="1" si="61"/>
        <v xml:space="preserve"> </v>
      </c>
      <c r="BM8" s="73" t="str">
        <f t="shared" ca="1" si="62"/>
        <v xml:space="preserve"> </v>
      </c>
      <c r="BN8" s="73" t="str">
        <f t="shared" ca="1" si="63"/>
        <v xml:space="preserve"> </v>
      </c>
      <c r="BO8" s="73" t="str">
        <f t="shared" ca="1" si="64"/>
        <v xml:space="preserve"> </v>
      </c>
      <c r="BP8" s="73" t="str">
        <f t="shared" ca="1" si="65"/>
        <v xml:space="preserve"> </v>
      </c>
      <c r="BQ8" s="73" t="str">
        <f t="shared" ca="1" si="66"/>
        <v xml:space="preserve"> </v>
      </c>
      <c r="BR8" s="73" t="str">
        <f t="shared" ca="1" si="67"/>
        <v xml:space="preserve"> </v>
      </c>
      <c r="BS8" s="73" t="str">
        <f t="shared" ca="1" si="68"/>
        <v xml:space="preserve"> </v>
      </c>
      <c r="BT8" s="73" t="str">
        <f t="shared" ca="1" si="69"/>
        <v xml:space="preserve"> </v>
      </c>
      <c r="BU8" s="73" t="str">
        <f t="shared" ca="1" si="70"/>
        <v xml:space="preserve"> </v>
      </c>
      <c r="BV8" s="73" t="str">
        <f t="shared" ca="1" si="71"/>
        <v xml:space="preserve"> </v>
      </c>
      <c r="BW8" s="216" t="s">
        <v>899</v>
      </c>
    </row>
    <row r="9" spans="1:75" ht="25.5" customHeight="1">
      <c r="A9" s="211" t="s">
        <v>822</v>
      </c>
      <c r="B9" s="72" t="e">
        <f>#REF!</f>
        <v>#REF!</v>
      </c>
      <c r="C9" s="73" t="str">
        <f ca="1">IF(COUNTIF(Conso!O7,"*Marginal*"),"x"," ")</f>
        <v xml:space="preserve"> </v>
      </c>
      <c r="D9" s="73" t="str">
        <f ca="1">IF(COUNTIF(Conso!O7,"*Faible*"),"x"," ")</f>
        <v xml:space="preserve"> </v>
      </c>
      <c r="E9" s="73" t="str">
        <f ca="1">IF(COUNTIF(Conso!O7,"*Modéré*"),"x"," ")</f>
        <v xml:space="preserve"> </v>
      </c>
      <c r="F9" s="73" t="str">
        <f ca="1">IF(COUNTIF(Conso!O7,"*Elevé*"),"x"," ")</f>
        <v xml:space="preserve"> </v>
      </c>
      <c r="G9" s="73" t="str">
        <f ca="1">IF(COUNTIF(Conso!O7,"*Critique*"),"x"," ")</f>
        <v xml:space="preserve"> </v>
      </c>
      <c r="H9" s="73" t="str">
        <f ca="1">IF(COUNTIF(Conso!O7,"*Catastrophique*"),"x"," ")</f>
        <v xml:space="preserve"> </v>
      </c>
      <c r="I9" s="73" t="str">
        <f ca="1">IF(COUNTIF(Conso!N7,"*Exceptionnelle*"),"x"," ")</f>
        <v xml:space="preserve"> </v>
      </c>
      <c r="J9" s="73" t="str">
        <f ca="1">IF(COUNTIF(Conso!N7,"*Rare*"),"x"," ")</f>
        <v xml:space="preserve"> </v>
      </c>
      <c r="K9" s="73" t="str">
        <f ca="1">IF(COUNTIF(Conso!N7,"*Modérée*"),"x"," ")</f>
        <v xml:space="preserve"> </v>
      </c>
      <c r="L9" s="73" t="str">
        <f ca="1">IF(COUNTIF(Conso!N7,"*Elevée*"),"x"," ")</f>
        <v xml:space="preserve"> </v>
      </c>
      <c r="M9" s="73" t="str">
        <f ca="1">IF(COUNTIF(Conso!N7,"*Récurrente*"),"x"," ")</f>
        <v xml:space="preserve"> </v>
      </c>
      <c r="N9" s="73" t="str">
        <f ca="1">IF(COUNTIF(Conso!N7,"*Permanente*"),"x"," ")</f>
        <v xml:space="preserve"> </v>
      </c>
      <c r="O9" s="74" t="str">
        <f t="shared" ca="1" si="16"/>
        <v xml:space="preserve"> </v>
      </c>
      <c r="P9" s="74" t="str">
        <f t="shared" ca="1" si="17"/>
        <v xml:space="preserve"> </v>
      </c>
      <c r="Q9" s="74" t="str">
        <f t="shared" ca="1" si="18"/>
        <v xml:space="preserve"> </v>
      </c>
      <c r="R9" s="74" t="str">
        <f t="shared" ca="1" si="19"/>
        <v xml:space="preserve"> </v>
      </c>
      <c r="S9" s="74" t="str">
        <f t="shared" ca="1" si="20"/>
        <v xml:space="preserve"> </v>
      </c>
      <c r="T9" s="74" t="str">
        <f t="shared" ca="1" si="21"/>
        <v xml:space="preserve"> </v>
      </c>
      <c r="U9" s="74" t="str">
        <f t="shared" ca="1" si="22"/>
        <v xml:space="preserve"> </v>
      </c>
      <c r="V9" s="74" t="str">
        <f t="shared" ca="1" si="23"/>
        <v xml:space="preserve"> </v>
      </c>
      <c r="W9" s="74" t="str">
        <f t="shared" ca="1" si="24"/>
        <v xml:space="preserve"> </v>
      </c>
      <c r="X9" s="74" t="str">
        <f t="shared" ca="1" si="25"/>
        <v xml:space="preserve"> </v>
      </c>
      <c r="Y9" s="74" t="str">
        <f t="shared" ca="1" si="26"/>
        <v xml:space="preserve"> </v>
      </c>
      <c r="Z9" s="74" t="str">
        <f t="shared" ca="1" si="27"/>
        <v xml:space="preserve"> </v>
      </c>
      <c r="AA9" s="74" t="str">
        <f t="shared" ca="1" si="28"/>
        <v xml:space="preserve"> </v>
      </c>
      <c r="AB9" s="74" t="str">
        <f t="shared" ca="1" si="29"/>
        <v xml:space="preserve"> </v>
      </c>
      <c r="AC9" s="74" t="str">
        <f t="shared" ca="1" si="30"/>
        <v xml:space="preserve"> </v>
      </c>
      <c r="AD9" s="74" t="str">
        <f t="shared" ca="1" si="31"/>
        <v xml:space="preserve"> </v>
      </c>
      <c r="AE9" s="74" t="str">
        <f t="shared" ca="1" si="32"/>
        <v xml:space="preserve"> </v>
      </c>
      <c r="AF9" s="74" t="str">
        <f t="shared" ca="1" si="33"/>
        <v xml:space="preserve"> </v>
      </c>
      <c r="AG9" s="74" t="str">
        <f t="shared" ca="1" si="34"/>
        <v xml:space="preserve"> </v>
      </c>
      <c r="AH9" s="74" t="str">
        <f t="shared" ca="1" si="35"/>
        <v xml:space="preserve"> </v>
      </c>
      <c r="AI9" s="74" t="str">
        <f t="shared" ca="1" si="36"/>
        <v xml:space="preserve"> </v>
      </c>
      <c r="AJ9" s="74" t="str">
        <f t="shared" ca="1" si="37"/>
        <v xml:space="preserve"> </v>
      </c>
      <c r="AK9" s="74" t="str">
        <f t="shared" ca="1" si="38"/>
        <v xml:space="preserve"> </v>
      </c>
      <c r="AL9" s="74" t="str">
        <f t="shared" ca="1" si="39"/>
        <v xml:space="preserve"> </v>
      </c>
      <c r="AM9" s="74" t="str">
        <f t="shared" ca="1" si="40"/>
        <v xml:space="preserve"> </v>
      </c>
      <c r="AN9" s="74" t="str">
        <f t="shared" ca="1" si="41"/>
        <v xml:space="preserve"> </v>
      </c>
      <c r="AO9" s="74" t="str">
        <f t="shared" ca="1" si="42"/>
        <v xml:space="preserve"> </v>
      </c>
      <c r="AP9" s="74" t="str">
        <f t="shared" ca="1" si="43"/>
        <v xml:space="preserve"> </v>
      </c>
      <c r="AQ9" s="74" t="str">
        <f t="shared" ca="1" si="44"/>
        <v xml:space="preserve"> </v>
      </c>
      <c r="AR9" s="74" t="str">
        <f t="shared" ca="1" si="45"/>
        <v xml:space="preserve"> </v>
      </c>
      <c r="AS9" s="74" t="str">
        <f t="shared" ca="1" si="46"/>
        <v xml:space="preserve"> </v>
      </c>
      <c r="AT9" s="74" t="str">
        <f t="shared" ca="1" si="47"/>
        <v xml:space="preserve"> </v>
      </c>
      <c r="AU9" s="74" t="str">
        <f t="shared" ca="1" si="48"/>
        <v xml:space="preserve"> </v>
      </c>
      <c r="AV9" s="74" t="str">
        <f t="shared" ca="1" si="49"/>
        <v xml:space="preserve"> </v>
      </c>
      <c r="AW9" s="74" t="str">
        <f t="shared" ca="1" si="50"/>
        <v xml:space="preserve"> </v>
      </c>
      <c r="AX9" s="74" t="str">
        <f t="shared" ca="1" si="51"/>
        <v xml:space="preserve"> </v>
      </c>
      <c r="AY9" s="75" t="str">
        <f t="shared" ca="1" si="52"/>
        <v xml:space="preserve"> </v>
      </c>
      <c r="AZ9" s="73" t="str">
        <f t="shared" ca="1" si="53"/>
        <v xml:space="preserve"> </v>
      </c>
      <c r="BA9" s="73" t="str">
        <f t="shared" ca="1" si="54"/>
        <v xml:space="preserve"> </v>
      </c>
      <c r="BB9" s="73" t="str">
        <f t="shared" ca="1" si="55"/>
        <v xml:space="preserve"> </v>
      </c>
      <c r="BC9" s="73" t="str">
        <f ca="1">IF(COUNTIF(Conso!P7,"*Insuffisant*"),"x"," ")</f>
        <v xml:space="preserve"> </v>
      </c>
      <c r="BD9" s="73" t="str">
        <f ca="1">IF(COUNTIF(Conso!P7,"*Faible*"),"x"," ")</f>
        <v xml:space="preserve"> </v>
      </c>
      <c r="BE9" s="73" t="str">
        <f ca="1">IF(COUNTIF(Conso!P7,"*Acceptable*"),"x"," ")</f>
        <v xml:space="preserve"> </v>
      </c>
      <c r="BF9" s="73" t="str">
        <f ca="1">IF(COUNTIF(Conso!P7,"*Maîtrisé*"),"x"," ")</f>
        <v xml:space="preserve"> </v>
      </c>
      <c r="BG9" s="73" t="str">
        <f t="shared" ca="1" si="56"/>
        <v xml:space="preserve"> </v>
      </c>
      <c r="BH9" s="73" t="str">
        <f t="shared" ca="1" si="57"/>
        <v xml:space="preserve"> </v>
      </c>
      <c r="BI9" s="73" t="str">
        <f t="shared" ca="1" si="58"/>
        <v xml:space="preserve"> </v>
      </c>
      <c r="BJ9" s="73" t="str">
        <f t="shared" ca="1" si="59"/>
        <v xml:space="preserve"> </v>
      </c>
      <c r="BK9" s="73" t="str">
        <f t="shared" ca="1" si="60"/>
        <v xml:space="preserve"> </v>
      </c>
      <c r="BL9" s="73" t="str">
        <f t="shared" ca="1" si="61"/>
        <v xml:space="preserve"> </v>
      </c>
      <c r="BM9" s="73" t="str">
        <f t="shared" ca="1" si="62"/>
        <v xml:space="preserve"> </v>
      </c>
      <c r="BN9" s="73" t="str">
        <f t="shared" ca="1" si="63"/>
        <v xml:space="preserve"> </v>
      </c>
      <c r="BO9" s="73" t="str">
        <f t="shared" ca="1" si="64"/>
        <v xml:space="preserve"> </v>
      </c>
      <c r="BP9" s="73" t="str">
        <f t="shared" ca="1" si="65"/>
        <v xml:space="preserve"> </v>
      </c>
      <c r="BQ9" s="73" t="str">
        <f t="shared" ca="1" si="66"/>
        <v xml:space="preserve"> </v>
      </c>
      <c r="BR9" s="73" t="str">
        <f t="shared" ca="1" si="67"/>
        <v xml:space="preserve"> </v>
      </c>
      <c r="BS9" s="73" t="str">
        <f t="shared" ca="1" si="68"/>
        <v xml:space="preserve"> </v>
      </c>
      <c r="BT9" s="73" t="str">
        <f t="shared" ca="1" si="69"/>
        <v xml:space="preserve"> </v>
      </c>
      <c r="BU9" s="73" t="str">
        <f t="shared" ca="1" si="70"/>
        <v xml:space="preserve"> </v>
      </c>
      <c r="BV9" s="73" t="str">
        <f t="shared" ca="1" si="71"/>
        <v xml:space="preserve"> </v>
      </c>
      <c r="BW9" s="216" t="s">
        <v>900</v>
      </c>
    </row>
    <row r="10" spans="1:75" ht="33.75" customHeight="1">
      <c r="A10" s="211" t="s">
        <v>823</v>
      </c>
      <c r="B10" s="72" t="e">
        <f>#REF!</f>
        <v>#REF!</v>
      </c>
      <c r="C10" s="73" t="str">
        <f ca="1">IF(COUNTIF(Conso!O8,"*Marginal*"),"x"," ")</f>
        <v xml:space="preserve"> </v>
      </c>
      <c r="D10" s="73" t="str">
        <f ca="1">IF(COUNTIF(Conso!O8,"*Faible*"),"x"," ")</f>
        <v xml:space="preserve"> </v>
      </c>
      <c r="E10" s="73" t="str">
        <f ca="1">IF(COUNTIF(Conso!O8,"*Modéré*"),"x"," ")</f>
        <v xml:space="preserve"> </v>
      </c>
      <c r="F10" s="73" t="str">
        <f ca="1">IF(COUNTIF(Conso!O8,"*Elevé*"),"x"," ")</f>
        <v xml:space="preserve"> </v>
      </c>
      <c r="G10" s="73" t="str">
        <f ca="1">IF(COUNTIF(Conso!O8,"*Critique*"),"x"," ")</f>
        <v xml:space="preserve"> </v>
      </c>
      <c r="H10" s="73" t="str">
        <f ca="1">IF(COUNTIF(Conso!O8,"*Catastrophique*"),"x"," ")</f>
        <v xml:space="preserve"> </v>
      </c>
      <c r="I10" s="73" t="str">
        <f ca="1">IF(COUNTIF(Conso!N8,"*Exceptionnelle*"),"x"," ")</f>
        <v xml:space="preserve"> </v>
      </c>
      <c r="J10" s="73" t="str">
        <f ca="1">IF(COUNTIF(Conso!N8,"*Rare*"),"x"," ")</f>
        <v xml:space="preserve"> </v>
      </c>
      <c r="K10" s="73" t="str">
        <f ca="1">IF(COUNTIF(Conso!N8,"*Modérée*"),"x"," ")</f>
        <v xml:space="preserve"> </v>
      </c>
      <c r="L10" s="73" t="str">
        <f ca="1">IF(COUNTIF(Conso!N8,"*Elevée*"),"x"," ")</f>
        <v xml:space="preserve"> </v>
      </c>
      <c r="M10" s="73" t="str">
        <f ca="1">IF(COUNTIF(Conso!N8,"*Récurrente*"),"x"," ")</f>
        <v xml:space="preserve"> </v>
      </c>
      <c r="N10" s="73" t="str">
        <f ca="1">IF(COUNTIF(Conso!N8,"*Permanente*"),"x"," ")</f>
        <v xml:space="preserve"> </v>
      </c>
      <c r="O10" s="74" t="str">
        <f t="shared" ca="1" si="16"/>
        <v xml:space="preserve"> </v>
      </c>
      <c r="P10" s="74" t="str">
        <f t="shared" ca="1" si="17"/>
        <v xml:space="preserve"> </v>
      </c>
      <c r="Q10" s="74" t="str">
        <f t="shared" ca="1" si="18"/>
        <v xml:space="preserve"> </v>
      </c>
      <c r="R10" s="74" t="str">
        <f t="shared" ca="1" si="19"/>
        <v xml:space="preserve"> </v>
      </c>
      <c r="S10" s="74" t="str">
        <f t="shared" ca="1" si="20"/>
        <v xml:space="preserve"> </v>
      </c>
      <c r="T10" s="74" t="str">
        <f t="shared" ca="1" si="21"/>
        <v xml:space="preserve"> </v>
      </c>
      <c r="U10" s="74" t="str">
        <f t="shared" ca="1" si="22"/>
        <v xml:space="preserve"> </v>
      </c>
      <c r="V10" s="74" t="str">
        <f t="shared" ca="1" si="23"/>
        <v xml:space="preserve"> </v>
      </c>
      <c r="W10" s="74" t="str">
        <f t="shared" ca="1" si="24"/>
        <v xml:space="preserve"> </v>
      </c>
      <c r="X10" s="74" t="str">
        <f t="shared" ca="1" si="25"/>
        <v xml:space="preserve"> </v>
      </c>
      <c r="Y10" s="74" t="str">
        <f t="shared" ca="1" si="26"/>
        <v xml:space="preserve"> </v>
      </c>
      <c r="Z10" s="74" t="str">
        <f t="shared" ca="1" si="27"/>
        <v xml:space="preserve"> </v>
      </c>
      <c r="AA10" s="74" t="str">
        <f t="shared" ca="1" si="28"/>
        <v xml:space="preserve"> </v>
      </c>
      <c r="AB10" s="74" t="str">
        <f t="shared" ca="1" si="29"/>
        <v xml:space="preserve"> </v>
      </c>
      <c r="AC10" s="74" t="str">
        <f t="shared" ca="1" si="30"/>
        <v xml:space="preserve"> </v>
      </c>
      <c r="AD10" s="74" t="str">
        <f t="shared" ca="1" si="31"/>
        <v xml:space="preserve"> </v>
      </c>
      <c r="AE10" s="74" t="str">
        <f t="shared" ca="1" si="32"/>
        <v xml:space="preserve"> </v>
      </c>
      <c r="AF10" s="74" t="str">
        <f t="shared" ca="1" si="33"/>
        <v xml:space="preserve"> </v>
      </c>
      <c r="AG10" s="74" t="str">
        <f t="shared" ca="1" si="34"/>
        <v xml:space="preserve"> </v>
      </c>
      <c r="AH10" s="74" t="str">
        <f t="shared" ca="1" si="35"/>
        <v xml:space="preserve"> </v>
      </c>
      <c r="AI10" s="74" t="str">
        <f t="shared" ca="1" si="36"/>
        <v xml:space="preserve"> </v>
      </c>
      <c r="AJ10" s="74" t="str">
        <f t="shared" ca="1" si="37"/>
        <v xml:space="preserve"> </v>
      </c>
      <c r="AK10" s="74" t="str">
        <f t="shared" ca="1" si="38"/>
        <v xml:space="preserve"> </v>
      </c>
      <c r="AL10" s="74" t="str">
        <f t="shared" ca="1" si="39"/>
        <v xml:space="preserve"> </v>
      </c>
      <c r="AM10" s="74" t="str">
        <f t="shared" ca="1" si="40"/>
        <v xml:space="preserve"> </v>
      </c>
      <c r="AN10" s="74" t="str">
        <f t="shared" ca="1" si="41"/>
        <v xml:space="preserve"> </v>
      </c>
      <c r="AO10" s="74" t="str">
        <f t="shared" ca="1" si="42"/>
        <v xml:space="preserve"> </v>
      </c>
      <c r="AP10" s="74" t="str">
        <f t="shared" ca="1" si="43"/>
        <v xml:space="preserve"> </v>
      </c>
      <c r="AQ10" s="74" t="str">
        <f t="shared" ca="1" si="44"/>
        <v xml:space="preserve"> </v>
      </c>
      <c r="AR10" s="74" t="str">
        <f t="shared" ca="1" si="45"/>
        <v xml:space="preserve"> </v>
      </c>
      <c r="AS10" s="74" t="str">
        <f t="shared" ca="1" si="46"/>
        <v xml:space="preserve"> </v>
      </c>
      <c r="AT10" s="74" t="str">
        <f t="shared" ca="1" si="47"/>
        <v xml:space="preserve"> </v>
      </c>
      <c r="AU10" s="74" t="str">
        <f t="shared" ca="1" si="48"/>
        <v xml:space="preserve"> </v>
      </c>
      <c r="AV10" s="74" t="str">
        <f t="shared" ca="1" si="49"/>
        <v xml:space="preserve"> </v>
      </c>
      <c r="AW10" s="74" t="str">
        <f t="shared" ca="1" si="50"/>
        <v xml:space="preserve"> </v>
      </c>
      <c r="AX10" s="74" t="str">
        <f t="shared" ca="1" si="51"/>
        <v xml:space="preserve"> </v>
      </c>
      <c r="AY10" s="75" t="str">
        <f t="shared" ca="1" si="52"/>
        <v xml:space="preserve"> </v>
      </c>
      <c r="AZ10" s="73" t="str">
        <f t="shared" ca="1" si="53"/>
        <v xml:space="preserve"> </v>
      </c>
      <c r="BA10" s="73" t="str">
        <f t="shared" ca="1" si="54"/>
        <v xml:space="preserve"> </v>
      </c>
      <c r="BB10" s="73" t="str">
        <f t="shared" ca="1" si="55"/>
        <v xml:space="preserve"> </v>
      </c>
      <c r="BC10" s="73" t="str">
        <f ca="1">IF(COUNTIF(Conso!P8,"*Insuffisant*"),"x"," ")</f>
        <v xml:space="preserve"> </v>
      </c>
      <c r="BD10" s="73" t="str">
        <f ca="1">IF(COUNTIF(Conso!P8,"*Faible*"),"x"," ")</f>
        <v xml:space="preserve"> </v>
      </c>
      <c r="BE10" s="73" t="str">
        <f ca="1">IF(COUNTIF(Conso!P8,"*Acceptable*"),"x"," ")</f>
        <v xml:space="preserve"> </v>
      </c>
      <c r="BF10" s="73" t="str">
        <f ca="1">IF(COUNTIF(Conso!P8,"*Maîtrisé*"),"x"," ")</f>
        <v xml:space="preserve"> </v>
      </c>
      <c r="BG10" s="73" t="str">
        <f t="shared" ca="1" si="56"/>
        <v xml:space="preserve"> </v>
      </c>
      <c r="BH10" s="73" t="str">
        <f t="shared" ca="1" si="57"/>
        <v xml:space="preserve"> </v>
      </c>
      <c r="BI10" s="73" t="str">
        <f t="shared" ca="1" si="58"/>
        <v xml:space="preserve"> </v>
      </c>
      <c r="BJ10" s="73" t="str">
        <f t="shared" ca="1" si="59"/>
        <v xml:space="preserve"> </v>
      </c>
      <c r="BK10" s="73" t="str">
        <f t="shared" ca="1" si="60"/>
        <v xml:space="preserve"> </v>
      </c>
      <c r="BL10" s="73" t="str">
        <f t="shared" ca="1" si="61"/>
        <v xml:space="preserve"> </v>
      </c>
      <c r="BM10" s="73" t="str">
        <f t="shared" ca="1" si="62"/>
        <v xml:space="preserve"> </v>
      </c>
      <c r="BN10" s="73" t="str">
        <f t="shared" ca="1" si="63"/>
        <v xml:space="preserve"> </v>
      </c>
      <c r="BO10" s="73" t="str">
        <f t="shared" ca="1" si="64"/>
        <v xml:space="preserve"> </v>
      </c>
      <c r="BP10" s="73" t="str">
        <f t="shared" ca="1" si="65"/>
        <v xml:space="preserve"> </v>
      </c>
      <c r="BQ10" s="73" t="str">
        <f t="shared" ca="1" si="66"/>
        <v xml:space="preserve"> </v>
      </c>
      <c r="BR10" s="73" t="str">
        <f t="shared" ca="1" si="67"/>
        <v xml:space="preserve"> </v>
      </c>
      <c r="BS10" s="73" t="str">
        <f t="shared" ca="1" si="68"/>
        <v xml:space="preserve"> </v>
      </c>
      <c r="BT10" s="73" t="str">
        <f t="shared" ca="1" si="69"/>
        <v xml:space="preserve"> </v>
      </c>
      <c r="BU10" s="73" t="str">
        <f t="shared" ca="1" si="70"/>
        <v xml:space="preserve"> </v>
      </c>
      <c r="BV10" s="73" t="str">
        <f t="shared" ca="1" si="71"/>
        <v xml:space="preserve"> </v>
      </c>
      <c r="BW10" s="216" t="s">
        <v>901</v>
      </c>
    </row>
    <row r="11" spans="1:75" ht="43.5" customHeight="1">
      <c r="A11" s="211" t="s">
        <v>824</v>
      </c>
      <c r="B11" s="72" t="e">
        <f>#REF!</f>
        <v>#REF!</v>
      </c>
      <c r="C11" s="73" t="str">
        <f ca="1">IF(COUNTIF(Conso!O9,"*Marginal*"),"x"," ")</f>
        <v xml:space="preserve"> </v>
      </c>
      <c r="D11" s="73" t="str">
        <f ca="1">IF(COUNTIF(Conso!O9,"*Faible*"),"x"," ")</f>
        <v xml:space="preserve"> </v>
      </c>
      <c r="E11" s="73" t="str">
        <f ca="1">IF(COUNTIF(Conso!O9,"*Modéré*"),"x"," ")</f>
        <v xml:space="preserve"> </v>
      </c>
      <c r="F11" s="73" t="str">
        <f ca="1">IF(COUNTIF(Conso!O9,"*Elevé*"),"x"," ")</f>
        <v xml:space="preserve"> </v>
      </c>
      <c r="G11" s="73" t="str">
        <f ca="1">IF(COUNTIF(Conso!O9,"*Critique*"),"x"," ")</f>
        <v xml:space="preserve"> </v>
      </c>
      <c r="H11" s="73" t="str">
        <f ca="1">IF(COUNTIF(Conso!O9,"*Catastrophique*"),"x"," ")</f>
        <v xml:space="preserve"> </v>
      </c>
      <c r="I11" s="73" t="str">
        <f ca="1">IF(COUNTIF(Conso!N9,"*Exceptionnelle*"),"x"," ")</f>
        <v xml:space="preserve"> </v>
      </c>
      <c r="J11" s="73" t="str">
        <f ca="1">IF(COUNTIF(Conso!N9,"*Rare*"),"x"," ")</f>
        <v xml:space="preserve"> </v>
      </c>
      <c r="K11" s="73" t="str">
        <f ca="1">IF(COUNTIF(Conso!N9,"*Modérée*"),"x"," ")</f>
        <v xml:space="preserve"> </v>
      </c>
      <c r="L11" s="73" t="str">
        <f ca="1">IF(COUNTIF(Conso!N9,"*Elevée*"),"x"," ")</f>
        <v xml:space="preserve"> </v>
      </c>
      <c r="M11" s="73" t="str">
        <f ca="1">IF(COUNTIF(Conso!N9,"*Récurrente*"),"x"," ")</f>
        <v xml:space="preserve"> </v>
      </c>
      <c r="N11" s="73" t="str">
        <f ca="1">IF(COUNTIF(Conso!N9,"*Permanente*"),"x"," ")</f>
        <v xml:space="preserve"> </v>
      </c>
      <c r="O11" s="74" t="str">
        <f t="shared" ca="1" si="16"/>
        <v xml:space="preserve"> </v>
      </c>
      <c r="P11" s="74" t="str">
        <f t="shared" ca="1" si="17"/>
        <v xml:space="preserve"> </v>
      </c>
      <c r="Q11" s="74" t="str">
        <f t="shared" ca="1" si="18"/>
        <v xml:space="preserve"> </v>
      </c>
      <c r="R11" s="74" t="str">
        <f t="shared" ca="1" si="19"/>
        <v xml:space="preserve"> </v>
      </c>
      <c r="S11" s="74" t="str">
        <f t="shared" ca="1" si="20"/>
        <v xml:space="preserve"> </v>
      </c>
      <c r="T11" s="74" t="str">
        <f t="shared" ca="1" si="21"/>
        <v xml:space="preserve"> </v>
      </c>
      <c r="U11" s="74" t="str">
        <f t="shared" ca="1" si="22"/>
        <v xml:space="preserve"> </v>
      </c>
      <c r="V11" s="74" t="str">
        <f t="shared" ca="1" si="23"/>
        <v xml:space="preserve"> </v>
      </c>
      <c r="W11" s="74" t="str">
        <f t="shared" ca="1" si="24"/>
        <v xml:space="preserve"> </v>
      </c>
      <c r="X11" s="74" t="str">
        <f t="shared" ca="1" si="25"/>
        <v xml:space="preserve"> </v>
      </c>
      <c r="Y11" s="74" t="str">
        <f t="shared" ca="1" si="26"/>
        <v xml:space="preserve"> </v>
      </c>
      <c r="Z11" s="74" t="str">
        <f t="shared" ca="1" si="27"/>
        <v xml:space="preserve"> </v>
      </c>
      <c r="AA11" s="74" t="str">
        <f t="shared" ca="1" si="28"/>
        <v xml:space="preserve"> </v>
      </c>
      <c r="AB11" s="74" t="str">
        <f t="shared" ca="1" si="29"/>
        <v xml:space="preserve"> </v>
      </c>
      <c r="AC11" s="74" t="str">
        <f t="shared" ca="1" si="30"/>
        <v xml:space="preserve"> </v>
      </c>
      <c r="AD11" s="74" t="str">
        <f t="shared" ca="1" si="31"/>
        <v xml:space="preserve"> </v>
      </c>
      <c r="AE11" s="74" t="str">
        <f t="shared" ca="1" si="32"/>
        <v xml:space="preserve"> </v>
      </c>
      <c r="AF11" s="74" t="str">
        <f t="shared" ca="1" si="33"/>
        <v xml:space="preserve"> </v>
      </c>
      <c r="AG11" s="74" t="str">
        <f t="shared" ca="1" si="34"/>
        <v xml:space="preserve"> </v>
      </c>
      <c r="AH11" s="74" t="str">
        <f t="shared" ca="1" si="35"/>
        <v xml:space="preserve"> </v>
      </c>
      <c r="AI11" s="74" t="str">
        <f t="shared" ca="1" si="36"/>
        <v xml:space="preserve"> </v>
      </c>
      <c r="AJ11" s="74" t="str">
        <f t="shared" ca="1" si="37"/>
        <v xml:space="preserve"> </v>
      </c>
      <c r="AK11" s="74" t="str">
        <f t="shared" ca="1" si="38"/>
        <v xml:space="preserve"> </v>
      </c>
      <c r="AL11" s="74" t="str">
        <f t="shared" ca="1" si="39"/>
        <v xml:space="preserve"> </v>
      </c>
      <c r="AM11" s="74" t="str">
        <f t="shared" ca="1" si="40"/>
        <v xml:space="preserve"> </v>
      </c>
      <c r="AN11" s="74" t="str">
        <f t="shared" ca="1" si="41"/>
        <v xml:space="preserve"> </v>
      </c>
      <c r="AO11" s="74" t="str">
        <f t="shared" ca="1" si="42"/>
        <v xml:space="preserve"> </v>
      </c>
      <c r="AP11" s="74" t="str">
        <f t="shared" ca="1" si="43"/>
        <v xml:space="preserve"> </v>
      </c>
      <c r="AQ11" s="74" t="str">
        <f t="shared" ca="1" si="44"/>
        <v xml:space="preserve"> </v>
      </c>
      <c r="AR11" s="74" t="str">
        <f t="shared" ca="1" si="45"/>
        <v xml:space="preserve"> </v>
      </c>
      <c r="AS11" s="74" t="str">
        <f t="shared" ca="1" si="46"/>
        <v xml:space="preserve"> </v>
      </c>
      <c r="AT11" s="74" t="str">
        <f t="shared" ca="1" si="47"/>
        <v xml:space="preserve"> </v>
      </c>
      <c r="AU11" s="74" t="str">
        <f t="shared" ca="1" si="48"/>
        <v xml:space="preserve"> </v>
      </c>
      <c r="AV11" s="74" t="str">
        <f t="shared" ca="1" si="49"/>
        <v xml:space="preserve"> </v>
      </c>
      <c r="AW11" s="74" t="str">
        <f t="shared" ca="1" si="50"/>
        <v xml:space="preserve"> </v>
      </c>
      <c r="AX11" s="74" t="str">
        <f t="shared" ca="1" si="51"/>
        <v xml:space="preserve"> </v>
      </c>
      <c r="AY11" s="75" t="str">
        <f t="shared" ca="1" si="52"/>
        <v xml:space="preserve"> </v>
      </c>
      <c r="AZ11" s="73" t="str">
        <f t="shared" ca="1" si="53"/>
        <v xml:space="preserve"> </v>
      </c>
      <c r="BA11" s="73" t="str">
        <f t="shared" ca="1" si="54"/>
        <v xml:space="preserve"> </v>
      </c>
      <c r="BB11" s="73" t="str">
        <f t="shared" ca="1" si="55"/>
        <v xml:space="preserve"> </v>
      </c>
      <c r="BC11" s="73" t="str">
        <f ca="1">IF(COUNTIF(Conso!P9,"*Insuffisant*"),"x"," ")</f>
        <v xml:space="preserve"> </v>
      </c>
      <c r="BD11" s="73" t="str">
        <f ca="1">IF(COUNTIF(Conso!P9,"*Faible*"),"x"," ")</f>
        <v xml:space="preserve"> </v>
      </c>
      <c r="BE11" s="73" t="str">
        <f ca="1">IF(COUNTIF(Conso!P9,"*Acceptable*"),"x"," ")</f>
        <v xml:space="preserve"> </v>
      </c>
      <c r="BF11" s="73" t="str">
        <f ca="1">IF(COUNTIF(Conso!P9,"*Maîtrisé*"),"x"," ")</f>
        <v xml:space="preserve"> </v>
      </c>
      <c r="BG11" s="73" t="str">
        <f t="shared" ca="1" si="56"/>
        <v xml:space="preserve"> </v>
      </c>
      <c r="BH11" s="73" t="str">
        <f t="shared" ca="1" si="57"/>
        <v xml:space="preserve"> </v>
      </c>
      <c r="BI11" s="73" t="str">
        <f t="shared" ca="1" si="58"/>
        <v xml:space="preserve"> </v>
      </c>
      <c r="BJ11" s="73" t="str">
        <f t="shared" ca="1" si="59"/>
        <v xml:space="preserve"> </v>
      </c>
      <c r="BK11" s="73" t="str">
        <f t="shared" ca="1" si="60"/>
        <v xml:space="preserve"> </v>
      </c>
      <c r="BL11" s="73" t="str">
        <f t="shared" ca="1" si="61"/>
        <v xml:space="preserve"> </v>
      </c>
      <c r="BM11" s="73" t="str">
        <f t="shared" ca="1" si="62"/>
        <v xml:space="preserve"> </v>
      </c>
      <c r="BN11" s="73" t="str">
        <f t="shared" ca="1" si="63"/>
        <v xml:space="preserve"> </v>
      </c>
      <c r="BO11" s="73" t="str">
        <f t="shared" ca="1" si="64"/>
        <v xml:space="preserve"> </v>
      </c>
      <c r="BP11" s="73" t="str">
        <f t="shared" ca="1" si="65"/>
        <v xml:space="preserve"> </v>
      </c>
      <c r="BQ11" s="73" t="str">
        <f t="shared" ca="1" si="66"/>
        <v xml:space="preserve"> </v>
      </c>
      <c r="BR11" s="73" t="str">
        <f t="shared" ca="1" si="67"/>
        <v xml:space="preserve"> </v>
      </c>
      <c r="BS11" s="73" t="str">
        <f t="shared" ca="1" si="68"/>
        <v xml:space="preserve"> </v>
      </c>
      <c r="BT11" s="73" t="str">
        <f t="shared" ca="1" si="69"/>
        <v xml:space="preserve"> </v>
      </c>
      <c r="BU11" s="73" t="str">
        <f t="shared" ca="1" si="70"/>
        <v xml:space="preserve"> </v>
      </c>
      <c r="BV11" s="73" t="str">
        <f t="shared" ca="1" si="71"/>
        <v xml:space="preserve"> </v>
      </c>
      <c r="BW11" s="216" t="s">
        <v>902</v>
      </c>
    </row>
    <row r="12" spans="1:75" ht="37.5" customHeight="1">
      <c r="A12" s="211" t="s">
        <v>825</v>
      </c>
      <c r="B12" s="72" t="e">
        <f>#REF!</f>
        <v>#REF!</v>
      </c>
      <c r="C12" s="73" t="str">
        <f ca="1">IF(COUNTIF(Conso!O10,"*Marginal*"),"x"," ")</f>
        <v xml:space="preserve"> </v>
      </c>
      <c r="D12" s="73" t="str">
        <f ca="1">IF(COUNTIF(Conso!O10,"*Faible*"),"x"," ")</f>
        <v xml:space="preserve"> </v>
      </c>
      <c r="E12" s="73" t="str">
        <f ca="1">IF(COUNTIF(Conso!O10,"*Modéré*"),"x"," ")</f>
        <v xml:space="preserve"> </v>
      </c>
      <c r="F12" s="73" t="str">
        <f ca="1">IF(COUNTIF(Conso!O10,"*Elevé*"),"x"," ")</f>
        <v xml:space="preserve"> </v>
      </c>
      <c r="G12" s="73" t="str">
        <f ca="1">IF(COUNTIF(Conso!O10,"*Critique*"),"x"," ")</f>
        <v xml:space="preserve"> </v>
      </c>
      <c r="H12" s="73" t="str">
        <f ca="1">IF(COUNTIF(Conso!O10,"*Catastrophique*"),"x"," ")</f>
        <v xml:space="preserve"> </v>
      </c>
      <c r="I12" s="73" t="str">
        <f ca="1">IF(COUNTIF(Conso!N10,"*Exceptionnelle*"),"x"," ")</f>
        <v xml:space="preserve"> </v>
      </c>
      <c r="J12" s="73" t="str">
        <f ca="1">IF(COUNTIF(Conso!N10,"*Rare*"),"x"," ")</f>
        <v xml:space="preserve"> </v>
      </c>
      <c r="K12" s="73" t="str">
        <f ca="1">IF(COUNTIF(Conso!N10,"*Modérée*"),"x"," ")</f>
        <v xml:space="preserve"> </v>
      </c>
      <c r="L12" s="73" t="str">
        <f ca="1">IF(COUNTIF(Conso!N10,"*Elevée*"),"x"," ")</f>
        <v xml:space="preserve"> </v>
      </c>
      <c r="M12" s="73" t="str">
        <f ca="1">IF(COUNTIF(Conso!N10,"*Récurrente*"),"x"," ")</f>
        <v xml:space="preserve"> </v>
      </c>
      <c r="N12" s="73" t="str">
        <f ca="1">IF(COUNTIF(Conso!N10,"*Permanente*"),"x"," ")</f>
        <v xml:space="preserve"> </v>
      </c>
      <c r="O12" s="74" t="str">
        <f t="shared" ca="1" si="16"/>
        <v xml:space="preserve"> </v>
      </c>
      <c r="P12" s="74" t="str">
        <f t="shared" ca="1" si="17"/>
        <v xml:space="preserve"> </v>
      </c>
      <c r="Q12" s="74" t="str">
        <f t="shared" ca="1" si="18"/>
        <v xml:space="preserve"> </v>
      </c>
      <c r="R12" s="74" t="str">
        <f t="shared" ca="1" si="19"/>
        <v xml:space="preserve"> </v>
      </c>
      <c r="S12" s="74" t="str">
        <f t="shared" ca="1" si="20"/>
        <v xml:space="preserve"> </v>
      </c>
      <c r="T12" s="74" t="str">
        <f t="shared" ca="1" si="21"/>
        <v xml:space="preserve"> </v>
      </c>
      <c r="U12" s="74" t="str">
        <f t="shared" ca="1" si="22"/>
        <v xml:space="preserve"> </v>
      </c>
      <c r="V12" s="74" t="str">
        <f t="shared" ca="1" si="23"/>
        <v xml:space="preserve"> </v>
      </c>
      <c r="W12" s="74" t="str">
        <f t="shared" ca="1" si="24"/>
        <v xml:space="preserve"> </v>
      </c>
      <c r="X12" s="74" t="str">
        <f t="shared" ca="1" si="25"/>
        <v xml:space="preserve"> </v>
      </c>
      <c r="Y12" s="74" t="str">
        <f t="shared" ca="1" si="26"/>
        <v xml:space="preserve"> </v>
      </c>
      <c r="Z12" s="74" t="str">
        <f t="shared" ca="1" si="27"/>
        <v xml:space="preserve"> </v>
      </c>
      <c r="AA12" s="74" t="str">
        <f t="shared" ca="1" si="28"/>
        <v xml:space="preserve"> </v>
      </c>
      <c r="AB12" s="74" t="str">
        <f t="shared" ca="1" si="29"/>
        <v xml:space="preserve"> </v>
      </c>
      <c r="AC12" s="74" t="str">
        <f t="shared" ca="1" si="30"/>
        <v xml:space="preserve"> </v>
      </c>
      <c r="AD12" s="74" t="str">
        <f t="shared" ca="1" si="31"/>
        <v xml:space="preserve"> </v>
      </c>
      <c r="AE12" s="74" t="str">
        <f t="shared" ca="1" si="32"/>
        <v xml:space="preserve"> </v>
      </c>
      <c r="AF12" s="74" t="str">
        <f t="shared" ca="1" si="33"/>
        <v xml:space="preserve"> </v>
      </c>
      <c r="AG12" s="74" t="str">
        <f t="shared" ca="1" si="34"/>
        <v xml:space="preserve"> </v>
      </c>
      <c r="AH12" s="74" t="str">
        <f t="shared" ca="1" si="35"/>
        <v xml:space="preserve"> </v>
      </c>
      <c r="AI12" s="74" t="str">
        <f t="shared" ca="1" si="36"/>
        <v xml:space="preserve"> </v>
      </c>
      <c r="AJ12" s="74" t="str">
        <f t="shared" ca="1" si="37"/>
        <v xml:space="preserve"> </v>
      </c>
      <c r="AK12" s="74" t="str">
        <f t="shared" ca="1" si="38"/>
        <v xml:space="preserve"> </v>
      </c>
      <c r="AL12" s="74" t="str">
        <f t="shared" ca="1" si="39"/>
        <v xml:space="preserve"> </v>
      </c>
      <c r="AM12" s="74" t="str">
        <f t="shared" ca="1" si="40"/>
        <v xml:space="preserve"> </v>
      </c>
      <c r="AN12" s="74" t="str">
        <f t="shared" ca="1" si="41"/>
        <v xml:space="preserve"> </v>
      </c>
      <c r="AO12" s="74" t="str">
        <f t="shared" ca="1" si="42"/>
        <v xml:space="preserve"> </v>
      </c>
      <c r="AP12" s="74" t="str">
        <f t="shared" ca="1" si="43"/>
        <v xml:space="preserve"> </v>
      </c>
      <c r="AQ12" s="74" t="str">
        <f t="shared" ca="1" si="44"/>
        <v xml:space="preserve"> </v>
      </c>
      <c r="AR12" s="74" t="str">
        <f t="shared" ca="1" si="45"/>
        <v xml:space="preserve"> </v>
      </c>
      <c r="AS12" s="74" t="str">
        <f t="shared" ca="1" si="46"/>
        <v xml:space="preserve"> </v>
      </c>
      <c r="AT12" s="74" t="str">
        <f t="shared" ca="1" si="47"/>
        <v xml:space="preserve"> </v>
      </c>
      <c r="AU12" s="74" t="str">
        <f t="shared" ca="1" si="48"/>
        <v xml:space="preserve"> </v>
      </c>
      <c r="AV12" s="74" t="str">
        <f t="shared" ca="1" si="49"/>
        <v xml:space="preserve"> </v>
      </c>
      <c r="AW12" s="74" t="str">
        <f t="shared" ca="1" si="50"/>
        <v xml:space="preserve"> </v>
      </c>
      <c r="AX12" s="74" t="str">
        <f t="shared" ca="1" si="51"/>
        <v xml:space="preserve"> </v>
      </c>
      <c r="AY12" s="75" t="str">
        <f t="shared" ca="1" si="52"/>
        <v xml:space="preserve"> </v>
      </c>
      <c r="AZ12" s="73" t="str">
        <f t="shared" ca="1" si="53"/>
        <v xml:space="preserve"> </v>
      </c>
      <c r="BA12" s="73" t="str">
        <f t="shared" ca="1" si="54"/>
        <v xml:space="preserve"> </v>
      </c>
      <c r="BB12" s="73" t="str">
        <f t="shared" ca="1" si="55"/>
        <v xml:space="preserve"> </v>
      </c>
      <c r="BC12" s="73" t="str">
        <f ca="1">IF(COUNTIF(Conso!P10,"*Insuffisant*"),"x"," ")</f>
        <v xml:space="preserve"> </v>
      </c>
      <c r="BD12" s="73" t="str">
        <f ca="1">IF(COUNTIF(Conso!P10,"*Faible*"),"x"," ")</f>
        <v xml:space="preserve"> </v>
      </c>
      <c r="BE12" s="73" t="str">
        <f ca="1">IF(COUNTIF(Conso!P10,"*Acceptable*"),"x"," ")</f>
        <v xml:space="preserve"> </v>
      </c>
      <c r="BF12" s="73" t="str">
        <f ca="1">IF(COUNTIF(Conso!P10,"*Maîtrisé*"),"x"," ")</f>
        <v xml:space="preserve"> </v>
      </c>
      <c r="BG12" s="73" t="str">
        <f t="shared" ca="1" si="56"/>
        <v xml:space="preserve"> </v>
      </c>
      <c r="BH12" s="73" t="str">
        <f t="shared" ca="1" si="57"/>
        <v xml:space="preserve"> </v>
      </c>
      <c r="BI12" s="73" t="str">
        <f t="shared" ca="1" si="58"/>
        <v xml:space="preserve"> </v>
      </c>
      <c r="BJ12" s="73" t="str">
        <f t="shared" ca="1" si="59"/>
        <v xml:space="preserve"> </v>
      </c>
      <c r="BK12" s="73" t="str">
        <f t="shared" ca="1" si="60"/>
        <v xml:space="preserve"> </v>
      </c>
      <c r="BL12" s="73" t="str">
        <f t="shared" ca="1" si="61"/>
        <v xml:space="preserve"> </v>
      </c>
      <c r="BM12" s="73" t="str">
        <f t="shared" ca="1" si="62"/>
        <v xml:space="preserve"> </v>
      </c>
      <c r="BN12" s="73" t="str">
        <f t="shared" ca="1" si="63"/>
        <v xml:space="preserve"> </v>
      </c>
      <c r="BO12" s="73" t="str">
        <f t="shared" ca="1" si="64"/>
        <v xml:space="preserve"> </v>
      </c>
      <c r="BP12" s="73" t="str">
        <f t="shared" ca="1" si="65"/>
        <v xml:space="preserve"> </v>
      </c>
      <c r="BQ12" s="73" t="str">
        <f t="shared" ca="1" si="66"/>
        <v xml:space="preserve"> </v>
      </c>
      <c r="BR12" s="73" t="str">
        <f t="shared" ca="1" si="67"/>
        <v xml:space="preserve"> </v>
      </c>
      <c r="BS12" s="73" t="str">
        <f t="shared" ca="1" si="68"/>
        <v xml:space="preserve"> </v>
      </c>
      <c r="BT12" s="73" t="str">
        <f t="shared" ca="1" si="69"/>
        <v xml:space="preserve"> </v>
      </c>
      <c r="BU12" s="73" t="str">
        <f t="shared" ca="1" si="70"/>
        <v xml:space="preserve"> </v>
      </c>
      <c r="BV12" s="73" t="str">
        <f t="shared" ca="1" si="71"/>
        <v xml:space="preserve"> </v>
      </c>
      <c r="BW12" s="216" t="s">
        <v>903</v>
      </c>
    </row>
    <row r="13" spans="1:75" ht="43.5" customHeight="1">
      <c r="A13" s="211" t="s">
        <v>826</v>
      </c>
      <c r="B13" s="72" t="e">
        <f>#REF!</f>
        <v>#REF!</v>
      </c>
      <c r="C13" s="73" t="str">
        <f ca="1">IF(COUNTIF(Conso!O11,"*Marginal*"),"x"," ")</f>
        <v xml:space="preserve"> </v>
      </c>
      <c r="D13" s="73" t="str">
        <f ca="1">IF(COUNTIF(Conso!O11,"*Faible*"),"x"," ")</f>
        <v xml:space="preserve"> </v>
      </c>
      <c r="E13" s="73" t="str">
        <f ca="1">IF(COUNTIF(Conso!O11,"*Modéré*"),"x"," ")</f>
        <v xml:space="preserve"> </v>
      </c>
      <c r="F13" s="73" t="str">
        <f ca="1">IF(COUNTIF(Conso!O11,"*Elevé*"),"x"," ")</f>
        <v xml:space="preserve"> </v>
      </c>
      <c r="G13" s="73" t="str">
        <f ca="1">IF(COUNTIF(Conso!O11,"*Critique*"),"x"," ")</f>
        <v xml:space="preserve"> </v>
      </c>
      <c r="H13" s="73" t="str">
        <f ca="1">IF(COUNTIF(Conso!O11,"*Catastrophique*"),"x"," ")</f>
        <v xml:space="preserve"> </v>
      </c>
      <c r="I13" s="73" t="str">
        <f ca="1">IF(COUNTIF(Conso!N11,"*Exceptionnelle*"),"x"," ")</f>
        <v xml:space="preserve"> </v>
      </c>
      <c r="J13" s="73" t="str">
        <f ca="1">IF(COUNTIF(Conso!N11,"*Rare*"),"x"," ")</f>
        <v xml:space="preserve"> </v>
      </c>
      <c r="K13" s="73" t="str">
        <f ca="1">IF(COUNTIF(Conso!N11,"*Modérée*"),"x"," ")</f>
        <v xml:space="preserve"> </v>
      </c>
      <c r="L13" s="73" t="str">
        <f ca="1">IF(COUNTIF(Conso!N11,"*Elevée*"),"x"," ")</f>
        <v xml:space="preserve"> </v>
      </c>
      <c r="M13" s="73" t="str">
        <f ca="1">IF(COUNTIF(Conso!N11,"*Récurrente*"),"x"," ")</f>
        <v xml:space="preserve"> </v>
      </c>
      <c r="N13" s="73" t="str">
        <f ca="1">IF(COUNTIF(Conso!N11,"*Permanente*"),"x"," ")</f>
        <v xml:space="preserve"> </v>
      </c>
      <c r="O13" s="74" t="str">
        <f t="shared" ca="1" si="16"/>
        <v xml:space="preserve"> </v>
      </c>
      <c r="P13" s="74" t="str">
        <f t="shared" ca="1" si="17"/>
        <v xml:space="preserve"> </v>
      </c>
      <c r="Q13" s="74" t="str">
        <f t="shared" ca="1" si="18"/>
        <v xml:space="preserve"> </v>
      </c>
      <c r="R13" s="74" t="str">
        <f t="shared" ca="1" si="19"/>
        <v xml:space="preserve"> </v>
      </c>
      <c r="S13" s="74" t="str">
        <f t="shared" ca="1" si="20"/>
        <v xml:space="preserve"> </v>
      </c>
      <c r="T13" s="74" t="str">
        <f t="shared" ca="1" si="21"/>
        <v xml:space="preserve"> </v>
      </c>
      <c r="U13" s="74" t="str">
        <f t="shared" ca="1" si="22"/>
        <v xml:space="preserve"> </v>
      </c>
      <c r="V13" s="74" t="str">
        <f t="shared" ca="1" si="23"/>
        <v xml:space="preserve"> </v>
      </c>
      <c r="W13" s="74" t="str">
        <f t="shared" ca="1" si="24"/>
        <v xml:space="preserve"> </v>
      </c>
      <c r="X13" s="74" t="str">
        <f t="shared" ca="1" si="25"/>
        <v xml:space="preserve"> </v>
      </c>
      <c r="Y13" s="74" t="str">
        <f t="shared" ca="1" si="26"/>
        <v xml:space="preserve"> </v>
      </c>
      <c r="Z13" s="74" t="str">
        <f t="shared" ca="1" si="27"/>
        <v xml:space="preserve"> </v>
      </c>
      <c r="AA13" s="74" t="str">
        <f t="shared" ca="1" si="28"/>
        <v xml:space="preserve"> </v>
      </c>
      <c r="AB13" s="74" t="str">
        <f t="shared" ca="1" si="29"/>
        <v xml:space="preserve"> </v>
      </c>
      <c r="AC13" s="74" t="str">
        <f t="shared" ca="1" si="30"/>
        <v xml:space="preserve"> </v>
      </c>
      <c r="AD13" s="74" t="str">
        <f t="shared" ca="1" si="31"/>
        <v xml:space="preserve"> </v>
      </c>
      <c r="AE13" s="74" t="str">
        <f t="shared" ca="1" si="32"/>
        <v xml:space="preserve"> </v>
      </c>
      <c r="AF13" s="74" t="str">
        <f t="shared" ca="1" si="33"/>
        <v xml:space="preserve"> </v>
      </c>
      <c r="AG13" s="74" t="str">
        <f t="shared" ca="1" si="34"/>
        <v xml:space="preserve"> </v>
      </c>
      <c r="AH13" s="74" t="str">
        <f t="shared" ca="1" si="35"/>
        <v xml:space="preserve"> </v>
      </c>
      <c r="AI13" s="74" t="str">
        <f t="shared" ca="1" si="36"/>
        <v xml:space="preserve"> </v>
      </c>
      <c r="AJ13" s="74" t="str">
        <f t="shared" ca="1" si="37"/>
        <v xml:space="preserve"> </v>
      </c>
      <c r="AK13" s="74" t="str">
        <f t="shared" ca="1" si="38"/>
        <v xml:space="preserve"> </v>
      </c>
      <c r="AL13" s="74" t="str">
        <f t="shared" ca="1" si="39"/>
        <v xml:space="preserve"> </v>
      </c>
      <c r="AM13" s="74" t="str">
        <f t="shared" ca="1" si="40"/>
        <v xml:space="preserve"> </v>
      </c>
      <c r="AN13" s="74" t="str">
        <f t="shared" ca="1" si="41"/>
        <v xml:space="preserve"> </v>
      </c>
      <c r="AO13" s="74" t="str">
        <f t="shared" ca="1" si="42"/>
        <v xml:space="preserve"> </v>
      </c>
      <c r="AP13" s="74" t="str">
        <f t="shared" ca="1" si="43"/>
        <v xml:space="preserve"> </v>
      </c>
      <c r="AQ13" s="74" t="str">
        <f t="shared" ca="1" si="44"/>
        <v xml:space="preserve"> </v>
      </c>
      <c r="AR13" s="74" t="str">
        <f t="shared" ca="1" si="45"/>
        <v xml:space="preserve"> </v>
      </c>
      <c r="AS13" s="74" t="str">
        <f t="shared" ca="1" si="46"/>
        <v xml:space="preserve"> </v>
      </c>
      <c r="AT13" s="74" t="str">
        <f t="shared" ca="1" si="47"/>
        <v xml:space="preserve"> </v>
      </c>
      <c r="AU13" s="74" t="str">
        <f t="shared" ca="1" si="48"/>
        <v xml:space="preserve"> </v>
      </c>
      <c r="AV13" s="74" t="str">
        <f t="shared" ca="1" si="49"/>
        <v xml:space="preserve"> </v>
      </c>
      <c r="AW13" s="74" t="str">
        <f t="shared" ca="1" si="50"/>
        <v xml:space="preserve"> </v>
      </c>
      <c r="AX13" s="74" t="str">
        <f t="shared" ca="1" si="51"/>
        <v xml:space="preserve"> </v>
      </c>
      <c r="AY13" s="75" t="str">
        <f t="shared" ca="1" si="52"/>
        <v xml:space="preserve"> </v>
      </c>
      <c r="AZ13" s="73" t="str">
        <f t="shared" ca="1" si="53"/>
        <v xml:space="preserve"> </v>
      </c>
      <c r="BA13" s="73" t="str">
        <f t="shared" ca="1" si="54"/>
        <v xml:space="preserve"> </v>
      </c>
      <c r="BB13" s="73" t="str">
        <f t="shared" ca="1" si="55"/>
        <v xml:space="preserve"> </v>
      </c>
      <c r="BC13" s="73" t="str">
        <f ca="1">IF(COUNTIF(Conso!P11,"*Insuffisant*"),"x"," ")</f>
        <v xml:space="preserve"> </v>
      </c>
      <c r="BD13" s="73" t="str">
        <f ca="1">IF(COUNTIF(Conso!P11,"*Faible*"),"x"," ")</f>
        <v xml:space="preserve"> </v>
      </c>
      <c r="BE13" s="73" t="str">
        <f ca="1">IF(COUNTIF(Conso!P11,"*Acceptable*"),"x"," ")</f>
        <v xml:space="preserve"> </v>
      </c>
      <c r="BF13" s="73" t="str">
        <f ca="1">IF(COUNTIF(Conso!P11,"*Maîtrisé*"),"x"," ")</f>
        <v xml:space="preserve"> </v>
      </c>
      <c r="BG13" s="73" t="str">
        <f t="shared" ca="1" si="56"/>
        <v xml:space="preserve"> </v>
      </c>
      <c r="BH13" s="73" t="str">
        <f t="shared" ca="1" si="57"/>
        <v xml:space="preserve"> </v>
      </c>
      <c r="BI13" s="73" t="str">
        <f t="shared" ca="1" si="58"/>
        <v xml:space="preserve"> </v>
      </c>
      <c r="BJ13" s="73" t="str">
        <f t="shared" ca="1" si="59"/>
        <v xml:space="preserve"> </v>
      </c>
      <c r="BK13" s="73" t="str">
        <f t="shared" ca="1" si="60"/>
        <v xml:space="preserve"> </v>
      </c>
      <c r="BL13" s="73" t="str">
        <f t="shared" ca="1" si="61"/>
        <v xml:space="preserve"> </v>
      </c>
      <c r="BM13" s="73" t="str">
        <f t="shared" ca="1" si="62"/>
        <v xml:space="preserve"> </v>
      </c>
      <c r="BN13" s="73" t="str">
        <f t="shared" ca="1" si="63"/>
        <v xml:space="preserve"> </v>
      </c>
      <c r="BO13" s="73" t="str">
        <f t="shared" ca="1" si="64"/>
        <v xml:space="preserve"> </v>
      </c>
      <c r="BP13" s="73" t="str">
        <f t="shared" ca="1" si="65"/>
        <v xml:space="preserve"> </v>
      </c>
      <c r="BQ13" s="73" t="str">
        <f t="shared" ca="1" si="66"/>
        <v xml:space="preserve"> </v>
      </c>
      <c r="BR13" s="73" t="str">
        <f t="shared" ca="1" si="67"/>
        <v xml:space="preserve"> </v>
      </c>
      <c r="BS13" s="73" t="str">
        <f t="shared" ca="1" si="68"/>
        <v xml:space="preserve"> </v>
      </c>
      <c r="BT13" s="73" t="str">
        <f t="shared" ca="1" si="69"/>
        <v xml:space="preserve"> </v>
      </c>
      <c r="BU13" s="73" t="str">
        <f t="shared" ca="1" si="70"/>
        <v xml:space="preserve"> </v>
      </c>
      <c r="BV13" s="73" t="str">
        <f t="shared" ca="1" si="71"/>
        <v xml:space="preserve"> </v>
      </c>
      <c r="BW13" s="216" t="s">
        <v>904</v>
      </c>
    </row>
    <row r="14" spans="1:75" ht="43.5" customHeight="1">
      <c r="A14" s="211" t="s">
        <v>827</v>
      </c>
      <c r="B14" s="72" t="e">
        <f>#REF!</f>
        <v>#REF!</v>
      </c>
      <c r="C14" s="73" t="str">
        <f ca="1">IF(COUNTIF(Conso!O12,"*Marginal*"),"x"," ")</f>
        <v xml:space="preserve"> </v>
      </c>
      <c r="D14" s="73" t="str">
        <f ca="1">IF(COUNTIF(Conso!O12,"*Faible*"),"x"," ")</f>
        <v xml:space="preserve"> </v>
      </c>
      <c r="E14" s="73" t="str">
        <f ca="1">IF(COUNTIF(Conso!O12,"*Modéré*"),"x"," ")</f>
        <v xml:space="preserve"> </v>
      </c>
      <c r="F14" s="73" t="str">
        <f ca="1">IF(COUNTIF(Conso!O12,"*Elevé*"),"x"," ")</f>
        <v xml:space="preserve"> </v>
      </c>
      <c r="G14" s="73" t="str">
        <f ca="1">IF(COUNTIF(Conso!O12,"*Critique*"),"x"," ")</f>
        <v xml:space="preserve"> </v>
      </c>
      <c r="H14" s="73" t="str">
        <f ca="1">IF(COUNTIF(Conso!O12,"*Catastrophique*"),"x"," ")</f>
        <v xml:space="preserve"> </v>
      </c>
      <c r="I14" s="73" t="str">
        <f ca="1">IF(COUNTIF(Conso!N12,"*Exceptionnelle*"),"x"," ")</f>
        <v xml:space="preserve"> </v>
      </c>
      <c r="J14" s="73" t="str">
        <f ca="1">IF(COUNTIF(Conso!N12,"*Rare*"),"x"," ")</f>
        <v xml:space="preserve"> </v>
      </c>
      <c r="K14" s="73" t="str">
        <f ca="1">IF(COUNTIF(Conso!N12,"*Modérée*"),"x"," ")</f>
        <v xml:space="preserve"> </v>
      </c>
      <c r="L14" s="73" t="str">
        <f ca="1">IF(COUNTIF(Conso!N12,"*Elevée*"),"x"," ")</f>
        <v xml:space="preserve"> </v>
      </c>
      <c r="M14" s="73" t="str">
        <f ca="1">IF(COUNTIF(Conso!N12,"*Récurrente*"),"x"," ")</f>
        <v xml:space="preserve"> </v>
      </c>
      <c r="N14" s="73" t="str">
        <f ca="1">IF(COUNTIF(Conso!N12,"*Permanente*"),"x"," ")</f>
        <v xml:space="preserve"> </v>
      </c>
      <c r="O14" s="74" t="str">
        <f t="shared" ca="1" si="16"/>
        <v xml:space="preserve"> </v>
      </c>
      <c r="P14" s="74" t="str">
        <f t="shared" ca="1" si="17"/>
        <v xml:space="preserve"> </v>
      </c>
      <c r="Q14" s="74" t="str">
        <f t="shared" ca="1" si="18"/>
        <v xml:space="preserve"> </v>
      </c>
      <c r="R14" s="74" t="str">
        <f t="shared" ca="1" si="19"/>
        <v xml:space="preserve"> </v>
      </c>
      <c r="S14" s="74" t="str">
        <f t="shared" ca="1" si="20"/>
        <v xml:space="preserve"> </v>
      </c>
      <c r="T14" s="74" t="str">
        <f t="shared" ca="1" si="21"/>
        <v xml:space="preserve"> </v>
      </c>
      <c r="U14" s="74" t="str">
        <f t="shared" ca="1" si="22"/>
        <v xml:space="preserve"> </v>
      </c>
      <c r="V14" s="74" t="str">
        <f t="shared" ca="1" si="23"/>
        <v xml:space="preserve"> </v>
      </c>
      <c r="W14" s="74" t="str">
        <f t="shared" ca="1" si="24"/>
        <v xml:space="preserve"> </v>
      </c>
      <c r="X14" s="74" t="str">
        <f t="shared" ca="1" si="25"/>
        <v xml:space="preserve"> </v>
      </c>
      <c r="Y14" s="74" t="str">
        <f t="shared" ca="1" si="26"/>
        <v xml:space="preserve"> </v>
      </c>
      <c r="Z14" s="74" t="str">
        <f t="shared" ca="1" si="27"/>
        <v xml:space="preserve"> </v>
      </c>
      <c r="AA14" s="74" t="str">
        <f t="shared" ca="1" si="28"/>
        <v xml:space="preserve"> </v>
      </c>
      <c r="AB14" s="74" t="str">
        <f t="shared" ca="1" si="29"/>
        <v xml:space="preserve"> </v>
      </c>
      <c r="AC14" s="74" t="str">
        <f t="shared" ca="1" si="30"/>
        <v xml:space="preserve"> </v>
      </c>
      <c r="AD14" s="74" t="str">
        <f t="shared" ca="1" si="31"/>
        <v xml:space="preserve"> </v>
      </c>
      <c r="AE14" s="74" t="str">
        <f t="shared" ca="1" si="32"/>
        <v xml:space="preserve"> </v>
      </c>
      <c r="AF14" s="74" t="str">
        <f t="shared" ca="1" si="33"/>
        <v xml:space="preserve"> </v>
      </c>
      <c r="AG14" s="74" t="str">
        <f t="shared" ca="1" si="34"/>
        <v xml:space="preserve"> </v>
      </c>
      <c r="AH14" s="74" t="str">
        <f t="shared" ca="1" si="35"/>
        <v xml:space="preserve"> </v>
      </c>
      <c r="AI14" s="74" t="str">
        <f t="shared" ca="1" si="36"/>
        <v xml:space="preserve"> </v>
      </c>
      <c r="AJ14" s="74" t="str">
        <f t="shared" ca="1" si="37"/>
        <v xml:space="preserve"> </v>
      </c>
      <c r="AK14" s="74" t="str">
        <f t="shared" ca="1" si="38"/>
        <v xml:space="preserve"> </v>
      </c>
      <c r="AL14" s="74" t="str">
        <f t="shared" ca="1" si="39"/>
        <v xml:space="preserve"> </v>
      </c>
      <c r="AM14" s="74" t="str">
        <f t="shared" ca="1" si="40"/>
        <v xml:space="preserve"> </v>
      </c>
      <c r="AN14" s="74" t="str">
        <f t="shared" ca="1" si="41"/>
        <v xml:space="preserve"> </v>
      </c>
      <c r="AO14" s="74" t="str">
        <f t="shared" ca="1" si="42"/>
        <v xml:space="preserve"> </v>
      </c>
      <c r="AP14" s="74" t="str">
        <f t="shared" ca="1" si="43"/>
        <v xml:space="preserve"> </v>
      </c>
      <c r="AQ14" s="74" t="str">
        <f t="shared" ca="1" si="44"/>
        <v xml:space="preserve"> </v>
      </c>
      <c r="AR14" s="74" t="str">
        <f t="shared" ca="1" si="45"/>
        <v xml:space="preserve"> </v>
      </c>
      <c r="AS14" s="74" t="str">
        <f t="shared" ca="1" si="46"/>
        <v xml:space="preserve"> </v>
      </c>
      <c r="AT14" s="74" t="str">
        <f t="shared" ca="1" si="47"/>
        <v xml:space="preserve"> </v>
      </c>
      <c r="AU14" s="74" t="str">
        <f t="shared" ca="1" si="48"/>
        <v xml:space="preserve"> </v>
      </c>
      <c r="AV14" s="74" t="str">
        <f t="shared" ca="1" si="49"/>
        <v xml:space="preserve"> </v>
      </c>
      <c r="AW14" s="74" t="str">
        <f t="shared" ca="1" si="50"/>
        <v xml:space="preserve"> </v>
      </c>
      <c r="AX14" s="74" t="str">
        <f t="shared" ca="1" si="51"/>
        <v xml:space="preserve"> </v>
      </c>
      <c r="AY14" s="75" t="str">
        <f t="shared" ca="1" si="52"/>
        <v xml:space="preserve"> </v>
      </c>
      <c r="AZ14" s="73" t="str">
        <f t="shared" ca="1" si="53"/>
        <v xml:space="preserve"> </v>
      </c>
      <c r="BA14" s="73" t="str">
        <f t="shared" ca="1" si="54"/>
        <v xml:space="preserve"> </v>
      </c>
      <c r="BB14" s="73" t="str">
        <f t="shared" ca="1" si="55"/>
        <v xml:space="preserve"> </v>
      </c>
      <c r="BC14" s="73" t="str">
        <f ca="1">IF(COUNTIF(Conso!P12,"*Insuffisant*"),"x"," ")</f>
        <v xml:space="preserve"> </v>
      </c>
      <c r="BD14" s="73" t="str">
        <f ca="1">IF(COUNTIF(Conso!P12,"*Faible*"),"x"," ")</f>
        <v xml:space="preserve"> </v>
      </c>
      <c r="BE14" s="73" t="str">
        <f ca="1">IF(COUNTIF(Conso!P12,"*Acceptable*"),"x"," ")</f>
        <v xml:space="preserve"> </v>
      </c>
      <c r="BF14" s="73" t="str">
        <f ca="1">IF(COUNTIF(Conso!P12,"*Maîtrisé*"),"x"," ")</f>
        <v xml:space="preserve"> </v>
      </c>
      <c r="BG14" s="73" t="str">
        <f t="shared" ca="1" si="56"/>
        <v xml:space="preserve"> </v>
      </c>
      <c r="BH14" s="73" t="str">
        <f t="shared" ca="1" si="57"/>
        <v xml:space="preserve"> </v>
      </c>
      <c r="BI14" s="73" t="str">
        <f t="shared" ca="1" si="58"/>
        <v xml:space="preserve"> </v>
      </c>
      <c r="BJ14" s="73" t="str">
        <f t="shared" ca="1" si="59"/>
        <v xml:space="preserve"> </v>
      </c>
      <c r="BK14" s="73" t="str">
        <f t="shared" ca="1" si="60"/>
        <v xml:space="preserve"> </v>
      </c>
      <c r="BL14" s="73" t="str">
        <f t="shared" ca="1" si="61"/>
        <v xml:space="preserve"> </v>
      </c>
      <c r="BM14" s="73" t="str">
        <f t="shared" ca="1" si="62"/>
        <v xml:space="preserve"> </v>
      </c>
      <c r="BN14" s="73" t="str">
        <f t="shared" ca="1" si="63"/>
        <v xml:space="preserve"> </v>
      </c>
      <c r="BO14" s="73" t="str">
        <f t="shared" ca="1" si="64"/>
        <v xml:space="preserve"> </v>
      </c>
      <c r="BP14" s="73" t="str">
        <f t="shared" ca="1" si="65"/>
        <v xml:space="preserve"> </v>
      </c>
      <c r="BQ14" s="73" t="str">
        <f t="shared" ca="1" si="66"/>
        <v xml:space="preserve"> </v>
      </c>
      <c r="BR14" s="73" t="str">
        <f t="shared" ca="1" si="67"/>
        <v xml:space="preserve"> </v>
      </c>
      <c r="BS14" s="73" t="str">
        <f t="shared" ca="1" si="68"/>
        <v xml:space="preserve"> </v>
      </c>
      <c r="BT14" s="73" t="str">
        <f t="shared" ca="1" si="69"/>
        <v xml:space="preserve"> </v>
      </c>
      <c r="BU14" s="73" t="str">
        <f t="shared" ca="1" si="70"/>
        <v xml:space="preserve"> </v>
      </c>
      <c r="BV14" s="73" t="str">
        <f t="shared" ca="1" si="71"/>
        <v xml:space="preserve"> </v>
      </c>
      <c r="BW14" s="216" t="s">
        <v>905</v>
      </c>
    </row>
    <row r="15" spans="1:75" ht="43.5" customHeight="1">
      <c r="A15" s="211" t="s">
        <v>828</v>
      </c>
      <c r="B15" s="72" t="e">
        <f>#REF!</f>
        <v>#REF!</v>
      </c>
      <c r="C15" s="73" t="str">
        <f ca="1">IF(COUNTIF(Conso!O13,"*Marginal*"),"x"," ")</f>
        <v xml:space="preserve"> </v>
      </c>
      <c r="D15" s="73" t="str">
        <f ca="1">IF(COUNTIF(Conso!O13,"*Faible*"),"x"," ")</f>
        <v xml:space="preserve"> </v>
      </c>
      <c r="E15" s="73" t="str">
        <f ca="1">IF(COUNTIF(Conso!O13,"*Modéré*"),"x"," ")</f>
        <v xml:space="preserve"> </v>
      </c>
      <c r="F15" s="73" t="str">
        <f ca="1">IF(COUNTIF(Conso!O13,"*Elevé*"),"x"," ")</f>
        <v xml:space="preserve"> </v>
      </c>
      <c r="G15" s="73" t="str">
        <f ca="1">IF(COUNTIF(Conso!O13,"*Critique*"),"x"," ")</f>
        <v xml:space="preserve"> </v>
      </c>
      <c r="H15" s="73" t="str">
        <f ca="1">IF(COUNTIF(Conso!O13,"*Catastrophique*"),"x"," ")</f>
        <v xml:space="preserve"> </v>
      </c>
      <c r="I15" s="73" t="str">
        <f ca="1">IF(COUNTIF(Conso!N13,"*Exceptionnelle*"),"x"," ")</f>
        <v xml:space="preserve"> </v>
      </c>
      <c r="J15" s="73" t="str">
        <f ca="1">IF(COUNTIF(Conso!N13,"*Rare*"),"x"," ")</f>
        <v xml:space="preserve"> </v>
      </c>
      <c r="K15" s="73" t="str">
        <f ca="1">IF(COUNTIF(Conso!N13,"*Modérée*"),"x"," ")</f>
        <v xml:space="preserve"> </v>
      </c>
      <c r="L15" s="73" t="str">
        <f ca="1">IF(COUNTIF(Conso!N13,"*Elevée*"),"x"," ")</f>
        <v xml:space="preserve"> </v>
      </c>
      <c r="M15" s="73" t="str">
        <f ca="1">IF(COUNTIF(Conso!N13,"*Récurrente*"),"x"," ")</f>
        <v xml:space="preserve"> </v>
      </c>
      <c r="N15" s="73" t="str">
        <f ca="1">IF(COUNTIF(Conso!N13,"*Permanente*"),"x"," ")</f>
        <v xml:space="preserve"> </v>
      </c>
      <c r="O15" s="74" t="str">
        <f t="shared" ca="1" si="16"/>
        <v xml:space="preserve"> </v>
      </c>
      <c r="P15" s="74" t="str">
        <f t="shared" ca="1" si="17"/>
        <v xml:space="preserve"> </v>
      </c>
      <c r="Q15" s="74" t="str">
        <f t="shared" ca="1" si="18"/>
        <v xml:space="preserve"> </v>
      </c>
      <c r="R15" s="74" t="str">
        <f t="shared" ca="1" si="19"/>
        <v xml:space="preserve"> </v>
      </c>
      <c r="S15" s="74" t="str">
        <f t="shared" ca="1" si="20"/>
        <v xml:space="preserve"> </v>
      </c>
      <c r="T15" s="74" t="str">
        <f t="shared" ca="1" si="21"/>
        <v xml:space="preserve"> </v>
      </c>
      <c r="U15" s="74" t="str">
        <f t="shared" ca="1" si="22"/>
        <v xml:space="preserve"> </v>
      </c>
      <c r="V15" s="74" t="str">
        <f t="shared" ca="1" si="23"/>
        <v xml:space="preserve"> </v>
      </c>
      <c r="W15" s="74" t="str">
        <f t="shared" ca="1" si="24"/>
        <v xml:space="preserve"> </v>
      </c>
      <c r="X15" s="74" t="str">
        <f t="shared" ca="1" si="25"/>
        <v xml:space="preserve"> </v>
      </c>
      <c r="Y15" s="74" t="str">
        <f t="shared" ca="1" si="26"/>
        <v xml:space="preserve"> </v>
      </c>
      <c r="Z15" s="74" t="str">
        <f t="shared" ca="1" si="27"/>
        <v xml:space="preserve"> </v>
      </c>
      <c r="AA15" s="74" t="str">
        <f t="shared" ca="1" si="28"/>
        <v xml:space="preserve"> </v>
      </c>
      <c r="AB15" s="74" t="str">
        <f t="shared" ca="1" si="29"/>
        <v xml:space="preserve"> </v>
      </c>
      <c r="AC15" s="74" t="str">
        <f t="shared" ca="1" si="30"/>
        <v xml:space="preserve"> </v>
      </c>
      <c r="AD15" s="74" t="str">
        <f t="shared" ca="1" si="31"/>
        <v xml:space="preserve"> </v>
      </c>
      <c r="AE15" s="74" t="str">
        <f t="shared" ca="1" si="32"/>
        <v xml:space="preserve"> </v>
      </c>
      <c r="AF15" s="74" t="str">
        <f t="shared" ca="1" si="33"/>
        <v xml:space="preserve"> </v>
      </c>
      <c r="AG15" s="74" t="str">
        <f t="shared" ca="1" si="34"/>
        <v xml:space="preserve"> </v>
      </c>
      <c r="AH15" s="74" t="str">
        <f t="shared" ca="1" si="35"/>
        <v xml:space="preserve"> </v>
      </c>
      <c r="AI15" s="74" t="str">
        <f t="shared" ca="1" si="36"/>
        <v xml:space="preserve"> </v>
      </c>
      <c r="AJ15" s="74" t="str">
        <f t="shared" ca="1" si="37"/>
        <v xml:space="preserve"> </v>
      </c>
      <c r="AK15" s="74" t="str">
        <f t="shared" ca="1" si="38"/>
        <v xml:space="preserve"> </v>
      </c>
      <c r="AL15" s="74" t="str">
        <f t="shared" ca="1" si="39"/>
        <v xml:space="preserve"> </v>
      </c>
      <c r="AM15" s="74" t="str">
        <f t="shared" ca="1" si="40"/>
        <v xml:space="preserve"> </v>
      </c>
      <c r="AN15" s="74" t="str">
        <f t="shared" ca="1" si="41"/>
        <v xml:space="preserve"> </v>
      </c>
      <c r="AO15" s="74" t="str">
        <f t="shared" ca="1" si="42"/>
        <v xml:space="preserve"> </v>
      </c>
      <c r="AP15" s="74" t="str">
        <f t="shared" ca="1" si="43"/>
        <v xml:space="preserve"> </v>
      </c>
      <c r="AQ15" s="74" t="str">
        <f t="shared" ca="1" si="44"/>
        <v xml:space="preserve"> </v>
      </c>
      <c r="AR15" s="74" t="str">
        <f t="shared" ca="1" si="45"/>
        <v xml:space="preserve"> </v>
      </c>
      <c r="AS15" s="74" t="str">
        <f t="shared" ca="1" si="46"/>
        <v xml:space="preserve"> </v>
      </c>
      <c r="AT15" s="74" t="str">
        <f t="shared" ca="1" si="47"/>
        <v xml:space="preserve"> </v>
      </c>
      <c r="AU15" s="74" t="str">
        <f t="shared" ca="1" si="48"/>
        <v xml:space="preserve"> </v>
      </c>
      <c r="AV15" s="74" t="str">
        <f t="shared" ca="1" si="49"/>
        <v xml:space="preserve"> </v>
      </c>
      <c r="AW15" s="74" t="str">
        <f t="shared" ca="1" si="50"/>
        <v xml:space="preserve"> </v>
      </c>
      <c r="AX15" s="74" t="str">
        <f t="shared" ca="1" si="51"/>
        <v xml:space="preserve"> </v>
      </c>
      <c r="AY15" s="75" t="str">
        <f t="shared" ca="1" si="52"/>
        <v xml:space="preserve"> </v>
      </c>
      <c r="AZ15" s="73" t="str">
        <f t="shared" ca="1" si="53"/>
        <v xml:space="preserve"> </v>
      </c>
      <c r="BA15" s="73" t="str">
        <f t="shared" ca="1" si="54"/>
        <v xml:space="preserve"> </v>
      </c>
      <c r="BB15" s="73" t="str">
        <f t="shared" ca="1" si="55"/>
        <v xml:space="preserve"> </v>
      </c>
      <c r="BC15" s="73" t="str">
        <f ca="1">IF(COUNTIF(Conso!P13,"*Insuffisant*"),"x"," ")</f>
        <v xml:space="preserve"> </v>
      </c>
      <c r="BD15" s="73" t="str">
        <f ca="1">IF(COUNTIF(Conso!P13,"*Faible*"),"x"," ")</f>
        <v xml:space="preserve"> </v>
      </c>
      <c r="BE15" s="73" t="str">
        <f ca="1">IF(COUNTIF(Conso!P13,"*Acceptable*"),"x"," ")</f>
        <v xml:space="preserve"> </v>
      </c>
      <c r="BF15" s="73" t="str">
        <f ca="1">IF(COUNTIF(Conso!P13,"*Maîtrisé*"),"x"," ")</f>
        <v xml:space="preserve"> </v>
      </c>
      <c r="BG15" s="73" t="str">
        <f t="shared" ca="1" si="56"/>
        <v xml:space="preserve"> </v>
      </c>
      <c r="BH15" s="73" t="str">
        <f t="shared" ca="1" si="57"/>
        <v xml:space="preserve"> </v>
      </c>
      <c r="BI15" s="73" t="str">
        <f t="shared" ca="1" si="58"/>
        <v xml:space="preserve"> </v>
      </c>
      <c r="BJ15" s="73" t="str">
        <f t="shared" ca="1" si="59"/>
        <v xml:space="preserve"> </v>
      </c>
      <c r="BK15" s="73" t="str">
        <f t="shared" ca="1" si="60"/>
        <v xml:space="preserve"> </v>
      </c>
      <c r="BL15" s="73" t="str">
        <f t="shared" ca="1" si="61"/>
        <v xml:space="preserve"> </v>
      </c>
      <c r="BM15" s="73" t="str">
        <f t="shared" ca="1" si="62"/>
        <v xml:space="preserve"> </v>
      </c>
      <c r="BN15" s="73" t="str">
        <f t="shared" ca="1" si="63"/>
        <v xml:space="preserve"> </v>
      </c>
      <c r="BO15" s="73" t="str">
        <f t="shared" ca="1" si="64"/>
        <v xml:space="preserve"> </v>
      </c>
      <c r="BP15" s="73" t="str">
        <f t="shared" ca="1" si="65"/>
        <v xml:space="preserve"> </v>
      </c>
      <c r="BQ15" s="73" t="str">
        <f t="shared" ca="1" si="66"/>
        <v xml:space="preserve"> </v>
      </c>
      <c r="BR15" s="73" t="str">
        <f t="shared" ca="1" si="67"/>
        <v xml:space="preserve"> </v>
      </c>
      <c r="BS15" s="73" t="str">
        <f t="shared" ca="1" si="68"/>
        <v xml:space="preserve"> </v>
      </c>
      <c r="BT15" s="73" t="str">
        <f t="shared" ca="1" si="69"/>
        <v xml:space="preserve"> </v>
      </c>
      <c r="BU15" s="73" t="str">
        <f t="shared" ca="1" si="70"/>
        <v xml:space="preserve"> </v>
      </c>
      <c r="BV15" s="73" t="str">
        <f t="shared" ca="1" si="71"/>
        <v xml:space="preserve"> </v>
      </c>
      <c r="BW15" s="216" t="s">
        <v>906</v>
      </c>
    </row>
    <row r="16" spans="1:75" ht="43.5" customHeight="1">
      <c r="A16" s="211" t="s">
        <v>829</v>
      </c>
      <c r="B16" s="72" t="e">
        <f>#REF!</f>
        <v>#REF!</v>
      </c>
      <c r="C16" s="73" t="str">
        <f ca="1">IF(COUNTIF(Conso!O14,"*Marginal*"),"x"," ")</f>
        <v xml:space="preserve"> </v>
      </c>
      <c r="D16" s="73" t="str">
        <f ca="1">IF(COUNTIF(Conso!O14,"*Faible*"),"x"," ")</f>
        <v xml:space="preserve"> </v>
      </c>
      <c r="E16" s="73" t="str">
        <f ca="1">IF(COUNTIF(Conso!O14,"*Modéré*"),"x"," ")</f>
        <v xml:space="preserve"> </v>
      </c>
      <c r="F16" s="73" t="str">
        <f ca="1">IF(COUNTIF(Conso!O14,"*Elevé*"),"x"," ")</f>
        <v xml:space="preserve"> </v>
      </c>
      <c r="G16" s="73" t="str">
        <f ca="1">IF(COUNTIF(Conso!O14,"*Critique*"),"x"," ")</f>
        <v xml:space="preserve"> </v>
      </c>
      <c r="H16" s="73" t="str">
        <f ca="1">IF(COUNTIF(Conso!O14,"*Catastrophique*"),"x"," ")</f>
        <v xml:space="preserve"> </v>
      </c>
      <c r="I16" s="73" t="str">
        <f ca="1">IF(COUNTIF(Conso!N14,"*Exceptionnelle*"),"x"," ")</f>
        <v xml:space="preserve"> </v>
      </c>
      <c r="J16" s="73" t="str">
        <f ca="1">IF(COUNTIF(Conso!N14,"*Rare*"),"x"," ")</f>
        <v xml:space="preserve"> </v>
      </c>
      <c r="K16" s="73" t="str">
        <f ca="1">IF(COUNTIF(Conso!N14,"*Modérée*"),"x"," ")</f>
        <v xml:space="preserve"> </v>
      </c>
      <c r="L16" s="73" t="str">
        <f ca="1">IF(COUNTIF(Conso!N14,"*Elevée*"),"x"," ")</f>
        <v xml:space="preserve"> </v>
      </c>
      <c r="M16" s="73" t="str">
        <f ca="1">IF(COUNTIF(Conso!N14,"*Récurrente*"),"x"," ")</f>
        <v xml:space="preserve"> </v>
      </c>
      <c r="N16" s="73" t="str">
        <f ca="1">IF(COUNTIF(Conso!N14,"*Permanente*"),"x"," ")</f>
        <v xml:space="preserve"> </v>
      </c>
      <c r="O16" s="74" t="str">
        <f t="shared" ca="1" si="16"/>
        <v xml:space="preserve"> </v>
      </c>
      <c r="P16" s="74" t="str">
        <f t="shared" ca="1" si="17"/>
        <v xml:space="preserve"> </v>
      </c>
      <c r="Q16" s="74" t="str">
        <f t="shared" ca="1" si="18"/>
        <v xml:space="preserve"> </v>
      </c>
      <c r="R16" s="74" t="str">
        <f t="shared" ca="1" si="19"/>
        <v xml:space="preserve"> </v>
      </c>
      <c r="S16" s="74" t="str">
        <f t="shared" ca="1" si="20"/>
        <v xml:space="preserve"> </v>
      </c>
      <c r="T16" s="74" t="str">
        <f t="shared" ca="1" si="21"/>
        <v xml:space="preserve"> </v>
      </c>
      <c r="U16" s="74" t="str">
        <f t="shared" ca="1" si="22"/>
        <v xml:space="preserve"> </v>
      </c>
      <c r="V16" s="74" t="str">
        <f t="shared" ca="1" si="23"/>
        <v xml:space="preserve"> </v>
      </c>
      <c r="W16" s="74" t="str">
        <f t="shared" ca="1" si="24"/>
        <v xml:space="preserve"> </v>
      </c>
      <c r="X16" s="74" t="str">
        <f t="shared" ca="1" si="25"/>
        <v xml:space="preserve"> </v>
      </c>
      <c r="Y16" s="74" t="str">
        <f t="shared" ca="1" si="26"/>
        <v xml:space="preserve"> </v>
      </c>
      <c r="Z16" s="74" t="str">
        <f t="shared" ca="1" si="27"/>
        <v xml:space="preserve"> </v>
      </c>
      <c r="AA16" s="74" t="str">
        <f t="shared" ca="1" si="28"/>
        <v xml:space="preserve"> </v>
      </c>
      <c r="AB16" s="74" t="str">
        <f t="shared" ca="1" si="29"/>
        <v xml:space="preserve"> </v>
      </c>
      <c r="AC16" s="74" t="str">
        <f t="shared" ca="1" si="30"/>
        <v xml:space="preserve"> </v>
      </c>
      <c r="AD16" s="74" t="str">
        <f t="shared" ca="1" si="31"/>
        <v xml:space="preserve"> </v>
      </c>
      <c r="AE16" s="74" t="str">
        <f t="shared" ca="1" si="32"/>
        <v xml:space="preserve"> </v>
      </c>
      <c r="AF16" s="74" t="str">
        <f t="shared" ca="1" si="33"/>
        <v xml:space="preserve"> </v>
      </c>
      <c r="AG16" s="74" t="str">
        <f t="shared" ca="1" si="34"/>
        <v xml:space="preserve"> </v>
      </c>
      <c r="AH16" s="74" t="str">
        <f t="shared" ca="1" si="35"/>
        <v xml:space="preserve"> </v>
      </c>
      <c r="AI16" s="74" t="str">
        <f t="shared" ca="1" si="36"/>
        <v xml:space="preserve"> </v>
      </c>
      <c r="AJ16" s="74" t="str">
        <f t="shared" ca="1" si="37"/>
        <v xml:space="preserve"> </v>
      </c>
      <c r="AK16" s="74" t="str">
        <f t="shared" ca="1" si="38"/>
        <v xml:space="preserve"> </v>
      </c>
      <c r="AL16" s="74" t="str">
        <f t="shared" ca="1" si="39"/>
        <v xml:space="preserve"> </v>
      </c>
      <c r="AM16" s="74" t="str">
        <f t="shared" ca="1" si="40"/>
        <v xml:space="preserve"> </v>
      </c>
      <c r="AN16" s="74" t="str">
        <f t="shared" ca="1" si="41"/>
        <v xml:space="preserve"> </v>
      </c>
      <c r="AO16" s="74" t="str">
        <f t="shared" ca="1" si="42"/>
        <v xml:space="preserve"> </v>
      </c>
      <c r="AP16" s="74" t="str">
        <f t="shared" ca="1" si="43"/>
        <v xml:space="preserve"> </v>
      </c>
      <c r="AQ16" s="74" t="str">
        <f t="shared" ca="1" si="44"/>
        <v xml:space="preserve"> </v>
      </c>
      <c r="AR16" s="74" t="str">
        <f t="shared" ca="1" si="45"/>
        <v xml:space="preserve"> </v>
      </c>
      <c r="AS16" s="74" t="str">
        <f t="shared" ca="1" si="46"/>
        <v xml:space="preserve"> </v>
      </c>
      <c r="AT16" s="74" t="str">
        <f t="shared" ca="1" si="47"/>
        <v xml:space="preserve"> </v>
      </c>
      <c r="AU16" s="74" t="str">
        <f t="shared" ca="1" si="48"/>
        <v xml:space="preserve"> </v>
      </c>
      <c r="AV16" s="74" t="str">
        <f t="shared" ca="1" si="49"/>
        <v xml:space="preserve"> </v>
      </c>
      <c r="AW16" s="74" t="str">
        <f t="shared" ca="1" si="50"/>
        <v xml:space="preserve"> </v>
      </c>
      <c r="AX16" s="74" t="str">
        <f t="shared" ca="1" si="51"/>
        <v xml:space="preserve"> </v>
      </c>
      <c r="AY16" s="75" t="str">
        <f t="shared" ca="1" si="52"/>
        <v xml:space="preserve"> </v>
      </c>
      <c r="AZ16" s="73" t="str">
        <f t="shared" ca="1" si="53"/>
        <v xml:space="preserve"> </v>
      </c>
      <c r="BA16" s="73" t="str">
        <f t="shared" ca="1" si="54"/>
        <v xml:space="preserve"> </v>
      </c>
      <c r="BB16" s="73" t="str">
        <f t="shared" ca="1" si="55"/>
        <v xml:space="preserve"> </v>
      </c>
      <c r="BC16" s="73" t="str">
        <f ca="1">IF(COUNTIF(Conso!P14,"*Insuffisant*"),"x"," ")</f>
        <v xml:space="preserve"> </v>
      </c>
      <c r="BD16" s="73" t="str">
        <f ca="1">IF(COUNTIF(Conso!P14,"*Faible*"),"x"," ")</f>
        <v xml:space="preserve"> </v>
      </c>
      <c r="BE16" s="73" t="str">
        <f ca="1">IF(COUNTIF(Conso!P14,"*Acceptable*"),"x"," ")</f>
        <v xml:space="preserve"> </v>
      </c>
      <c r="BF16" s="73" t="str">
        <f ca="1">IF(COUNTIF(Conso!P14,"*Maîtrisé*"),"x"," ")</f>
        <v xml:space="preserve"> </v>
      </c>
      <c r="BG16" s="73" t="str">
        <f t="shared" ca="1" si="56"/>
        <v xml:space="preserve"> </v>
      </c>
      <c r="BH16" s="73" t="str">
        <f t="shared" ca="1" si="57"/>
        <v xml:space="preserve"> </v>
      </c>
      <c r="BI16" s="73" t="str">
        <f t="shared" ca="1" si="58"/>
        <v xml:space="preserve"> </v>
      </c>
      <c r="BJ16" s="73" t="str">
        <f t="shared" ca="1" si="59"/>
        <v xml:space="preserve"> </v>
      </c>
      <c r="BK16" s="73" t="str">
        <f t="shared" ca="1" si="60"/>
        <v xml:space="preserve"> </v>
      </c>
      <c r="BL16" s="73" t="str">
        <f t="shared" ca="1" si="61"/>
        <v xml:space="preserve"> </v>
      </c>
      <c r="BM16" s="73" t="str">
        <f t="shared" ca="1" si="62"/>
        <v xml:space="preserve"> </v>
      </c>
      <c r="BN16" s="73" t="str">
        <f t="shared" ca="1" si="63"/>
        <v xml:space="preserve"> </v>
      </c>
      <c r="BO16" s="73" t="str">
        <f t="shared" ca="1" si="64"/>
        <v xml:space="preserve"> </v>
      </c>
      <c r="BP16" s="73" t="str">
        <f t="shared" ca="1" si="65"/>
        <v xml:space="preserve"> </v>
      </c>
      <c r="BQ16" s="73" t="str">
        <f t="shared" ca="1" si="66"/>
        <v xml:space="preserve"> </v>
      </c>
      <c r="BR16" s="73" t="str">
        <f t="shared" ca="1" si="67"/>
        <v xml:space="preserve"> </v>
      </c>
      <c r="BS16" s="73" t="str">
        <f t="shared" ca="1" si="68"/>
        <v xml:space="preserve"> </v>
      </c>
      <c r="BT16" s="73" t="str">
        <f t="shared" ca="1" si="69"/>
        <v xml:space="preserve"> </v>
      </c>
      <c r="BU16" s="73" t="str">
        <f t="shared" ca="1" si="70"/>
        <v xml:space="preserve"> </v>
      </c>
      <c r="BV16" s="73" t="str">
        <f t="shared" ca="1" si="71"/>
        <v xml:space="preserve"> </v>
      </c>
      <c r="BW16" s="216" t="s">
        <v>907</v>
      </c>
    </row>
    <row r="17" spans="1:75" ht="43.5" customHeight="1">
      <c r="A17" s="211" t="s">
        <v>830</v>
      </c>
      <c r="B17" s="72" t="e">
        <f>#REF!</f>
        <v>#REF!</v>
      </c>
      <c r="C17" s="73" t="str">
        <f ca="1">IF(COUNTIF(Conso!O15,"*Marginal*"),"x"," ")</f>
        <v xml:space="preserve"> </v>
      </c>
      <c r="D17" s="73" t="str">
        <f ca="1">IF(COUNTIF(Conso!O15,"*Faible*"),"x"," ")</f>
        <v xml:space="preserve"> </v>
      </c>
      <c r="E17" s="73" t="str">
        <f ca="1">IF(COUNTIF(Conso!O15,"*Modéré*"),"x"," ")</f>
        <v xml:space="preserve"> </v>
      </c>
      <c r="F17" s="73" t="str">
        <f ca="1">IF(COUNTIF(Conso!O15,"*Elevé*"),"x"," ")</f>
        <v xml:space="preserve"> </v>
      </c>
      <c r="G17" s="73" t="str">
        <f ca="1">IF(COUNTIF(Conso!O15,"*Critique*"),"x"," ")</f>
        <v xml:space="preserve"> </v>
      </c>
      <c r="H17" s="73" t="str">
        <f ca="1">IF(COUNTIF(Conso!O15,"*Catastrophique*"),"x"," ")</f>
        <v xml:space="preserve"> </v>
      </c>
      <c r="I17" s="73" t="str">
        <f ca="1">IF(COUNTIF(Conso!N15,"*Exceptionnelle*"),"x"," ")</f>
        <v xml:space="preserve"> </v>
      </c>
      <c r="J17" s="73" t="str">
        <f ca="1">IF(COUNTIF(Conso!N15,"*Rare*"),"x"," ")</f>
        <v xml:space="preserve"> </v>
      </c>
      <c r="K17" s="73" t="str">
        <f ca="1">IF(COUNTIF(Conso!N15,"*Modérée*"),"x"," ")</f>
        <v xml:space="preserve"> </v>
      </c>
      <c r="L17" s="73" t="str">
        <f ca="1">IF(COUNTIF(Conso!N15,"*Elevée*"),"x"," ")</f>
        <v xml:space="preserve"> </v>
      </c>
      <c r="M17" s="73" t="str">
        <f ca="1">IF(COUNTIF(Conso!N15,"*Récurrente*"),"x"," ")</f>
        <v xml:space="preserve"> </v>
      </c>
      <c r="N17" s="73" t="str">
        <f ca="1">IF(COUNTIF(Conso!N15,"*Permanente*"),"x"," ")</f>
        <v xml:space="preserve"> </v>
      </c>
      <c r="O17" s="74" t="str">
        <f t="shared" ca="1" si="16"/>
        <v xml:space="preserve"> </v>
      </c>
      <c r="P17" s="74" t="str">
        <f t="shared" ca="1" si="17"/>
        <v xml:space="preserve"> </v>
      </c>
      <c r="Q17" s="74" t="str">
        <f t="shared" ca="1" si="18"/>
        <v xml:space="preserve"> </v>
      </c>
      <c r="R17" s="74" t="str">
        <f t="shared" ca="1" si="19"/>
        <v xml:space="preserve"> </v>
      </c>
      <c r="S17" s="74" t="str">
        <f t="shared" ca="1" si="20"/>
        <v xml:space="preserve"> </v>
      </c>
      <c r="T17" s="74" t="str">
        <f t="shared" ca="1" si="21"/>
        <v xml:space="preserve"> </v>
      </c>
      <c r="U17" s="74" t="str">
        <f t="shared" ca="1" si="22"/>
        <v xml:space="preserve"> </v>
      </c>
      <c r="V17" s="74" t="str">
        <f t="shared" ca="1" si="23"/>
        <v xml:space="preserve"> </v>
      </c>
      <c r="W17" s="74" t="str">
        <f t="shared" ca="1" si="24"/>
        <v xml:space="preserve"> </v>
      </c>
      <c r="X17" s="74" t="str">
        <f t="shared" ca="1" si="25"/>
        <v xml:space="preserve"> </v>
      </c>
      <c r="Y17" s="74" t="str">
        <f t="shared" ca="1" si="26"/>
        <v xml:space="preserve"> </v>
      </c>
      <c r="Z17" s="74" t="str">
        <f t="shared" ca="1" si="27"/>
        <v xml:space="preserve"> </v>
      </c>
      <c r="AA17" s="74" t="str">
        <f t="shared" ca="1" si="28"/>
        <v xml:space="preserve"> </v>
      </c>
      <c r="AB17" s="74" t="str">
        <f t="shared" ca="1" si="29"/>
        <v xml:space="preserve"> </v>
      </c>
      <c r="AC17" s="74" t="str">
        <f t="shared" ca="1" si="30"/>
        <v xml:space="preserve"> </v>
      </c>
      <c r="AD17" s="74" t="str">
        <f t="shared" ca="1" si="31"/>
        <v xml:space="preserve"> </v>
      </c>
      <c r="AE17" s="74" t="str">
        <f t="shared" ca="1" si="32"/>
        <v xml:space="preserve"> </v>
      </c>
      <c r="AF17" s="74" t="str">
        <f t="shared" ca="1" si="33"/>
        <v xml:space="preserve"> </v>
      </c>
      <c r="AG17" s="74" t="str">
        <f t="shared" ca="1" si="34"/>
        <v xml:space="preserve"> </v>
      </c>
      <c r="AH17" s="74" t="str">
        <f t="shared" ca="1" si="35"/>
        <v xml:space="preserve"> </v>
      </c>
      <c r="AI17" s="74" t="str">
        <f t="shared" ca="1" si="36"/>
        <v xml:space="preserve"> </v>
      </c>
      <c r="AJ17" s="74" t="str">
        <f t="shared" ca="1" si="37"/>
        <v xml:space="preserve"> </v>
      </c>
      <c r="AK17" s="74" t="str">
        <f t="shared" ca="1" si="38"/>
        <v xml:space="preserve"> </v>
      </c>
      <c r="AL17" s="74" t="str">
        <f t="shared" ca="1" si="39"/>
        <v xml:space="preserve"> </v>
      </c>
      <c r="AM17" s="74" t="str">
        <f t="shared" ca="1" si="40"/>
        <v xml:space="preserve"> </v>
      </c>
      <c r="AN17" s="74" t="str">
        <f t="shared" ca="1" si="41"/>
        <v xml:space="preserve"> </v>
      </c>
      <c r="AO17" s="74" t="str">
        <f t="shared" ca="1" si="42"/>
        <v xml:space="preserve"> </v>
      </c>
      <c r="AP17" s="74" t="str">
        <f t="shared" ca="1" si="43"/>
        <v xml:space="preserve"> </v>
      </c>
      <c r="AQ17" s="74" t="str">
        <f t="shared" ca="1" si="44"/>
        <v xml:space="preserve"> </v>
      </c>
      <c r="AR17" s="74" t="str">
        <f t="shared" ca="1" si="45"/>
        <v xml:space="preserve"> </v>
      </c>
      <c r="AS17" s="74" t="str">
        <f t="shared" ca="1" si="46"/>
        <v xml:space="preserve"> </v>
      </c>
      <c r="AT17" s="74" t="str">
        <f t="shared" ca="1" si="47"/>
        <v xml:space="preserve"> </v>
      </c>
      <c r="AU17" s="74" t="str">
        <f t="shared" ca="1" si="48"/>
        <v xml:space="preserve"> </v>
      </c>
      <c r="AV17" s="74" t="str">
        <f t="shared" ca="1" si="49"/>
        <v xml:space="preserve"> </v>
      </c>
      <c r="AW17" s="74" t="str">
        <f t="shared" ca="1" si="50"/>
        <v xml:space="preserve"> </v>
      </c>
      <c r="AX17" s="74" t="str">
        <f t="shared" ca="1" si="51"/>
        <v xml:space="preserve"> </v>
      </c>
      <c r="AY17" s="75" t="str">
        <f t="shared" ca="1" si="52"/>
        <v xml:space="preserve"> </v>
      </c>
      <c r="AZ17" s="73" t="str">
        <f t="shared" ca="1" si="53"/>
        <v xml:space="preserve"> </v>
      </c>
      <c r="BA17" s="73" t="str">
        <f t="shared" ca="1" si="54"/>
        <v xml:space="preserve"> </v>
      </c>
      <c r="BB17" s="73" t="str">
        <f t="shared" ca="1" si="55"/>
        <v xml:space="preserve"> </v>
      </c>
      <c r="BC17" s="73" t="str">
        <f ca="1">IF(COUNTIF(Conso!P15,"*Insuffisant*"),"x"," ")</f>
        <v xml:space="preserve"> </v>
      </c>
      <c r="BD17" s="73" t="str">
        <f ca="1">IF(COUNTIF(Conso!P15,"*Faible*"),"x"," ")</f>
        <v xml:space="preserve"> </v>
      </c>
      <c r="BE17" s="73" t="str">
        <f ca="1">IF(COUNTIF(Conso!P15,"*Acceptable*"),"x"," ")</f>
        <v xml:space="preserve"> </v>
      </c>
      <c r="BF17" s="73" t="str">
        <f ca="1">IF(COUNTIF(Conso!P15,"*Maîtrisé*"),"x"," ")</f>
        <v xml:space="preserve"> </v>
      </c>
      <c r="BG17" s="73" t="str">
        <f t="shared" ca="1" si="56"/>
        <v xml:space="preserve"> </v>
      </c>
      <c r="BH17" s="73" t="str">
        <f t="shared" ca="1" si="57"/>
        <v xml:space="preserve"> </v>
      </c>
      <c r="BI17" s="73" t="str">
        <f t="shared" ca="1" si="58"/>
        <v xml:space="preserve"> </v>
      </c>
      <c r="BJ17" s="73" t="str">
        <f t="shared" ca="1" si="59"/>
        <v xml:space="preserve"> </v>
      </c>
      <c r="BK17" s="73" t="str">
        <f t="shared" ca="1" si="60"/>
        <v xml:space="preserve"> </v>
      </c>
      <c r="BL17" s="73" t="str">
        <f t="shared" ca="1" si="61"/>
        <v xml:space="preserve"> </v>
      </c>
      <c r="BM17" s="73" t="str">
        <f t="shared" ca="1" si="62"/>
        <v xml:space="preserve"> </v>
      </c>
      <c r="BN17" s="73" t="str">
        <f t="shared" ca="1" si="63"/>
        <v xml:space="preserve"> </v>
      </c>
      <c r="BO17" s="73" t="str">
        <f t="shared" ca="1" si="64"/>
        <v xml:space="preserve"> </v>
      </c>
      <c r="BP17" s="73" t="str">
        <f t="shared" ca="1" si="65"/>
        <v xml:space="preserve"> </v>
      </c>
      <c r="BQ17" s="73" t="str">
        <f t="shared" ca="1" si="66"/>
        <v xml:space="preserve"> </v>
      </c>
      <c r="BR17" s="73" t="str">
        <f t="shared" ca="1" si="67"/>
        <v xml:space="preserve"> </v>
      </c>
      <c r="BS17" s="73" t="str">
        <f t="shared" ca="1" si="68"/>
        <v xml:space="preserve"> </v>
      </c>
      <c r="BT17" s="73" t="str">
        <f t="shared" ca="1" si="69"/>
        <v xml:space="preserve"> </v>
      </c>
      <c r="BU17" s="73" t="str">
        <f t="shared" ca="1" si="70"/>
        <v xml:space="preserve"> </v>
      </c>
      <c r="BV17" s="73" t="str">
        <f t="shared" ca="1" si="71"/>
        <v xml:space="preserve"> </v>
      </c>
      <c r="BW17" s="216" t="s">
        <v>908</v>
      </c>
    </row>
    <row r="18" spans="1:75" ht="43.5" customHeight="1">
      <c r="A18" s="211" t="s">
        <v>831</v>
      </c>
      <c r="B18" s="72" t="e">
        <f>#REF!</f>
        <v>#REF!</v>
      </c>
      <c r="C18" s="73" t="str">
        <f ca="1">IF(COUNTIF(Conso!O16,"*Marginal*"),"x"," ")</f>
        <v xml:space="preserve"> </v>
      </c>
      <c r="D18" s="73" t="str">
        <f ca="1">IF(COUNTIF(Conso!O16,"*Faible*"),"x"," ")</f>
        <v xml:space="preserve"> </v>
      </c>
      <c r="E18" s="73" t="str">
        <f ca="1">IF(COUNTIF(Conso!O16,"*Modéré*"),"x"," ")</f>
        <v xml:space="preserve"> </v>
      </c>
      <c r="F18" s="73" t="str">
        <f ca="1">IF(COUNTIF(Conso!O16,"*Elevé*"),"x"," ")</f>
        <v xml:space="preserve"> </v>
      </c>
      <c r="G18" s="73" t="str">
        <f ca="1">IF(COUNTIF(Conso!O16,"*Critique*"),"x"," ")</f>
        <v xml:space="preserve"> </v>
      </c>
      <c r="H18" s="73" t="str">
        <f ca="1">IF(COUNTIF(Conso!O16,"*Catastrophique*"),"x"," ")</f>
        <v xml:space="preserve"> </v>
      </c>
      <c r="I18" s="73" t="str">
        <f ca="1">IF(COUNTIF(Conso!N16,"*Exceptionnelle*"),"x"," ")</f>
        <v xml:space="preserve"> </v>
      </c>
      <c r="J18" s="73" t="str">
        <f ca="1">IF(COUNTIF(Conso!N16,"*Rare*"),"x"," ")</f>
        <v xml:space="preserve"> </v>
      </c>
      <c r="K18" s="73" t="str">
        <f ca="1">IF(COUNTIF(Conso!N16,"*Modérée*"),"x"," ")</f>
        <v xml:space="preserve"> </v>
      </c>
      <c r="L18" s="73" t="str">
        <f ca="1">IF(COUNTIF(Conso!N16,"*Elevée*"),"x"," ")</f>
        <v xml:space="preserve"> </v>
      </c>
      <c r="M18" s="73" t="str">
        <f ca="1">IF(COUNTIF(Conso!N16,"*Récurrente*"),"x"," ")</f>
        <v xml:space="preserve"> </v>
      </c>
      <c r="N18" s="73" t="str">
        <f ca="1">IF(COUNTIF(Conso!N16,"*Permanente*"),"x"," ")</f>
        <v xml:space="preserve"> </v>
      </c>
      <c r="O18" s="74" t="str">
        <f t="shared" ca="1" si="16"/>
        <v xml:space="preserve"> </v>
      </c>
      <c r="P18" s="74" t="str">
        <f t="shared" ca="1" si="17"/>
        <v xml:space="preserve"> </v>
      </c>
      <c r="Q18" s="74" t="str">
        <f t="shared" ca="1" si="18"/>
        <v xml:space="preserve"> </v>
      </c>
      <c r="R18" s="74" t="str">
        <f t="shared" ca="1" si="19"/>
        <v xml:space="preserve"> </v>
      </c>
      <c r="S18" s="74" t="str">
        <f t="shared" ca="1" si="20"/>
        <v xml:space="preserve"> </v>
      </c>
      <c r="T18" s="74" t="str">
        <f t="shared" ca="1" si="21"/>
        <v xml:space="preserve"> </v>
      </c>
      <c r="U18" s="74" t="str">
        <f t="shared" ca="1" si="22"/>
        <v xml:space="preserve"> </v>
      </c>
      <c r="V18" s="74" t="str">
        <f t="shared" ca="1" si="23"/>
        <v xml:space="preserve"> </v>
      </c>
      <c r="W18" s="74" t="str">
        <f t="shared" ca="1" si="24"/>
        <v xml:space="preserve"> </v>
      </c>
      <c r="X18" s="74" t="str">
        <f t="shared" ca="1" si="25"/>
        <v xml:space="preserve"> </v>
      </c>
      <c r="Y18" s="74" t="str">
        <f t="shared" ca="1" si="26"/>
        <v xml:space="preserve"> </v>
      </c>
      <c r="Z18" s="74" t="str">
        <f t="shared" ca="1" si="27"/>
        <v xml:space="preserve"> </v>
      </c>
      <c r="AA18" s="74" t="str">
        <f t="shared" ca="1" si="28"/>
        <v xml:space="preserve"> </v>
      </c>
      <c r="AB18" s="74" t="str">
        <f t="shared" ca="1" si="29"/>
        <v xml:space="preserve"> </v>
      </c>
      <c r="AC18" s="74" t="str">
        <f t="shared" ca="1" si="30"/>
        <v xml:space="preserve"> </v>
      </c>
      <c r="AD18" s="74" t="str">
        <f t="shared" ca="1" si="31"/>
        <v xml:space="preserve"> </v>
      </c>
      <c r="AE18" s="74" t="str">
        <f t="shared" ca="1" si="32"/>
        <v xml:space="preserve"> </v>
      </c>
      <c r="AF18" s="74" t="str">
        <f t="shared" ca="1" si="33"/>
        <v xml:space="preserve"> </v>
      </c>
      <c r="AG18" s="74" t="str">
        <f t="shared" ca="1" si="34"/>
        <v xml:space="preserve"> </v>
      </c>
      <c r="AH18" s="74" t="str">
        <f t="shared" ca="1" si="35"/>
        <v xml:space="preserve"> </v>
      </c>
      <c r="AI18" s="74" t="str">
        <f t="shared" ca="1" si="36"/>
        <v xml:space="preserve"> </v>
      </c>
      <c r="AJ18" s="74" t="str">
        <f t="shared" ca="1" si="37"/>
        <v xml:space="preserve"> </v>
      </c>
      <c r="AK18" s="74" t="str">
        <f t="shared" ca="1" si="38"/>
        <v xml:space="preserve"> </v>
      </c>
      <c r="AL18" s="74" t="str">
        <f t="shared" ca="1" si="39"/>
        <v xml:space="preserve"> </v>
      </c>
      <c r="AM18" s="74" t="str">
        <f t="shared" ca="1" si="40"/>
        <v xml:space="preserve"> </v>
      </c>
      <c r="AN18" s="74" t="str">
        <f t="shared" ca="1" si="41"/>
        <v xml:space="preserve"> </v>
      </c>
      <c r="AO18" s="74" t="str">
        <f t="shared" ca="1" si="42"/>
        <v xml:space="preserve"> </v>
      </c>
      <c r="AP18" s="74" t="str">
        <f t="shared" ca="1" si="43"/>
        <v xml:space="preserve"> </v>
      </c>
      <c r="AQ18" s="74" t="str">
        <f t="shared" ca="1" si="44"/>
        <v xml:space="preserve"> </v>
      </c>
      <c r="AR18" s="74" t="str">
        <f t="shared" ca="1" si="45"/>
        <v xml:space="preserve"> </v>
      </c>
      <c r="AS18" s="74" t="str">
        <f t="shared" ca="1" si="46"/>
        <v xml:space="preserve"> </v>
      </c>
      <c r="AT18" s="74" t="str">
        <f t="shared" ca="1" si="47"/>
        <v xml:space="preserve"> </v>
      </c>
      <c r="AU18" s="74" t="str">
        <f t="shared" ca="1" si="48"/>
        <v xml:space="preserve"> </v>
      </c>
      <c r="AV18" s="74" t="str">
        <f t="shared" ca="1" si="49"/>
        <v xml:space="preserve"> </v>
      </c>
      <c r="AW18" s="74" t="str">
        <f t="shared" ca="1" si="50"/>
        <v xml:space="preserve"> </v>
      </c>
      <c r="AX18" s="74" t="str">
        <f t="shared" ca="1" si="51"/>
        <v xml:space="preserve"> </v>
      </c>
      <c r="AY18" s="75" t="str">
        <f t="shared" ca="1" si="52"/>
        <v xml:space="preserve"> </v>
      </c>
      <c r="AZ18" s="73" t="str">
        <f t="shared" ca="1" si="53"/>
        <v xml:space="preserve"> </v>
      </c>
      <c r="BA18" s="73" t="str">
        <f t="shared" ca="1" si="54"/>
        <v xml:space="preserve"> </v>
      </c>
      <c r="BB18" s="73" t="str">
        <f t="shared" ca="1" si="55"/>
        <v xml:space="preserve"> </v>
      </c>
      <c r="BC18" s="73" t="str">
        <f ca="1">IF(COUNTIF(Conso!P16,"*Insuffisant*"),"x"," ")</f>
        <v xml:space="preserve"> </v>
      </c>
      <c r="BD18" s="73" t="str">
        <f ca="1">IF(COUNTIF(Conso!P16,"*Faible*"),"x"," ")</f>
        <v xml:space="preserve"> </v>
      </c>
      <c r="BE18" s="73" t="str">
        <f ca="1">IF(COUNTIF(Conso!P16,"*Acceptable*"),"x"," ")</f>
        <v xml:space="preserve"> </v>
      </c>
      <c r="BF18" s="73" t="str">
        <f ca="1">IF(COUNTIF(Conso!P16,"*Maîtrisé*"),"x"," ")</f>
        <v xml:space="preserve"> </v>
      </c>
      <c r="BG18" s="73" t="str">
        <f t="shared" ca="1" si="56"/>
        <v xml:space="preserve"> </v>
      </c>
      <c r="BH18" s="73" t="str">
        <f t="shared" ca="1" si="57"/>
        <v xml:space="preserve"> </v>
      </c>
      <c r="BI18" s="73" t="str">
        <f t="shared" ca="1" si="58"/>
        <v xml:space="preserve"> </v>
      </c>
      <c r="BJ18" s="73" t="str">
        <f t="shared" ca="1" si="59"/>
        <v xml:space="preserve"> </v>
      </c>
      <c r="BK18" s="73" t="str">
        <f t="shared" ca="1" si="60"/>
        <v xml:space="preserve"> </v>
      </c>
      <c r="BL18" s="73" t="str">
        <f t="shared" ca="1" si="61"/>
        <v xml:space="preserve"> </v>
      </c>
      <c r="BM18" s="73" t="str">
        <f t="shared" ca="1" si="62"/>
        <v xml:space="preserve"> </v>
      </c>
      <c r="BN18" s="73" t="str">
        <f t="shared" ca="1" si="63"/>
        <v xml:space="preserve"> </v>
      </c>
      <c r="BO18" s="73" t="str">
        <f t="shared" ca="1" si="64"/>
        <v xml:space="preserve"> </v>
      </c>
      <c r="BP18" s="73" t="str">
        <f t="shared" ca="1" si="65"/>
        <v xml:space="preserve"> </v>
      </c>
      <c r="BQ18" s="73" t="str">
        <f t="shared" ca="1" si="66"/>
        <v xml:space="preserve"> </v>
      </c>
      <c r="BR18" s="73" t="str">
        <f t="shared" ca="1" si="67"/>
        <v xml:space="preserve"> </v>
      </c>
      <c r="BS18" s="73" t="str">
        <f t="shared" ca="1" si="68"/>
        <v xml:space="preserve"> </v>
      </c>
      <c r="BT18" s="73" t="str">
        <f t="shared" ca="1" si="69"/>
        <v xml:space="preserve"> </v>
      </c>
      <c r="BU18" s="73" t="str">
        <f t="shared" ca="1" si="70"/>
        <v xml:space="preserve"> </v>
      </c>
      <c r="BV18" s="73" t="str">
        <f t="shared" ca="1" si="71"/>
        <v xml:space="preserve"> </v>
      </c>
      <c r="BW18" s="216" t="s">
        <v>909</v>
      </c>
    </row>
    <row r="19" spans="1:75" ht="43.5" customHeight="1">
      <c r="A19" s="211" t="s">
        <v>832</v>
      </c>
      <c r="B19" s="72" t="e">
        <f>#REF!</f>
        <v>#REF!</v>
      </c>
      <c r="C19" s="73" t="str">
        <f ca="1">IF(COUNTIF(Conso!O17,"*Marginal*"),"x"," ")</f>
        <v xml:space="preserve"> </v>
      </c>
      <c r="D19" s="73" t="str">
        <f ca="1">IF(COUNTIF(Conso!O17,"*Faible*"),"x"," ")</f>
        <v xml:space="preserve"> </v>
      </c>
      <c r="E19" s="73" t="str">
        <f ca="1">IF(COUNTIF(Conso!O17,"*Modéré*"),"x"," ")</f>
        <v xml:space="preserve"> </v>
      </c>
      <c r="F19" s="73" t="str">
        <f ca="1">IF(COUNTIF(Conso!O17,"*Elevé*"),"x"," ")</f>
        <v xml:space="preserve"> </v>
      </c>
      <c r="G19" s="73" t="str">
        <f ca="1">IF(COUNTIF(Conso!O17,"*Critique*"),"x"," ")</f>
        <v xml:space="preserve"> </v>
      </c>
      <c r="H19" s="73" t="str">
        <f ca="1">IF(COUNTIF(Conso!O17,"*Catastrophique*"),"x"," ")</f>
        <v xml:space="preserve"> </v>
      </c>
      <c r="I19" s="73" t="str">
        <f ca="1">IF(COUNTIF(Conso!N17,"*Exceptionnelle*"),"x"," ")</f>
        <v xml:space="preserve"> </v>
      </c>
      <c r="J19" s="73" t="str">
        <f ca="1">IF(COUNTIF(Conso!N17,"*Rare*"),"x"," ")</f>
        <v xml:space="preserve"> </v>
      </c>
      <c r="K19" s="73" t="str">
        <f ca="1">IF(COUNTIF(Conso!N17,"*Modérée*"),"x"," ")</f>
        <v xml:space="preserve"> </v>
      </c>
      <c r="L19" s="73" t="str">
        <f ca="1">IF(COUNTIF(Conso!N17,"*Elevée*"),"x"," ")</f>
        <v xml:space="preserve"> </v>
      </c>
      <c r="M19" s="73" t="str">
        <f ca="1">IF(COUNTIF(Conso!N17,"*Récurrente*"),"x"," ")</f>
        <v xml:space="preserve"> </v>
      </c>
      <c r="N19" s="73" t="str">
        <f ca="1">IF(COUNTIF(Conso!N17,"*Permanente*"),"x"," ")</f>
        <v xml:space="preserve"> </v>
      </c>
      <c r="O19" s="74" t="str">
        <f t="shared" ca="1" si="16"/>
        <v xml:space="preserve"> </v>
      </c>
      <c r="P19" s="74" t="str">
        <f t="shared" ca="1" si="17"/>
        <v xml:space="preserve"> </v>
      </c>
      <c r="Q19" s="74" t="str">
        <f t="shared" ca="1" si="18"/>
        <v xml:space="preserve"> </v>
      </c>
      <c r="R19" s="74" t="str">
        <f t="shared" ca="1" si="19"/>
        <v xml:space="preserve"> </v>
      </c>
      <c r="S19" s="74" t="str">
        <f t="shared" ca="1" si="20"/>
        <v xml:space="preserve"> </v>
      </c>
      <c r="T19" s="74" t="str">
        <f t="shared" ca="1" si="21"/>
        <v xml:space="preserve"> </v>
      </c>
      <c r="U19" s="74" t="str">
        <f t="shared" ca="1" si="22"/>
        <v xml:space="preserve"> </v>
      </c>
      <c r="V19" s="74" t="str">
        <f t="shared" ca="1" si="23"/>
        <v xml:space="preserve"> </v>
      </c>
      <c r="W19" s="74" t="str">
        <f t="shared" ca="1" si="24"/>
        <v xml:space="preserve"> </v>
      </c>
      <c r="X19" s="74" t="str">
        <f t="shared" ca="1" si="25"/>
        <v xml:space="preserve"> </v>
      </c>
      <c r="Y19" s="74" t="str">
        <f t="shared" ca="1" si="26"/>
        <v xml:space="preserve"> </v>
      </c>
      <c r="Z19" s="74" t="str">
        <f t="shared" ca="1" si="27"/>
        <v xml:space="preserve"> </v>
      </c>
      <c r="AA19" s="74" t="str">
        <f t="shared" ca="1" si="28"/>
        <v xml:space="preserve"> </v>
      </c>
      <c r="AB19" s="74" t="str">
        <f t="shared" ca="1" si="29"/>
        <v xml:space="preserve"> </v>
      </c>
      <c r="AC19" s="74" t="str">
        <f t="shared" ca="1" si="30"/>
        <v xml:space="preserve"> </v>
      </c>
      <c r="AD19" s="74" t="str">
        <f t="shared" ca="1" si="31"/>
        <v xml:space="preserve"> </v>
      </c>
      <c r="AE19" s="74" t="str">
        <f t="shared" ca="1" si="32"/>
        <v xml:space="preserve"> </v>
      </c>
      <c r="AF19" s="74" t="str">
        <f t="shared" ca="1" si="33"/>
        <v xml:space="preserve"> </v>
      </c>
      <c r="AG19" s="74" t="str">
        <f t="shared" ca="1" si="34"/>
        <v xml:space="preserve"> </v>
      </c>
      <c r="AH19" s="74" t="str">
        <f t="shared" ca="1" si="35"/>
        <v xml:space="preserve"> </v>
      </c>
      <c r="AI19" s="74" t="str">
        <f t="shared" ca="1" si="36"/>
        <v xml:space="preserve"> </v>
      </c>
      <c r="AJ19" s="74" t="str">
        <f t="shared" ca="1" si="37"/>
        <v xml:space="preserve"> </v>
      </c>
      <c r="AK19" s="74" t="str">
        <f t="shared" ca="1" si="38"/>
        <v xml:space="preserve"> </v>
      </c>
      <c r="AL19" s="74" t="str">
        <f t="shared" ca="1" si="39"/>
        <v xml:space="preserve"> </v>
      </c>
      <c r="AM19" s="74" t="str">
        <f t="shared" ca="1" si="40"/>
        <v xml:space="preserve"> </v>
      </c>
      <c r="AN19" s="74" t="str">
        <f t="shared" ca="1" si="41"/>
        <v xml:space="preserve"> </v>
      </c>
      <c r="AO19" s="74" t="str">
        <f t="shared" ca="1" si="42"/>
        <v xml:space="preserve"> </v>
      </c>
      <c r="AP19" s="74" t="str">
        <f t="shared" ca="1" si="43"/>
        <v xml:space="preserve"> </v>
      </c>
      <c r="AQ19" s="74" t="str">
        <f t="shared" ca="1" si="44"/>
        <v xml:space="preserve"> </v>
      </c>
      <c r="AR19" s="74" t="str">
        <f t="shared" ca="1" si="45"/>
        <v xml:space="preserve"> </v>
      </c>
      <c r="AS19" s="74" t="str">
        <f t="shared" ca="1" si="46"/>
        <v xml:space="preserve"> </v>
      </c>
      <c r="AT19" s="74" t="str">
        <f t="shared" ca="1" si="47"/>
        <v xml:space="preserve"> </v>
      </c>
      <c r="AU19" s="74" t="str">
        <f t="shared" ca="1" si="48"/>
        <v xml:space="preserve"> </v>
      </c>
      <c r="AV19" s="74" t="str">
        <f t="shared" ca="1" si="49"/>
        <v xml:space="preserve"> </v>
      </c>
      <c r="AW19" s="74" t="str">
        <f t="shared" ca="1" si="50"/>
        <v xml:space="preserve"> </v>
      </c>
      <c r="AX19" s="74" t="str">
        <f t="shared" ca="1" si="51"/>
        <v xml:space="preserve"> </v>
      </c>
      <c r="AY19" s="75" t="str">
        <f t="shared" ca="1" si="52"/>
        <v xml:space="preserve"> </v>
      </c>
      <c r="AZ19" s="73" t="str">
        <f t="shared" ca="1" si="53"/>
        <v xml:space="preserve"> </v>
      </c>
      <c r="BA19" s="73" t="str">
        <f t="shared" ca="1" si="54"/>
        <v xml:space="preserve"> </v>
      </c>
      <c r="BB19" s="73" t="str">
        <f t="shared" ca="1" si="55"/>
        <v xml:space="preserve"> </v>
      </c>
      <c r="BC19" s="73" t="str">
        <f ca="1">IF(COUNTIF(Conso!P17,"*Insuffisant*"),"x"," ")</f>
        <v xml:space="preserve"> </v>
      </c>
      <c r="BD19" s="73" t="str">
        <f ca="1">IF(COUNTIF(Conso!P17,"*Faible*"),"x"," ")</f>
        <v xml:space="preserve"> </v>
      </c>
      <c r="BE19" s="73" t="str">
        <f ca="1">IF(COUNTIF(Conso!P17,"*Acceptable*"),"x"," ")</f>
        <v xml:space="preserve"> </v>
      </c>
      <c r="BF19" s="73" t="str">
        <f ca="1">IF(COUNTIF(Conso!P17,"*Maîtrisé*"),"x"," ")</f>
        <v xml:space="preserve"> </v>
      </c>
      <c r="BG19" s="73" t="str">
        <f t="shared" ca="1" si="56"/>
        <v xml:space="preserve"> </v>
      </c>
      <c r="BH19" s="73" t="str">
        <f t="shared" ca="1" si="57"/>
        <v xml:space="preserve"> </v>
      </c>
      <c r="BI19" s="73" t="str">
        <f t="shared" ca="1" si="58"/>
        <v xml:space="preserve"> </v>
      </c>
      <c r="BJ19" s="73" t="str">
        <f t="shared" ca="1" si="59"/>
        <v xml:space="preserve"> </v>
      </c>
      <c r="BK19" s="73" t="str">
        <f t="shared" ca="1" si="60"/>
        <v xml:space="preserve"> </v>
      </c>
      <c r="BL19" s="73" t="str">
        <f t="shared" ca="1" si="61"/>
        <v xml:space="preserve"> </v>
      </c>
      <c r="BM19" s="73" t="str">
        <f t="shared" ca="1" si="62"/>
        <v xml:space="preserve"> </v>
      </c>
      <c r="BN19" s="73" t="str">
        <f t="shared" ca="1" si="63"/>
        <v xml:space="preserve"> </v>
      </c>
      <c r="BO19" s="73" t="str">
        <f t="shared" ca="1" si="64"/>
        <v xml:space="preserve"> </v>
      </c>
      <c r="BP19" s="73" t="str">
        <f t="shared" ca="1" si="65"/>
        <v xml:space="preserve"> </v>
      </c>
      <c r="BQ19" s="73" t="str">
        <f t="shared" ca="1" si="66"/>
        <v xml:space="preserve"> </v>
      </c>
      <c r="BR19" s="73" t="str">
        <f t="shared" ca="1" si="67"/>
        <v xml:space="preserve"> </v>
      </c>
      <c r="BS19" s="73" t="str">
        <f t="shared" ca="1" si="68"/>
        <v xml:space="preserve"> </v>
      </c>
      <c r="BT19" s="73" t="str">
        <f t="shared" ca="1" si="69"/>
        <v xml:space="preserve"> </v>
      </c>
      <c r="BU19" s="73" t="str">
        <f t="shared" ca="1" si="70"/>
        <v xml:space="preserve"> </v>
      </c>
      <c r="BV19" s="73" t="str">
        <f t="shared" ca="1" si="71"/>
        <v xml:space="preserve"> </v>
      </c>
      <c r="BW19" s="216" t="s">
        <v>910</v>
      </c>
    </row>
    <row r="20" spans="1:75" ht="43.5" customHeight="1">
      <c r="A20" s="211" t="s">
        <v>833</v>
      </c>
      <c r="B20" s="72" t="e">
        <f>#REF!</f>
        <v>#REF!</v>
      </c>
      <c r="C20" s="73" t="str">
        <f ca="1">IF(COUNTIF(Conso!O18,"*Marginal*"),"x"," ")</f>
        <v xml:space="preserve"> </v>
      </c>
      <c r="D20" s="73" t="str">
        <f ca="1">IF(COUNTIF(Conso!O18,"*Faible*"),"x"," ")</f>
        <v xml:space="preserve"> </v>
      </c>
      <c r="E20" s="73" t="str">
        <f ca="1">IF(COUNTIF(Conso!O18,"*Modéré*"),"x"," ")</f>
        <v xml:space="preserve"> </v>
      </c>
      <c r="F20" s="73" t="str">
        <f ca="1">IF(COUNTIF(Conso!O18,"*Elevé*"),"x"," ")</f>
        <v xml:space="preserve"> </v>
      </c>
      <c r="G20" s="73" t="str">
        <f ca="1">IF(COUNTIF(Conso!O18,"*Critique*"),"x"," ")</f>
        <v xml:space="preserve"> </v>
      </c>
      <c r="H20" s="73" t="str">
        <f ca="1">IF(COUNTIF(Conso!O18,"*Catastrophique*"),"x"," ")</f>
        <v xml:space="preserve"> </v>
      </c>
      <c r="I20" s="73" t="str">
        <f ca="1">IF(COUNTIF(Conso!N18,"*Exceptionnelle*"),"x"," ")</f>
        <v xml:space="preserve"> </v>
      </c>
      <c r="J20" s="73" t="str">
        <f ca="1">IF(COUNTIF(Conso!N18,"*Rare*"),"x"," ")</f>
        <v xml:space="preserve"> </v>
      </c>
      <c r="K20" s="73" t="str">
        <f ca="1">IF(COUNTIF(Conso!N18,"*Modérée*"),"x"," ")</f>
        <v xml:space="preserve"> </v>
      </c>
      <c r="L20" s="73" t="str">
        <f ca="1">IF(COUNTIF(Conso!N18,"*Elevée*"),"x"," ")</f>
        <v xml:space="preserve"> </v>
      </c>
      <c r="M20" s="73" t="str">
        <f ca="1">IF(COUNTIF(Conso!N18,"*Récurrente*"),"x"," ")</f>
        <v xml:space="preserve"> </v>
      </c>
      <c r="N20" s="73" t="str">
        <f ca="1">IF(COUNTIF(Conso!N18,"*Permanente*"),"x"," ")</f>
        <v xml:space="preserve"> </v>
      </c>
      <c r="O20" s="74" t="str">
        <f t="shared" ca="1" si="16"/>
        <v xml:space="preserve"> </v>
      </c>
      <c r="P20" s="74" t="str">
        <f t="shared" ca="1" si="17"/>
        <v xml:space="preserve"> </v>
      </c>
      <c r="Q20" s="74" t="str">
        <f t="shared" ca="1" si="18"/>
        <v xml:space="preserve"> </v>
      </c>
      <c r="R20" s="74" t="str">
        <f t="shared" ca="1" si="19"/>
        <v xml:space="preserve"> </v>
      </c>
      <c r="S20" s="74" t="str">
        <f t="shared" ca="1" si="20"/>
        <v xml:space="preserve"> </v>
      </c>
      <c r="T20" s="74" t="str">
        <f t="shared" ca="1" si="21"/>
        <v xml:space="preserve"> </v>
      </c>
      <c r="U20" s="74" t="str">
        <f t="shared" ca="1" si="22"/>
        <v xml:space="preserve"> </v>
      </c>
      <c r="V20" s="74" t="str">
        <f t="shared" ca="1" si="23"/>
        <v xml:space="preserve"> </v>
      </c>
      <c r="W20" s="74" t="str">
        <f t="shared" ca="1" si="24"/>
        <v xml:space="preserve"> </v>
      </c>
      <c r="X20" s="74" t="str">
        <f t="shared" ca="1" si="25"/>
        <v xml:space="preserve"> </v>
      </c>
      <c r="Y20" s="74" t="str">
        <f t="shared" ca="1" si="26"/>
        <v xml:space="preserve"> </v>
      </c>
      <c r="Z20" s="74" t="str">
        <f t="shared" ca="1" si="27"/>
        <v xml:space="preserve"> </v>
      </c>
      <c r="AA20" s="74" t="str">
        <f t="shared" ca="1" si="28"/>
        <v xml:space="preserve"> </v>
      </c>
      <c r="AB20" s="74" t="str">
        <f t="shared" ca="1" si="29"/>
        <v xml:space="preserve"> </v>
      </c>
      <c r="AC20" s="74" t="str">
        <f t="shared" ca="1" si="30"/>
        <v xml:space="preserve"> </v>
      </c>
      <c r="AD20" s="74" t="str">
        <f t="shared" ca="1" si="31"/>
        <v xml:space="preserve"> </v>
      </c>
      <c r="AE20" s="74" t="str">
        <f t="shared" ca="1" si="32"/>
        <v xml:space="preserve"> </v>
      </c>
      <c r="AF20" s="74" t="str">
        <f t="shared" ca="1" si="33"/>
        <v xml:space="preserve"> </v>
      </c>
      <c r="AG20" s="74" t="str">
        <f t="shared" ca="1" si="34"/>
        <v xml:space="preserve"> </v>
      </c>
      <c r="AH20" s="74" t="str">
        <f t="shared" ca="1" si="35"/>
        <v xml:space="preserve"> </v>
      </c>
      <c r="AI20" s="74" t="str">
        <f t="shared" ca="1" si="36"/>
        <v xml:space="preserve"> </v>
      </c>
      <c r="AJ20" s="74" t="str">
        <f t="shared" ca="1" si="37"/>
        <v xml:space="preserve"> </v>
      </c>
      <c r="AK20" s="74" t="str">
        <f t="shared" ca="1" si="38"/>
        <v xml:space="preserve"> </v>
      </c>
      <c r="AL20" s="74" t="str">
        <f t="shared" ca="1" si="39"/>
        <v xml:space="preserve"> </v>
      </c>
      <c r="AM20" s="74" t="str">
        <f t="shared" ca="1" si="40"/>
        <v xml:space="preserve"> </v>
      </c>
      <c r="AN20" s="74" t="str">
        <f t="shared" ca="1" si="41"/>
        <v xml:space="preserve"> </v>
      </c>
      <c r="AO20" s="74" t="str">
        <f t="shared" ca="1" si="42"/>
        <v xml:space="preserve"> </v>
      </c>
      <c r="AP20" s="74" t="str">
        <f t="shared" ca="1" si="43"/>
        <v xml:space="preserve"> </v>
      </c>
      <c r="AQ20" s="74" t="str">
        <f t="shared" ca="1" si="44"/>
        <v xml:space="preserve"> </v>
      </c>
      <c r="AR20" s="74" t="str">
        <f t="shared" ca="1" si="45"/>
        <v xml:space="preserve"> </v>
      </c>
      <c r="AS20" s="74" t="str">
        <f t="shared" ca="1" si="46"/>
        <v xml:space="preserve"> </v>
      </c>
      <c r="AT20" s="74" t="str">
        <f t="shared" ca="1" si="47"/>
        <v xml:space="preserve"> </v>
      </c>
      <c r="AU20" s="74" t="str">
        <f t="shared" ca="1" si="48"/>
        <v xml:space="preserve"> </v>
      </c>
      <c r="AV20" s="74" t="str">
        <f t="shared" ca="1" si="49"/>
        <v xml:space="preserve"> </v>
      </c>
      <c r="AW20" s="74" t="str">
        <f t="shared" ca="1" si="50"/>
        <v xml:space="preserve"> </v>
      </c>
      <c r="AX20" s="74" t="str">
        <f t="shared" ca="1" si="51"/>
        <v xml:space="preserve"> </v>
      </c>
      <c r="AY20" s="75" t="str">
        <f t="shared" ca="1" si="52"/>
        <v xml:space="preserve"> </v>
      </c>
      <c r="AZ20" s="73" t="str">
        <f t="shared" ca="1" si="53"/>
        <v xml:space="preserve"> </v>
      </c>
      <c r="BA20" s="73" t="str">
        <f t="shared" ca="1" si="54"/>
        <v xml:space="preserve"> </v>
      </c>
      <c r="BB20" s="73" t="str">
        <f t="shared" ca="1" si="55"/>
        <v xml:space="preserve"> </v>
      </c>
      <c r="BC20" s="73" t="str">
        <f ca="1">IF(COUNTIF(Conso!P18,"*Insuffisant*"),"x"," ")</f>
        <v xml:space="preserve"> </v>
      </c>
      <c r="BD20" s="73" t="str">
        <f ca="1">IF(COUNTIF(Conso!P18,"*Faible*"),"x"," ")</f>
        <v xml:space="preserve"> </v>
      </c>
      <c r="BE20" s="73" t="str">
        <f ca="1">IF(COUNTIF(Conso!P18,"*Acceptable*"),"x"," ")</f>
        <v xml:space="preserve"> </v>
      </c>
      <c r="BF20" s="73" t="str">
        <f ca="1">IF(COUNTIF(Conso!P18,"*Maîtrisé*"),"x"," ")</f>
        <v xml:space="preserve"> </v>
      </c>
      <c r="BG20" s="73" t="str">
        <f t="shared" ca="1" si="56"/>
        <v xml:space="preserve"> </v>
      </c>
      <c r="BH20" s="73" t="str">
        <f t="shared" ca="1" si="57"/>
        <v xml:space="preserve"> </v>
      </c>
      <c r="BI20" s="73" t="str">
        <f t="shared" ca="1" si="58"/>
        <v xml:space="preserve"> </v>
      </c>
      <c r="BJ20" s="73" t="str">
        <f t="shared" ca="1" si="59"/>
        <v xml:space="preserve"> </v>
      </c>
      <c r="BK20" s="73" t="str">
        <f t="shared" ca="1" si="60"/>
        <v xml:space="preserve"> </v>
      </c>
      <c r="BL20" s="73" t="str">
        <f t="shared" ca="1" si="61"/>
        <v xml:space="preserve"> </v>
      </c>
      <c r="BM20" s="73" t="str">
        <f t="shared" ca="1" si="62"/>
        <v xml:space="preserve"> </v>
      </c>
      <c r="BN20" s="73" t="str">
        <f t="shared" ca="1" si="63"/>
        <v xml:space="preserve"> </v>
      </c>
      <c r="BO20" s="73" t="str">
        <f t="shared" ca="1" si="64"/>
        <v xml:space="preserve"> </v>
      </c>
      <c r="BP20" s="73" t="str">
        <f t="shared" ca="1" si="65"/>
        <v xml:space="preserve"> </v>
      </c>
      <c r="BQ20" s="73" t="str">
        <f t="shared" ca="1" si="66"/>
        <v xml:space="preserve"> </v>
      </c>
      <c r="BR20" s="73" t="str">
        <f t="shared" ca="1" si="67"/>
        <v xml:space="preserve"> </v>
      </c>
      <c r="BS20" s="73" t="str">
        <f t="shared" ca="1" si="68"/>
        <v xml:space="preserve"> </v>
      </c>
      <c r="BT20" s="73" t="str">
        <f t="shared" ca="1" si="69"/>
        <v xml:space="preserve"> </v>
      </c>
      <c r="BU20" s="73" t="str">
        <f t="shared" ca="1" si="70"/>
        <v xml:space="preserve"> </v>
      </c>
      <c r="BV20" s="73" t="str">
        <f t="shared" ca="1" si="71"/>
        <v xml:space="preserve"> </v>
      </c>
      <c r="BW20" s="216" t="s">
        <v>911</v>
      </c>
    </row>
    <row r="21" spans="1:75" ht="43.5" customHeight="1">
      <c r="A21" s="211" t="s">
        <v>834</v>
      </c>
      <c r="B21" s="72" t="e">
        <f>#REF!</f>
        <v>#REF!</v>
      </c>
      <c r="C21" s="73" t="str">
        <f ca="1">IF(COUNTIF(Conso!O19,"*Marginal*"),"x"," ")</f>
        <v xml:space="preserve"> </v>
      </c>
      <c r="D21" s="73" t="str">
        <f ca="1">IF(COUNTIF(Conso!O19,"*Faible*"),"x"," ")</f>
        <v xml:space="preserve"> </v>
      </c>
      <c r="E21" s="73" t="str">
        <f ca="1">IF(COUNTIF(Conso!O19,"*Modéré*"),"x"," ")</f>
        <v xml:space="preserve"> </v>
      </c>
      <c r="F21" s="73" t="str">
        <f ca="1">IF(COUNTIF(Conso!O19,"*Elevé*"),"x"," ")</f>
        <v xml:space="preserve"> </v>
      </c>
      <c r="G21" s="73" t="str">
        <f ca="1">IF(COUNTIF(Conso!O19,"*Critique*"),"x"," ")</f>
        <v xml:space="preserve"> </v>
      </c>
      <c r="H21" s="73" t="str">
        <f ca="1">IF(COUNTIF(Conso!O19,"*Catastrophique*"),"x"," ")</f>
        <v xml:space="preserve"> </v>
      </c>
      <c r="I21" s="73" t="str">
        <f ca="1">IF(COUNTIF(Conso!N19,"*Exceptionnelle*"),"x"," ")</f>
        <v xml:space="preserve"> </v>
      </c>
      <c r="J21" s="73" t="str">
        <f ca="1">IF(COUNTIF(Conso!N19,"*Rare*"),"x"," ")</f>
        <v xml:space="preserve"> </v>
      </c>
      <c r="K21" s="73" t="str">
        <f ca="1">IF(COUNTIF(Conso!N19,"*Modérée*"),"x"," ")</f>
        <v xml:space="preserve"> </v>
      </c>
      <c r="L21" s="73" t="str">
        <f ca="1">IF(COUNTIF(Conso!N19,"*Elevée*"),"x"," ")</f>
        <v xml:space="preserve"> </v>
      </c>
      <c r="M21" s="73" t="str">
        <f ca="1">IF(COUNTIF(Conso!N19,"*Récurrente*"),"x"," ")</f>
        <v xml:space="preserve"> </v>
      </c>
      <c r="N21" s="73" t="str">
        <f ca="1">IF(COUNTIF(Conso!N19,"*Permanente*"),"x"," ")</f>
        <v xml:space="preserve"> </v>
      </c>
      <c r="O21" s="74" t="str">
        <f t="shared" ca="1" si="16"/>
        <v xml:space="preserve"> </v>
      </c>
      <c r="P21" s="74" t="str">
        <f t="shared" ca="1" si="17"/>
        <v xml:space="preserve"> </v>
      </c>
      <c r="Q21" s="74" t="str">
        <f t="shared" ca="1" si="18"/>
        <v xml:space="preserve"> </v>
      </c>
      <c r="R21" s="74" t="str">
        <f t="shared" ca="1" si="19"/>
        <v xml:space="preserve"> </v>
      </c>
      <c r="S21" s="74" t="str">
        <f t="shared" ca="1" si="20"/>
        <v xml:space="preserve"> </v>
      </c>
      <c r="T21" s="74" t="str">
        <f t="shared" ca="1" si="21"/>
        <v xml:space="preserve"> </v>
      </c>
      <c r="U21" s="74" t="str">
        <f t="shared" ca="1" si="22"/>
        <v xml:space="preserve"> </v>
      </c>
      <c r="V21" s="74" t="str">
        <f t="shared" ca="1" si="23"/>
        <v xml:space="preserve"> </v>
      </c>
      <c r="W21" s="74" t="str">
        <f t="shared" ca="1" si="24"/>
        <v xml:space="preserve"> </v>
      </c>
      <c r="X21" s="74" t="str">
        <f t="shared" ca="1" si="25"/>
        <v xml:space="preserve"> </v>
      </c>
      <c r="Y21" s="74" t="str">
        <f t="shared" ca="1" si="26"/>
        <v xml:space="preserve"> </v>
      </c>
      <c r="Z21" s="74" t="str">
        <f t="shared" ca="1" si="27"/>
        <v xml:space="preserve"> </v>
      </c>
      <c r="AA21" s="74" t="str">
        <f t="shared" ca="1" si="28"/>
        <v xml:space="preserve"> </v>
      </c>
      <c r="AB21" s="74" t="str">
        <f t="shared" ca="1" si="29"/>
        <v xml:space="preserve"> </v>
      </c>
      <c r="AC21" s="74" t="str">
        <f t="shared" ca="1" si="30"/>
        <v xml:space="preserve"> </v>
      </c>
      <c r="AD21" s="74" t="str">
        <f t="shared" ca="1" si="31"/>
        <v xml:space="preserve"> </v>
      </c>
      <c r="AE21" s="74" t="str">
        <f t="shared" ca="1" si="32"/>
        <v xml:space="preserve"> </v>
      </c>
      <c r="AF21" s="74" t="str">
        <f t="shared" ca="1" si="33"/>
        <v xml:space="preserve"> </v>
      </c>
      <c r="AG21" s="74" t="str">
        <f t="shared" ca="1" si="34"/>
        <v xml:space="preserve"> </v>
      </c>
      <c r="AH21" s="74" t="str">
        <f t="shared" ca="1" si="35"/>
        <v xml:space="preserve"> </v>
      </c>
      <c r="AI21" s="74" t="str">
        <f t="shared" ca="1" si="36"/>
        <v xml:space="preserve"> </v>
      </c>
      <c r="AJ21" s="74" t="str">
        <f t="shared" ca="1" si="37"/>
        <v xml:space="preserve"> </v>
      </c>
      <c r="AK21" s="74" t="str">
        <f t="shared" ca="1" si="38"/>
        <v xml:space="preserve"> </v>
      </c>
      <c r="AL21" s="74" t="str">
        <f t="shared" ca="1" si="39"/>
        <v xml:space="preserve"> </v>
      </c>
      <c r="AM21" s="74" t="str">
        <f t="shared" ca="1" si="40"/>
        <v xml:space="preserve"> </v>
      </c>
      <c r="AN21" s="74" t="str">
        <f t="shared" ca="1" si="41"/>
        <v xml:space="preserve"> </v>
      </c>
      <c r="AO21" s="74" t="str">
        <f t="shared" ca="1" si="42"/>
        <v xml:space="preserve"> </v>
      </c>
      <c r="AP21" s="74" t="str">
        <f t="shared" ca="1" si="43"/>
        <v xml:space="preserve"> </v>
      </c>
      <c r="AQ21" s="74" t="str">
        <f t="shared" ca="1" si="44"/>
        <v xml:space="preserve"> </v>
      </c>
      <c r="AR21" s="74" t="str">
        <f t="shared" ca="1" si="45"/>
        <v xml:space="preserve"> </v>
      </c>
      <c r="AS21" s="74" t="str">
        <f t="shared" ca="1" si="46"/>
        <v xml:space="preserve"> </v>
      </c>
      <c r="AT21" s="74" t="str">
        <f t="shared" ca="1" si="47"/>
        <v xml:space="preserve"> </v>
      </c>
      <c r="AU21" s="74" t="str">
        <f t="shared" ca="1" si="48"/>
        <v xml:space="preserve"> </v>
      </c>
      <c r="AV21" s="74" t="str">
        <f t="shared" ca="1" si="49"/>
        <v xml:space="preserve"> </v>
      </c>
      <c r="AW21" s="74" t="str">
        <f t="shared" ca="1" si="50"/>
        <v xml:space="preserve"> </v>
      </c>
      <c r="AX21" s="74" t="str">
        <f t="shared" ca="1" si="51"/>
        <v xml:space="preserve"> </v>
      </c>
      <c r="AY21" s="75" t="str">
        <f t="shared" ca="1" si="52"/>
        <v xml:space="preserve"> </v>
      </c>
      <c r="AZ21" s="73" t="str">
        <f t="shared" ca="1" si="53"/>
        <v xml:space="preserve"> </v>
      </c>
      <c r="BA21" s="73" t="str">
        <f t="shared" ca="1" si="54"/>
        <v xml:space="preserve"> </v>
      </c>
      <c r="BB21" s="73" t="str">
        <f t="shared" ca="1" si="55"/>
        <v xml:space="preserve"> </v>
      </c>
      <c r="BC21" s="73" t="str">
        <f ca="1">IF(COUNTIF(Conso!P19,"*Insuffisant*"),"x"," ")</f>
        <v xml:space="preserve"> </v>
      </c>
      <c r="BD21" s="73" t="str">
        <f ca="1">IF(COUNTIF(Conso!P19,"*Faible*"),"x"," ")</f>
        <v xml:space="preserve"> </v>
      </c>
      <c r="BE21" s="73" t="str">
        <f ca="1">IF(COUNTIF(Conso!P19,"*Acceptable*"),"x"," ")</f>
        <v xml:space="preserve"> </v>
      </c>
      <c r="BF21" s="73" t="str">
        <f ca="1">IF(COUNTIF(Conso!P19,"*Maîtrisé*"),"x"," ")</f>
        <v xml:space="preserve"> </v>
      </c>
      <c r="BG21" s="73" t="str">
        <f t="shared" ca="1" si="56"/>
        <v xml:space="preserve"> </v>
      </c>
      <c r="BH21" s="73" t="str">
        <f t="shared" ca="1" si="57"/>
        <v xml:space="preserve"> </v>
      </c>
      <c r="BI21" s="73" t="str">
        <f t="shared" ca="1" si="58"/>
        <v xml:space="preserve"> </v>
      </c>
      <c r="BJ21" s="73" t="str">
        <f t="shared" ca="1" si="59"/>
        <v xml:space="preserve"> </v>
      </c>
      <c r="BK21" s="73" t="str">
        <f t="shared" ca="1" si="60"/>
        <v xml:space="preserve"> </v>
      </c>
      <c r="BL21" s="73" t="str">
        <f t="shared" ca="1" si="61"/>
        <v xml:space="preserve"> </v>
      </c>
      <c r="BM21" s="73" t="str">
        <f t="shared" ca="1" si="62"/>
        <v xml:space="preserve"> </v>
      </c>
      <c r="BN21" s="73" t="str">
        <f t="shared" ca="1" si="63"/>
        <v xml:space="preserve"> </v>
      </c>
      <c r="BO21" s="73" t="str">
        <f t="shared" ca="1" si="64"/>
        <v xml:space="preserve"> </v>
      </c>
      <c r="BP21" s="73" t="str">
        <f t="shared" ca="1" si="65"/>
        <v xml:space="preserve"> </v>
      </c>
      <c r="BQ21" s="73" t="str">
        <f t="shared" ca="1" si="66"/>
        <v xml:space="preserve"> </v>
      </c>
      <c r="BR21" s="73" t="str">
        <f t="shared" ca="1" si="67"/>
        <v xml:space="preserve"> </v>
      </c>
      <c r="BS21" s="73" t="str">
        <f t="shared" ca="1" si="68"/>
        <v xml:space="preserve"> </v>
      </c>
      <c r="BT21" s="73" t="str">
        <f t="shared" ca="1" si="69"/>
        <v xml:space="preserve"> </v>
      </c>
      <c r="BU21" s="73" t="str">
        <f t="shared" ca="1" si="70"/>
        <v xml:space="preserve"> </v>
      </c>
      <c r="BV21" s="73" t="str">
        <f t="shared" ca="1" si="71"/>
        <v xml:space="preserve"> </v>
      </c>
      <c r="BW21" s="216" t="s">
        <v>912</v>
      </c>
    </row>
    <row r="22" spans="1:75" ht="43.5" customHeight="1">
      <c r="A22" s="211" t="s">
        <v>835</v>
      </c>
      <c r="B22" s="72" t="e">
        <f>#REF!</f>
        <v>#REF!</v>
      </c>
      <c r="C22" s="73" t="str">
        <f ca="1">IF(COUNTIF(Conso!O20,"*Marginal*"),"x"," ")</f>
        <v xml:space="preserve"> </v>
      </c>
      <c r="D22" s="73" t="str">
        <f ca="1">IF(COUNTIF(Conso!O20,"*Faible*"),"x"," ")</f>
        <v xml:space="preserve"> </v>
      </c>
      <c r="E22" s="73" t="str">
        <f ca="1">IF(COUNTIF(Conso!O20,"*Modéré*"),"x"," ")</f>
        <v xml:space="preserve"> </v>
      </c>
      <c r="F22" s="73" t="str">
        <f ca="1">IF(COUNTIF(Conso!O20,"*Elevé*"),"x"," ")</f>
        <v xml:space="preserve"> </v>
      </c>
      <c r="G22" s="73" t="str">
        <f ca="1">IF(COUNTIF(Conso!O20,"*Critique*"),"x"," ")</f>
        <v xml:space="preserve"> </v>
      </c>
      <c r="H22" s="73" t="str">
        <f ca="1">IF(COUNTIF(Conso!O20,"*Catastrophique*"),"x"," ")</f>
        <v xml:space="preserve"> </v>
      </c>
      <c r="I22" s="73" t="str">
        <f ca="1">IF(COUNTIF(Conso!N20,"*Exceptionnelle*"),"x"," ")</f>
        <v xml:space="preserve"> </v>
      </c>
      <c r="J22" s="73" t="str">
        <f ca="1">IF(COUNTIF(Conso!N20,"*Rare*"),"x"," ")</f>
        <v xml:space="preserve"> </v>
      </c>
      <c r="K22" s="73" t="str">
        <f ca="1">IF(COUNTIF(Conso!N20,"*Modérée*"),"x"," ")</f>
        <v xml:space="preserve"> </v>
      </c>
      <c r="L22" s="73" t="str">
        <f ca="1">IF(COUNTIF(Conso!N20,"*Elevée*"),"x"," ")</f>
        <v xml:space="preserve"> </v>
      </c>
      <c r="M22" s="73" t="str">
        <f ca="1">IF(COUNTIF(Conso!N20,"*Récurrente*"),"x"," ")</f>
        <v xml:space="preserve"> </v>
      </c>
      <c r="N22" s="73" t="str">
        <f ca="1">IF(COUNTIF(Conso!N20,"*Permanente*"),"x"," ")</f>
        <v xml:space="preserve"> </v>
      </c>
      <c r="O22" s="74" t="str">
        <f t="shared" ca="1" si="16"/>
        <v xml:space="preserve"> </v>
      </c>
      <c r="P22" s="74" t="str">
        <f t="shared" ca="1" si="17"/>
        <v xml:space="preserve"> </v>
      </c>
      <c r="Q22" s="74" t="str">
        <f t="shared" ca="1" si="18"/>
        <v xml:space="preserve"> </v>
      </c>
      <c r="R22" s="74" t="str">
        <f t="shared" ca="1" si="19"/>
        <v xml:space="preserve"> </v>
      </c>
      <c r="S22" s="74" t="str">
        <f t="shared" ca="1" si="20"/>
        <v xml:space="preserve"> </v>
      </c>
      <c r="T22" s="74" t="str">
        <f t="shared" ca="1" si="21"/>
        <v xml:space="preserve"> </v>
      </c>
      <c r="U22" s="74" t="str">
        <f t="shared" ca="1" si="22"/>
        <v xml:space="preserve"> </v>
      </c>
      <c r="V22" s="74" t="str">
        <f t="shared" ca="1" si="23"/>
        <v xml:space="preserve"> </v>
      </c>
      <c r="W22" s="74" t="str">
        <f t="shared" ca="1" si="24"/>
        <v xml:space="preserve"> </v>
      </c>
      <c r="X22" s="74" t="str">
        <f t="shared" ca="1" si="25"/>
        <v xml:space="preserve"> </v>
      </c>
      <c r="Y22" s="74" t="str">
        <f t="shared" ca="1" si="26"/>
        <v xml:space="preserve"> </v>
      </c>
      <c r="Z22" s="74" t="str">
        <f t="shared" ca="1" si="27"/>
        <v xml:space="preserve"> </v>
      </c>
      <c r="AA22" s="74" t="str">
        <f t="shared" ca="1" si="28"/>
        <v xml:space="preserve"> </v>
      </c>
      <c r="AB22" s="74" t="str">
        <f t="shared" ca="1" si="29"/>
        <v xml:space="preserve"> </v>
      </c>
      <c r="AC22" s="74" t="str">
        <f t="shared" ca="1" si="30"/>
        <v xml:space="preserve"> </v>
      </c>
      <c r="AD22" s="74" t="str">
        <f t="shared" ca="1" si="31"/>
        <v xml:space="preserve"> </v>
      </c>
      <c r="AE22" s="74" t="str">
        <f t="shared" ca="1" si="32"/>
        <v xml:space="preserve"> </v>
      </c>
      <c r="AF22" s="74" t="str">
        <f t="shared" ca="1" si="33"/>
        <v xml:space="preserve"> </v>
      </c>
      <c r="AG22" s="74" t="str">
        <f t="shared" ca="1" si="34"/>
        <v xml:space="preserve"> </v>
      </c>
      <c r="AH22" s="74" t="str">
        <f t="shared" ca="1" si="35"/>
        <v xml:space="preserve"> </v>
      </c>
      <c r="AI22" s="74" t="str">
        <f t="shared" ca="1" si="36"/>
        <v xml:space="preserve"> </v>
      </c>
      <c r="AJ22" s="74" t="str">
        <f t="shared" ca="1" si="37"/>
        <v xml:space="preserve"> </v>
      </c>
      <c r="AK22" s="74" t="str">
        <f t="shared" ca="1" si="38"/>
        <v xml:space="preserve"> </v>
      </c>
      <c r="AL22" s="74" t="str">
        <f t="shared" ca="1" si="39"/>
        <v xml:space="preserve"> </v>
      </c>
      <c r="AM22" s="74" t="str">
        <f t="shared" ca="1" si="40"/>
        <v xml:space="preserve"> </v>
      </c>
      <c r="AN22" s="74" t="str">
        <f t="shared" ca="1" si="41"/>
        <v xml:space="preserve"> </v>
      </c>
      <c r="AO22" s="74" t="str">
        <f t="shared" ca="1" si="42"/>
        <v xml:space="preserve"> </v>
      </c>
      <c r="AP22" s="74" t="str">
        <f t="shared" ca="1" si="43"/>
        <v xml:space="preserve"> </v>
      </c>
      <c r="AQ22" s="74" t="str">
        <f t="shared" ca="1" si="44"/>
        <v xml:space="preserve"> </v>
      </c>
      <c r="AR22" s="74" t="str">
        <f t="shared" ca="1" si="45"/>
        <v xml:space="preserve"> </v>
      </c>
      <c r="AS22" s="74" t="str">
        <f t="shared" ca="1" si="46"/>
        <v xml:space="preserve"> </v>
      </c>
      <c r="AT22" s="74" t="str">
        <f t="shared" ca="1" si="47"/>
        <v xml:space="preserve"> </v>
      </c>
      <c r="AU22" s="74" t="str">
        <f t="shared" ca="1" si="48"/>
        <v xml:space="preserve"> </v>
      </c>
      <c r="AV22" s="74" t="str">
        <f t="shared" ca="1" si="49"/>
        <v xml:space="preserve"> </v>
      </c>
      <c r="AW22" s="74" t="str">
        <f t="shared" ca="1" si="50"/>
        <v xml:space="preserve"> </v>
      </c>
      <c r="AX22" s="74" t="str">
        <f t="shared" ca="1" si="51"/>
        <v xml:space="preserve"> </v>
      </c>
      <c r="AY22" s="75" t="str">
        <f t="shared" ca="1" si="52"/>
        <v xml:space="preserve"> </v>
      </c>
      <c r="AZ22" s="73" t="str">
        <f t="shared" ca="1" si="53"/>
        <v xml:space="preserve"> </v>
      </c>
      <c r="BA22" s="73" t="str">
        <f t="shared" ca="1" si="54"/>
        <v xml:space="preserve"> </v>
      </c>
      <c r="BB22" s="73" t="str">
        <f t="shared" ca="1" si="55"/>
        <v xml:space="preserve"> </v>
      </c>
      <c r="BC22" s="73" t="str">
        <f ca="1">IF(COUNTIF(Conso!P20,"*Insuffisant*"),"x"," ")</f>
        <v xml:space="preserve"> </v>
      </c>
      <c r="BD22" s="73" t="str">
        <f ca="1">IF(COUNTIF(Conso!P20,"*Faible*"),"x"," ")</f>
        <v xml:space="preserve"> </v>
      </c>
      <c r="BE22" s="73" t="str">
        <f ca="1">IF(COUNTIF(Conso!P20,"*Acceptable*"),"x"," ")</f>
        <v xml:space="preserve"> </v>
      </c>
      <c r="BF22" s="73" t="str">
        <f ca="1">IF(COUNTIF(Conso!P20,"*Maîtrisé*"),"x"," ")</f>
        <v xml:space="preserve"> </v>
      </c>
      <c r="BG22" s="73" t="str">
        <f t="shared" ca="1" si="56"/>
        <v xml:space="preserve"> </v>
      </c>
      <c r="BH22" s="73" t="str">
        <f t="shared" ca="1" si="57"/>
        <v xml:space="preserve"> </v>
      </c>
      <c r="BI22" s="73" t="str">
        <f t="shared" ca="1" si="58"/>
        <v xml:space="preserve"> </v>
      </c>
      <c r="BJ22" s="73" t="str">
        <f t="shared" ca="1" si="59"/>
        <v xml:space="preserve"> </v>
      </c>
      <c r="BK22" s="73" t="str">
        <f t="shared" ca="1" si="60"/>
        <v xml:space="preserve"> </v>
      </c>
      <c r="BL22" s="73" t="str">
        <f t="shared" ca="1" si="61"/>
        <v xml:space="preserve"> </v>
      </c>
      <c r="BM22" s="73" t="str">
        <f t="shared" ca="1" si="62"/>
        <v xml:space="preserve"> </v>
      </c>
      <c r="BN22" s="73" t="str">
        <f t="shared" ca="1" si="63"/>
        <v xml:space="preserve"> </v>
      </c>
      <c r="BO22" s="73" t="str">
        <f t="shared" ca="1" si="64"/>
        <v xml:space="preserve"> </v>
      </c>
      <c r="BP22" s="73" t="str">
        <f t="shared" ca="1" si="65"/>
        <v xml:space="preserve"> </v>
      </c>
      <c r="BQ22" s="73" t="str">
        <f t="shared" ca="1" si="66"/>
        <v xml:space="preserve"> </v>
      </c>
      <c r="BR22" s="73" t="str">
        <f t="shared" ca="1" si="67"/>
        <v xml:space="preserve"> </v>
      </c>
      <c r="BS22" s="73" t="str">
        <f t="shared" ca="1" si="68"/>
        <v xml:space="preserve"> </v>
      </c>
      <c r="BT22" s="73" t="str">
        <f t="shared" ca="1" si="69"/>
        <v xml:space="preserve"> </v>
      </c>
      <c r="BU22" s="73" t="str">
        <f t="shared" ca="1" si="70"/>
        <v xml:space="preserve"> </v>
      </c>
      <c r="BV22" s="73" t="str">
        <f t="shared" ca="1" si="71"/>
        <v xml:space="preserve"> </v>
      </c>
      <c r="BW22" s="216" t="s">
        <v>913</v>
      </c>
    </row>
    <row r="23" spans="1:75" ht="43.5" customHeight="1">
      <c r="A23" s="211" t="s">
        <v>836</v>
      </c>
      <c r="B23" s="72" t="e">
        <f>#REF!</f>
        <v>#REF!</v>
      </c>
      <c r="C23" s="73" t="str">
        <f ca="1">IF(COUNTIF(Conso!O21,"*Marginal*"),"x"," ")</f>
        <v xml:space="preserve"> </v>
      </c>
      <c r="D23" s="73" t="str">
        <f ca="1">IF(COUNTIF(Conso!O21,"*Faible*"),"x"," ")</f>
        <v xml:space="preserve"> </v>
      </c>
      <c r="E23" s="73" t="str">
        <f ca="1">IF(COUNTIF(Conso!O21,"*Modéré*"),"x"," ")</f>
        <v xml:space="preserve"> </v>
      </c>
      <c r="F23" s="73" t="str">
        <f ca="1">IF(COUNTIF(Conso!O21,"*Elevé*"),"x"," ")</f>
        <v xml:space="preserve"> </v>
      </c>
      <c r="G23" s="73" t="str">
        <f ca="1">IF(COUNTIF(Conso!O21,"*Critique*"),"x"," ")</f>
        <v xml:space="preserve"> </v>
      </c>
      <c r="H23" s="73" t="str">
        <f ca="1">IF(COUNTIF(Conso!O21,"*Catastrophique*"),"x"," ")</f>
        <v xml:space="preserve"> </v>
      </c>
      <c r="I23" s="73" t="str">
        <f ca="1">IF(COUNTIF(Conso!N21,"*Exceptionnelle*"),"x"," ")</f>
        <v xml:space="preserve"> </v>
      </c>
      <c r="J23" s="73" t="str">
        <f ca="1">IF(COUNTIF(Conso!N21,"*Rare*"),"x"," ")</f>
        <v xml:space="preserve"> </v>
      </c>
      <c r="K23" s="73" t="str">
        <f ca="1">IF(COUNTIF(Conso!N21,"*Modérée*"),"x"," ")</f>
        <v xml:space="preserve"> </v>
      </c>
      <c r="L23" s="73" t="str">
        <f ca="1">IF(COUNTIF(Conso!N21,"*Elevée*"),"x"," ")</f>
        <v xml:space="preserve"> </v>
      </c>
      <c r="M23" s="73" t="str">
        <f ca="1">IF(COUNTIF(Conso!N21,"*Récurrente*"),"x"," ")</f>
        <v xml:space="preserve"> </v>
      </c>
      <c r="N23" s="73" t="str">
        <f ca="1">IF(COUNTIF(Conso!N21,"*Permanente*"),"x"," ")</f>
        <v xml:space="preserve"> </v>
      </c>
      <c r="O23" s="74" t="str">
        <f t="shared" ca="1" si="16"/>
        <v xml:space="preserve"> </v>
      </c>
      <c r="P23" s="74" t="str">
        <f t="shared" ca="1" si="17"/>
        <v xml:space="preserve"> </v>
      </c>
      <c r="Q23" s="74" t="str">
        <f t="shared" ca="1" si="18"/>
        <v xml:space="preserve"> </v>
      </c>
      <c r="R23" s="74" t="str">
        <f t="shared" ca="1" si="19"/>
        <v xml:space="preserve"> </v>
      </c>
      <c r="S23" s="74" t="str">
        <f t="shared" ca="1" si="20"/>
        <v xml:space="preserve"> </v>
      </c>
      <c r="T23" s="74" t="str">
        <f t="shared" ca="1" si="21"/>
        <v xml:space="preserve"> </v>
      </c>
      <c r="U23" s="74" t="str">
        <f t="shared" ca="1" si="22"/>
        <v xml:space="preserve"> </v>
      </c>
      <c r="V23" s="74" t="str">
        <f t="shared" ca="1" si="23"/>
        <v xml:space="preserve"> </v>
      </c>
      <c r="W23" s="74" t="str">
        <f t="shared" ca="1" si="24"/>
        <v xml:space="preserve"> </v>
      </c>
      <c r="X23" s="74" t="str">
        <f t="shared" ca="1" si="25"/>
        <v xml:space="preserve"> </v>
      </c>
      <c r="Y23" s="74" t="str">
        <f t="shared" ca="1" si="26"/>
        <v xml:space="preserve"> </v>
      </c>
      <c r="Z23" s="74" t="str">
        <f t="shared" ca="1" si="27"/>
        <v xml:space="preserve"> </v>
      </c>
      <c r="AA23" s="74" t="str">
        <f t="shared" ca="1" si="28"/>
        <v xml:space="preserve"> </v>
      </c>
      <c r="AB23" s="74" t="str">
        <f t="shared" ca="1" si="29"/>
        <v xml:space="preserve"> </v>
      </c>
      <c r="AC23" s="74" t="str">
        <f t="shared" ca="1" si="30"/>
        <v xml:space="preserve"> </v>
      </c>
      <c r="AD23" s="74" t="str">
        <f t="shared" ca="1" si="31"/>
        <v xml:space="preserve"> </v>
      </c>
      <c r="AE23" s="74" t="str">
        <f t="shared" ca="1" si="32"/>
        <v xml:space="preserve"> </v>
      </c>
      <c r="AF23" s="74" t="str">
        <f t="shared" ca="1" si="33"/>
        <v xml:space="preserve"> </v>
      </c>
      <c r="AG23" s="74" t="str">
        <f t="shared" ca="1" si="34"/>
        <v xml:space="preserve"> </v>
      </c>
      <c r="AH23" s="74" t="str">
        <f t="shared" ca="1" si="35"/>
        <v xml:space="preserve"> </v>
      </c>
      <c r="AI23" s="74" t="str">
        <f t="shared" ca="1" si="36"/>
        <v xml:space="preserve"> </v>
      </c>
      <c r="AJ23" s="74" t="str">
        <f t="shared" ca="1" si="37"/>
        <v xml:space="preserve"> </v>
      </c>
      <c r="AK23" s="74" t="str">
        <f t="shared" ca="1" si="38"/>
        <v xml:space="preserve"> </v>
      </c>
      <c r="AL23" s="74" t="str">
        <f t="shared" ca="1" si="39"/>
        <v xml:space="preserve"> </v>
      </c>
      <c r="AM23" s="74" t="str">
        <f t="shared" ca="1" si="40"/>
        <v xml:space="preserve"> </v>
      </c>
      <c r="AN23" s="74" t="str">
        <f t="shared" ca="1" si="41"/>
        <v xml:space="preserve"> </v>
      </c>
      <c r="AO23" s="74" t="str">
        <f t="shared" ca="1" si="42"/>
        <v xml:space="preserve"> </v>
      </c>
      <c r="AP23" s="74" t="str">
        <f t="shared" ca="1" si="43"/>
        <v xml:space="preserve"> </v>
      </c>
      <c r="AQ23" s="74" t="str">
        <f t="shared" ca="1" si="44"/>
        <v xml:space="preserve"> </v>
      </c>
      <c r="AR23" s="74" t="str">
        <f t="shared" ca="1" si="45"/>
        <v xml:space="preserve"> </v>
      </c>
      <c r="AS23" s="74" t="str">
        <f t="shared" ca="1" si="46"/>
        <v xml:space="preserve"> </v>
      </c>
      <c r="AT23" s="74" t="str">
        <f t="shared" ca="1" si="47"/>
        <v xml:space="preserve"> </v>
      </c>
      <c r="AU23" s="74" t="str">
        <f t="shared" ca="1" si="48"/>
        <v xml:space="preserve"> </v>
      </c>
      <c r="AV23" s="74" t="str">
        <f t="shared" ca="1" si="49"/>
        <v xml:space="preserve"> </v>
      </c>
      <c r="AW23" s="74" t="str">
        <f t="shared" ca="1" si="50"/>
        <v xml:space="preserve"> </v>
      </c>
      <c r="AX23" s="74" t="str">
        <f t="shared" ca="1" si="51"/>
        <v xml:space="preserve"> </v>
      </c>
      <c r="AY23" s="75" t="str">
        <f t="shared" ca="1" si="52"/>
        <v xml:space="preserve"> </v>
      </c>
      <c r="AZ23" s="73" t="str">
        <f t="shared" ca="1" si="53"/>
        <v xml:space="preserve"> </v>
      </c>
      <c r="BA23" s="73" t="str">
        <f t="shared" ca="1" si="54"/>
        <v xml:space="preserve"> </v>
      </c>
      <c r="BB23" s="73" t="str">
        <f t="shared" ca="1" si="55"/>
        <v xml:space="preserve"> </v>
      </c>
      <c r="BC23" s="73" t="str">
        <f ca="1">IF(COUNTIF(Conso!P21,"*Insuffisant*"),"x"," ")</f>
        <v xml:space="preserve"> </v>
      </c>
      <c r="BD23" s="73" t="str">
        <f ca="1">IF(COUNTIF(Conso!P21,"*Faible*"),"x"," ")</f>
        <v xml:space="preserve"> </v>
      </c>
      <c r="BE23" s="73" t="str">
        <f ca="1">IF(COUNTIF(Conso!P21,"*Acceptable*"),"x"," ")</f>
        <v xml:space="preserve"> </v>
      </c>
      <c r="BF23" s="73" t="str">
        <f ca="1">IF(COUNTIF(Conso!P21,"*Maîtrisé*"),"x"," ")</f>
        <v xml:space="preserve"> </v>
      </c>
      <c r="BG23" s="73" t="str">
        <f t="shared" ca="1" si="56"/>
        <v xml:space="preserve"> </v>
      </c>
      <c r="BH23" s="73" t="str">
        <f t="shared" ca="1" si="57"/>
        <v xml:space="preserve"> </v>
      </c>
      <c r="BI23" s="73" t="str">
        <f t="shared" ca="1" si="58"/>
        <v xml:space="preserve"> </v>
      </c>
      <c r="BJ23" s="73" t="str">
        <f t="shared" ca="1" si="59"/>
        <v xml:space="preserve"> </v>
      </c>
      <c r="BK23" s="73" t="str">
        <f t="shared" ca="1" si="60"/>
        <v xml:space="preserve"> </v>
      </c>
      <c r="BL23" s="73" t="str">
        <f t="shared" ca="1" si="61"/>
        <v xml:space="preserve"> </v>
      </c>
      <c r="BM23" s="73" t="str">
        <f t="shared" ca="1" si="62"/>
        <v xml:space="preserve"> </v>
      </c>
      <c r="BN23" s="73" t="str">
        <f t="shared" ca="1" si="63"/>
        <v xml:space="preserve"> </v>
      </c>
      <c r="BO23" s="73" t="str">
        <f t="shared" ca="1" si="64"/>
        <v xml:space="preserve"> </v>
      </c>
      <c r="BP23" s="73" t="str">
        <f t="shared" ca="1" si="65"/>
        <v xml:space="preserve"> </v>
      </c>
      <c r="BQ23" s="73" t="str">
        <f t="shared" ca="1" si="66"/>
        <v xml:space="preserve"> </v>
      </c>
      <c r="BR23" s="73" t="str">
        <f t="shared" ca="1" si="67"/>
        <v xml:space="preserve"> </v>
      </c>
      <c r="BS23" s="73" t="str">
        <f t="shared" ca="1" si="68"/>
        <v xml:space="preserve"> </v>
      </c>
      <c r="BT23" s="73" t="str">
        <f t="shared" ca="1" si="69"/>
        <v xml:space="preserve"> </v>
      </c>
      <c r="BU23" s="73" t="str">
        <f t="shared" ca="1" si="70"/>
        <v xml:space="preserve"> </v>
      </c>
      <c r="BV23" s="73" t="str">
        <f t="shared" ca="1" si="71"/>
        <v xml:space="preserve"> </v>
      </c>
      <c r="BW23" s="216" t="s">
        <v>914</v>
      </c>
    </row>
    <row r="24" spans="1:75">
      <c r="A24" s="211" t="s">
        <v>837</v>
      </c>
      <c r="B24" s="72" t="e">
        <f>#REF!</f>
        <v>#REF!</v>
      </c>
      <c r="C24" s="73" t="str">
        <f ca="1">IF(COUNTIF(Conso!O22,"*Marginal*"),"x"," ")</f>
        <v xml:space="preserve"> </v>
      </c>
      <c r="D24" s="73" t="str">
        <f ca="1">IF(COUNTIF(Conso!O22,"*Faible*"),"x"," ")</f>
        <v xml:space="preserve"> </v>
      </c>
      <c r="E24" s="73" t="str">
        <f ca="1">IF(COUNTIF(Conso!O22,"*Modéré*"),"x"," ")</f>
        <v xml:space="preserve"> </v>
      </c>
      <c r="F24" s="73" t="str">
        <f ca="1">IF(COUNTIF(Conso!O22,"*Elevé*"),"x"," ")</f>
        <v xml:space="preserve"> </v>
      </c>
      <c r="G24" s="73" t="str">
        <f ca="1">IF(COUNTIF(Conso!O22,"*Critique*"),"x"," ")</f>
        <v xml:space="preserve"> </v>
      </c>
      <c r="H24" s="73" t="str">
        <f ca="1">IF(COUNTIF(Conso!O22,"*Catastrophique*"),"x"," ")</f>
        <v xml:space="preserve"> </v>
      </c>
      <c r="I24" s="73" t="str">
        <f ca="1">IF(COUNTIF(Conso!N22,"*Exceptionnelle*"),"x"," ")</f>
        <v xml:space="preserve"> </v>
      </c>
      <c r="J24" s="73" t="str">
        <f ca="1">IF(COUNTIF(Conso!N22,"*Rare*"),"x"," ")</f>
        <v xml:space="preserve"> </v>
      </c>
      <c r="K24" s="73" t="str">
        <f ca="1">IF(COUNTIF(Conso!N22,"*Modérée*"),"x"," ")</f>
        <v xml:space="preserve"> </v>
      </c>
      <c r="L24" s="73" t="str">
        <f ca="1">IF(COUNTIF(Conso!N22,"*Elevée*"),"x"," ")</f>
        <v xml:space="preserve"> </v>
      </c>
      <c r="M24" s="73" t="str">
        <f ca="1">IF(COUNTIF(Conso!N22,"*Récurrente*"),"x"," ")</f>
        <v xml:space="preserve"> </v>
      </c>
      <c r="N24" s="73" t="str">
        <f ca="1">IF(COUNTIF(Conso!N22,"*Permanente*"),"x"," ")</f>
        <v xml:space="preserve"> </v>
      </c>
      <c r="O24" s="74" t="str">
        <f t="shared" ca="1" si="16"/>
        <v xml:space="preserve"> </v>
      </c>
      <c r="P24" s="74" t="str">
        <f t="shared" ca="1" si="17"/>
        <v xml:space="preserve"> </v>
      </c>
      <c r="Q24" s="74" t="str">
        <f t="shared" ca="1" si="18"/>
        <v xml:space="preserve"> </v>
      </c>
      <c r="R24" s="74" t="str">
        <f t="shared" ca="1" si="19"/>
        <v xml:space="preserve"> </v>
      </c>
      <c r="S24" s="74" t="str">
        <f t="shared" ca="1" si="20"/>
        <v xml:space="preserve"> </v>
      </c>
      <c r="T24" s="74" t="str">
        <f t="shared" ca="1" si="21"/>
        <v xml:space="preserve"> </v>
      </c>
      <c r="U24" s="74" t="str">
        <f t="shared" ca="1" si="22"/>
        <v xml:space="preserve"> </v>
      </c>
      <c r="V24" s="74" t="str">
        <f t="shared" ca="1" si="23"/>
        <v xml:space="preserve"> </v>
      </c>
      <c r="W24" s="74" t="str">
        <f t="shared" ca="1" si="24"/>
        <v xml:space="preserve"> </v>
      </c>
      <c r="X24" s="74" t="str">
        <f t="shared" ca="1" si="25"/>
        <v xml:space="preserve"> </v>
      </c>
      <c r="Y24" s="74" t="str">
        <f t="shared" ca="1" si="26"/>
        <v xml:space="preserve"> </v>
      </c>
      <c r="Z24" s="74" t="str">
        <f t="shared" ca="1" si="27"/>
        <v xml:space="preserve"> </v>
      </c>
      <c r="AA24" s="74" t="str">
        <f t="shared" ca="1" si="28"/>
        <v xml:space="preserve"> </v>
      </c>
      <c r="AB24" s="74" t="str">
        <f t="shared" ca="1" si="29"/>
        <v xml:space="preserve"> </v>
      </c>
      <c r="AC24" s="74" t="str">
        <f t="shared" ca="1" si="30"/>
        <v xml:space="preserve"> </v>
      </c>
      <c r="AD24" s="74" t="str">
        <f t="shared" ca="1" si="31"/>
        <v xml:space="preserve"> </v>
      </c>
      <c r="AE24" s="74" t="str">
        <f t="shared" ca="1" si="32"/>
        <v xml:space="preserve"> </v>
      </c>
      <c r="AF24" s="74" t="str">
        <f t="shared" ca="1" si="33"/>
        <v xml:space="preserve"> </v>
      </c>
      <c r="AG24" s="74" t="str">
        <f t="shared" ca="1" si="34"/>
        <v xml:space="preserve"> </v>
      </c>
      <c r="AH24" s="74" t="str">
        <f t="shared" ca="1" si="35"/>
        <v xml:space="preserve"> </v>
      </c>
      <c r="AI24" s="74" t="str">
        <f t="shared" ca="1" si="36"/>
        <v xml:space="preserve"> </v>
      </c>
      <c r="AJ24" s="74" t="str">
        <f t="shared" ca="1" si="37"/>
        <v xml:space="preserve"> </v>
      </c>
      <c r="AK24" s="74" t="str">
        <f t="shared" ca="1" si="38"/>
        <v xml:space="preserve"> </v>
      </c>
      <c r="AL24" s="74" t="str">
        <f t="shared" ca="1" si="39"/>
        <v xml:space="preserve"> </v>
      </c>
      <c r="AM24" s="74" t="str">
        <f t="shared" ca="1" si="40"/>
        <v xml:space="preserve"> </v>
      </c>
      <c r="AN24" s="74" t="str">
        <f t="shared" ca="1" si="41"/>
        <v xml:space="preserve"> </v>
      </c>
      <c r="AO24" s="74" t="str">
        <f t="shared" ca="1" si="42"/>
        <v xml:space="preserve"> </v>
      </c>
      <c r="AP24" s="74" t="str">
        <f t="shared" ca="1" si="43"/>
        <v xml:space="preserve"> </v>
      </c>
      <c r="AQ24" s="74" t="str">
        <f t="shared" ca="1" si="44"/>
        <v xml:space="preserve"> </v>
      </c>
      <c r="AR24" s="74" t="str">
        <f t="shared" ca="1" si="45"/>
        <v xml:space="preserve"> </v>
      </c>
      <c r="AS24" s="74" t="str">
        <f t="shared" ca="1" si="46"/>
        <v xml:space="preserve"> </v>
      </c>
      <c r="AT24" s="74" t="str">
        <f t="shared" ca="1" si="47"/>
        <v xml:space="preserve"> </v>
      </c>
      <c r="AU24" s="74" t="str">
        <f t="shared" ca="1" si="48"/>
        <v xml:space="preserve"> </v>
      </c>
      <c r="AV24" s="74" t="str">
        <f t="shared" ca="1" si="49"/>
        <v xml:space="preserve"> </v>
      </c>
      <c r="AW24" s="74" t="str">
        <f t="shared" ca="1" si="50"/>
        <v xml:space="preserve"> </v>
      </c>
      <c r="AX24" s="74" t="str">
        <f t="shared" ca="1" si="51"/>
        <v xml:space="preserve"> </v>
      </c>
      <c r="AY24" s="75" t="str">
        <f t="shared" ca="1" si="52"/>
        <v xml:space="preserve"> </v>
      </c>
      <c r="AZ24" s="73" t="str">
        <f t="shared" ca="1" si="53"/>
        <v xml:space="preserve"> </v>
      </c>
      <c r="BA24" s="73" t="str">
        <f t="shared" ca="1" si="54"/>
        <v xml:space="preserve"> </v>
      </c>
      <c r="BB24" s="73" t="str">
        <f t="shared" ca="1" si="55"/>
        <v xml:space="preserve"> </v>
      </c>
      <c r="BC24" s="73" t="str">
        <f ca="1">IF(COUNTIF(Conso!P22,"*Insuffisant*"),"x"," ")</f>
        <v xml:space="preserve"> </v>
      </c>
      <c r="BD24" s="73" t="str">
        <f ca="1">IF(COUNTIF(Conso!P22,"*Faible*"),"x"," ")</f>
        <v xml:space="preserve"> </v>
      </c>
      <c r="BE24" s="73" t="str">
        <f ca="1">IF(COUNTIF(Conso!P22,"*Acceptable*"),"x"," ")</f>
        <v xml:space="preserve"> </v>
      </c>
      <c r="BF24" s="73" t="str">
        <f ca="1">IF(COUNTIF(Conso!P22,"*Maîtrisé*"),"x"," ")</f>
        <v xml:space="preserve"> </v>
      </c>
      <c r="BG24" s="73" t="str">
        <f t="shared" ca="1" si="56"/>
        <v xml:space="preserve"> </v>
      </c>
      <c r="BH24" s="73" t="str">
        <f t="shared" ca="1" si="57"/>
        <v xml:space="preserve"> </v>
      </c>
      <c r="BI24" s="73" t="str">
        <f t="shared" ca="1" si="58"/>
        <v xml:space="preserve"> </v>
      </c>
      <c r="BJ24" s="73" t="str">
        <f t="shared" ca="1" si="59"/>
        <v xml:space="preserve"> </v>
      </c>
      <c r="BK24" s="73" t="str">
        <f t="shared" ca="1" si="60"/>
        <v xml:space="preserve"> </v>
      </c>
      <c r="BL24" s="73" t="str">
        <f t="shared" ca="1" si="61"/>
        <v xml:space="preserve"> </v>
      </c>
      <c r="BM24" s="73" t="str">
        <f t="shared" ca="1" si="62"/>
        <v xml:space="preserve"> </v>
      </c>
      <c r="BN24" s="73" t="str">
        <f t="shared" ca="1" si="63"/>
        <v xml:space="preserve"> </v>
      </c>
      <c r="BO24" s="73" t="str">
        <f t="shared" ca="1" si="64"/>
        <v xml:space="preserve"> </v>
      </c>
      <c r="BP24" s="73" t="str">
        <f t="shared" ca="1" si="65"/>
        <v xml:space="preserve"> </v>
      </c>
      <c r="BQ24" s="73" t="str">
        <f t="shared" ca="1" si="66"/>
        <v xml:space="preserve"> </v>
      </c>
      <c r="BR24" s="73" t="str">
        <f t="shared" ca="1" si="67"/>
        <v xml:space="preserve"> </v>
      </c>
      <c r="BS24" s="73" t="str">
        <f t="shared" ca="1" si="68"/>
        <v xml:space="preserve"> </v>
      </c>
      <c r="BT24" s="73" t="str">
        <f t="shared" ca="1" si="69"/>
        <v xml:space="preserve"> </v>
      </c>
      <c r="BU24" s="73" t="str">
        <f t="shared" ca="1" si="70"/>
        <v xml:space="preserve"> </v>
      </c>
      <c r="BV24" s="73" t="str">
        <f t="shared" ca="1" si="71"/>
        <v xml:space="preserve"> </v>
      </c>
      <c r="BW24" s="216" t="s">
        <v>915</v>
      </c>
    </row>
    <row r="25" spans="1:75" ht="43.5" customHeight="1">
      <c r="A25" s="211" t="s">
        <v>838</v>
      </c>
      <c r="B25" s="72" t="e">
        <f>#REF!</f>
        <v>#REF!</v>
      </c>
      <c r="C25" s="73" t="str">
        <f ca="1">IF(COUNTIF(Conso!O23,"*Marginal*"),"x"," ")</f>
        <v xml:space="preserve"> </v>
      </c>
      <c r="D25" s="73" t="str">
        <f ca="1">IF(COUNTIF(Conso!O23,"*Faible*"),"x"," ")</f>
        <v xml:space="preserve"> </v>
      </c>
      <c r="E25" s="73" t="str">
        <f ca="1">IF(COUNTIF(Conso!O23,"*Modéré*"),"x"," ")</f>
        <v xml:space="preserve"> </v>
      </c>
      <c r="F25" s="73" t="str">
        <f ca="1">IF(COUNTIF(Conso!O23,"*Elevé*"),"x"," ")</f>
        <v xml:space="preserve"> </v>
      </c>
      <c r="G25" s="73" t="str">
        <f ca="1">IF(COUNTIF(Conso!O23,"*Critique*"),"x"," ")</f>
        <v xml:space="preserve"> </v>
      </c>
      <c r="H25" s="73" t="str">
        <f ca="1">IF(COUNTIF(Conso!O23,"*Catastrophique*"),"x"," ")</f>
        <v xml:space="preserve"> </v>
      </c>
      <c r="I25" s="73" t="str">
        <f ca="1">IF(COUNTIF(Conso!N23,"*Exceptionnelle*"),"x"," ")</f>
        <v xml:space="preserve"> </v>
      </c>
      <c r="J25" s="73" t="str">
        <f ca="1">IF(COUNTIF(Conso!N23,"*Rare*"),"x"," ")</f>
        <v xml:space="preserve"> </v>
      </c>
      <c r="K25" s="73" t="str">
        <f ca="1">IF(COUNTIF(Conso!N23,"*Modérée*"),"x"," ")</f>
        <v xml:space="preserve"> </v>
      </c>
      <c r="L25" s="73" t="str">
        <f ca="1">IF(COUNTIF(Conso!N23,"*Elevée*"),"x"," ")</f>
        <v xml:space="preserve"> </v>
      </c>
      <c r="M25" s="73" t="str">
        <f ca="1">IF(COUNTIF(Conso!N23,"*Récurrente*"),"x"," ")</f>
        <v xml:space="preserve"> </v>
      </c>
      <c r="N25" s="73" t="str">
        <f ca="1">IF(COUNTIF(Conso!N23,"*Permanente*"),"x"," ")</f>
        <v xml:space="preserve"> </v>
      </c>
      <c r="O25" s="74" t="str">
        <f t="shared" ca="1" si="16"/>
        <v xml:space="preserve"> </v>
      </c>
      <c r="P25" s="74" t="str">
        <f t="shared" ca="1" si="17"/>
        <v xml:space="preserve"> </v>
      </c>
      <c r="Q25" s="74" t="str">
        <f t="shared" ca="1" si="18"/>
        <v xml:space="preserve"> </v>
      </c>
      <c r="R25" s="74" t="str">
        <f t="shared" ca="1" si="19"/>
        <v xml:space="preserve"> </v>
      </c>
      <c r="S25" s="74" t="str">
        <f t="shared" ca="1" si="20"/>
        <v xml:space="preserve"> </v>
      </c>
      <c r="T25" s="74" t="str">
        <f t="shared" ca="1" si="21"/>
        <v xml:space="preserve"> </v>
      </c>
      <c r="U25" s="74" t="str">
        <f t="shared" ca="1" si="22"/>
        <v xml:space="preserve"> </v>
      </c>
      <c r="V25" s="74" t="str">
        <f t="shared" ca="1" si="23"/>
        <v xml:space="preserve"> </v>
      </c>
      <c r="W25" s="74" t="str">
        <f t="shared" ca="1" si="24"/>
        <v xml:space="preserve"> </v>
      </c>
      <c r="X25" s="74" t="str">
        <f t="shared" ca="1" si="25"/>
        <v xml:space="preserve"> </v>
      </c>
      <c r="Y25" s="74" t="str">
        <f t="shared" ca="1" si="26"/>
        <v xml:space="preserve"> </v>
      </c>
      <c r="Z25" s="74" t="str">
        <f t="shared" ca="1" si="27"/>
        <v xml:space="preserve"> </v>
      </c>
      <c r="AA25" s="74" t="str">
        <f t="shared" ca="1" si="28"/>
        <v xml:space="preserve"> </v>
      </c>
      <c r="AB25" s="74" t="str">
        <f t="shared" ca="1" si="29"/>
        <v xml:space="preserve"> </v>
      </c>
      <c r="AC25" s="74" t="str">
        <f t="shared" ca="1" si="30"/>
        <v xml:space="preserve"> </v>
      </c>
      <c r="AD25" s="74" t="str">
        <f t="shared" ca="1" si="31"/>
        <v xml:space="preserve"> </v>
      </c>
      <c r="AE25" s="74" t="str">
        <f t="shared" ca="1" si="32"/>
        <v xml:space="preserve"> </v>
      </c>
      <c r="AF25" s="74" t="str">
        <f t="shared" ca="1" si="33"/>
        <v xml:space="preserve"> </v>
      </c>
      <c r="AG25" s="74" t="str">
        <f t="shared" ca="1" si="34"/>
        <v xml:space="preserve"> </v>
      </c>
      <c r="AH25" s="74" t="str">
        <f t="shared" ca="1" si="35"/>
        <v xml:space="preserve"> </v>
      </c>
      <c r="AI25" s="74" t="str">
        <f t="shared" ca="1" si="36"/>
        <v xml:space="preserve"> </v>
      </c>
      <c r="AJ25" s="74" t="str">
        <f t="shared" ca="1" si="37"/>
        <v xml:space="preserve"> </v>
      </c>
      <c r="AK25" s="74" t="str">
        <f t="shared" ca="1" si="38"/>
        <v xml:space="preserve"> </v>
      </c>
      <c r="AL25" s="74" t="str">
        <f t="shared" ca="1" si="39"/>
        <v xml:space="preserve"> </v>
      </c>
      <c r="AM25" s="74" t="str">
        <f t="shared" ca="1" si="40"/>
        <v xml:space="preserve"> </v>
      </c>
      <c r="AN25" s="74" t="str">
        <f t="shared" ca="1" si="41"/>
        <v xml:space="preserve"> </v>
      </c>
      <c r="AO25" s="74" t="str">
        <f t="shared" ca="1" si="42"/>
        <v xml:space="preserve"> </v>
      </c>
      <c r="AP25" s="74" t="str">
        <f t="shared" ca="1" si="43"/>
        <v xml:space="preserve"> </v>
      </c>
      <c r="AQ25" s="74" t="str">
        <f t="shared" ca="1" si="44"/>
        <v xml:space="preserve"> </v>
      </c>
      <c r="AR25" s="74" t="str">
        <f t="shared" ca="1" si="45"/>
        <v xml:space="preserve"> </v>
      </c>
      <c r="AS25" s="74" t="str">
        <f t="shared" ca="1" si="46"/>
        <v xml:space="preserve"> </v>
      </c>
      <c r="AT25" s="74" t="str">
        <f t="shared" ca="1" si="47"/>
        <v xml:space="preserve"> </v>
      </c>
      <c r="AU25" s="74" t="str">
        <f t="shared" ca="1" si="48"/>
        <v xml:space="preserve"> </v>
      </c>
      <c r="AV25" s="74" t="str">
        <f t="shared" ca="1" si="49"/>
        <v xml:space="preserve"> </v>
      </c>
      <c r="AW25" s="74" t="str">
        <f t="shared" ca="1" si="50"/>
        <v xml:space="preserve"> </v>
      </c>
      <c r="AX25" s="74" t="str">
        <f t="shared" ca="1" si="51"/>
        <v xml:space="preserve"> </v>
      </c>
      <c r="AY25" s="75" t="str">
        <f t="shared" ca="1" si="52"/>
        <v xml:space="preserve"> </v>
      </c>
      <c r="AZ25" s="73" t="str">
        <f t="shared" ca="1" si="53"/>
        <v xml:space="preserve"> </v>
      </c>
      <c r="BA25" s="73" t="str">
        <f t="shared" ca="1" si="54"/>
        <v xml:space="preserve"> </v>
      </c>
      <c r="BB25" s="73" t="str">
        <f t="shared" ca="1" si="55"/>
        <v xml:space="preserve"> </v>
      </c>
      <c r="BC25" s="73" t="str">
        <f ca="1">IF(COUNTIF(Conso!P23,"*Insuffisant*"),"x"," ")</f>
        <v xml:space="preserve"> </v>
      </c>
      <c r="BD25" s="73" t="str">
        <f ca="1">IF(COUNTIF(Conso!P23,"*Faible*"),"x"," ")</f>
        <v xml:space="preserve"> </v>
      </c>
      <c r="BE25" s="73" t="str">
        <f ca="1">IF(COUNTIF(Conso!P23,"*Acceptable*"),"x"," ")</f>
        <v xml:space="preserve"> </v>
      </c>
      <c r="BF25" s="73" t="str">
        <f ca="1">IF(COUNTIF(Conso!P23,"*Maîtrisé*"),"x"," ")</f>
        <v xml:space="preserve"> </v>
      </c>
      <c r="BG25" s="73" t="str">
        <f t="shared" ca="1" si="56"/>
        <v xml:space="preserve"> </v>
      </c>
      <c r="BH25" s="73" t="str">
        <f t="shared" ca="1" si="57"/>
        <v xml:space="preserve"> </v>
      </c>
      <c r="BI25" s="73" t="str">
        <f t="shared" ca="1" si="58"/>
        <v xml:space="preserve"> </v>
      </c>
      <c r="BJ25" s="73" t="str">
        <f t="shared" ca="1" si="59"/>
        <v xml:space="preserve"> </v>
      </c>
      <c r="BK25" s="73" t="str">
        <f t="shared" ca="1" si="60"/>
        <v xml:space="preserve"> </v>
      </c>
      <c r="BL25" s="73" t="str">
        <f t="shared" ca="1" si="61"/>
        <v xml:space="preserve"> </v>
      </c>
      <c r="BM25" s="73" t="str">
        <f t="shared" ca="1" si="62"/>
        <v xml:space="preserve"> </v>
      </c>
      <c r="BN25" s="73" t="str">
        <f t="shared" ca="1" si="63"/>
        <v xml:space="preserve"> </v>
      </c>
      <c r="BO25" s="73" t="str">
        <f t="shared" ca="1" si="64"/>
        <v xml:space="preserve"> </v>
      </c>
      <c r="BP25" s="73" t="str">
        <f t="shared" ca="1" si="65"/>
        <v xml:space="preserve"> </v>
      </c>
      <c r="BQ25" s="73" t="str">
        <f t="shared" ca="1" si="66"/>
        <v xml:space="preserve"> </v>
      </c>
      <c r="BR25" s="73" t="str">
        <f t="shared" ca="1" si="67"/>
        <v xml:space="preserve"> </v>
      </c>
      <c r="BS25" s="73" t="str">
        <f t="shared" ca="1" si="68"/>
        <v xml:space="preserve"> </v>
      </c>
      <c r="BT25" s="73" t="str">
        <f t="shared" ca="1" si="69"/>
        <v xml:space="preserve"> </v>
      </c>
      <c r="BU25" s="73" t="str">
        <f t="shared" ca="1" si="70"/>
        <v xml:space="preserve"> </v>
      </c>
      <c r="BV25" s="73" t="str">
        <f t="shared" ca="1" si="71"/>
        <v xml:space="preserve"> </v>
      </c>
      <c r="BW25" s="216" t="s">
        <v>916</v>
      </c>
    </row>
    <row r="26" spans="1:75" ht="43.5" customHeight="1">
      <c r="A26" s="211" t="s">
        <v>839</v>
      </c>
      <c r="B26" s="72" t="e">
        <f>#REF!</f>
        <v>#REF!</v>
      </c>
      <c r="C26" s="73" t="str">
        <f ca="1">IF(COUNTIF(Conso!O24,"*Marginal*"),"x"," ")</f>
        <v xml:space="preserve"> </v>
      </c>
      <c r="D26" s="73" t="str">
        <f ca="1">IF(COUNTIF(Conso!O24,"*Faible*"),"x"," ")</f>
        <v xml:space="preserve"> </v>
      </c>
      <c r="E26" s="73" t="str">
        <f ca="1">IF(COUNTIF(Conso!O24,"*Modéré*"),"x"," ")</f>
        <v xml:space="preserve"> </v>
      </c>
      <c r="F26" s="73" t="str">
        <f ca="1">IF(COUNTIF(Conso!O24,"*Elevé*"),"x"," ")</f>
        <v xml:space="preserve"> </v>
      </c>
      <c r="G26" s="73" t="str">
        <f ca="1">IF(COUNTIF(Conso!O24,"*Critique*"),"x"," ")</f>
        <v xml:space="preserve"> </v>
      </c>
      <c r="H26" s="73" t="str">
        <f ca="1">IF(COUNTIF(Conso!O24,"*Catastrophique*"),"x"," ")</f>
        <v xml:space="preserve"> </v>
      </c>
      <c r="I26" s="73" t="str">
        <f ca="1">IF(COUNTIF(Conso!N24,"*Exceptionnelle*"),"x"," ")</f>
        <v xml:space="preserve"> </v>
      </c>
      <c r="J26" s="73" t="str">
        <f ca="1">IF(COUNTIF(Conso!N24,"*Rare*"),"x"," ")</f>
        <v xml:space="preserve"> </v>
      </c>
      <c r="K26" s="73" t="str">
        <f ca="1">IF(COUNTIF(Conso!N24,"*Modérée*"),"x"," ")</f>
        <v xml:space="preserve"> </v>
      </c>
      <c r="L26" s="73" t="str">
        <f ca="1">IF(COUNTIF(Conso!N24,"*Elevée*"),"x"," ")</f>
        <v xml:space="preserve"> </v>
      </c>
      <c r="M26" s="73" t="str">
        <f ca="1">IF(COUNTIF(Conso!N24,"*Récurrente*"),"x"," ")</f>
        <v xml:space="preserve"> </v>
      </c>
      <c r="N26" s="73" t="str">
        <f ca="1">IF(COUNTIF(Conso!N24,"*Permanente*"),"x"," ")</f>
        <v xml:space="preserve"> </v>
      </c>
      <c r="O26" s="74" t="str">
        <f t="shared" ca="1" si="16"/>
        <v xml:space="preserve"> </v>
      </c>
      <c r="P26" s="74" t="str">
        <f t="shared" ca="1" si="17"/>
        <v xml:space="preserve"> </v>
      </c>
      <c r="Q26" s="74" t="str">
        <f t="shared" ca="1" si="18"/>
        <v xml:space="preserve"> </v>
      </c>
      <c r="R26" s="74" t="str">
        <f t="shared" ca="1" si="19"/>
        <v xml:space="preserve"> </v>
      </c>
      <c r="S26" s="74" t="str">
        <f t="shared" ca="1" si="20"/>
        <v xml:space="preserve"> </v>
      </c>
      <c r="T26" s="74" t="str">
        <f t="shared" ca="1" si="21"/>
        <v xml:space="preserve"> </v>
      </c>
      <c r="U26" s="74" t="str">
        <f t="shared" ca="1" si="22"/>
        <v xml:space="preserve"> </v>
      </c>
      <c r="V26" s="74" t="str">
        <f t="shared" ca="1" si="23"/>
        <v xml:space="preserve"> </v>
      </c>
      <c r="W26" s="74" t="str">
        <f t="shared" ca="1" si="24"/>
        <v xml:space="preserve"> </v>
      </c>
      <c r="X26" s="74" t="str">
        <f t="shared" ca="1" si="25"/>
        <v xml:space="preserve"> </v>
      </c>
      <c r="Y26" s="74" t="str">
        <f t="shared" ca="1" si="26"/>
        <v xml:space="preserve"> </v>
      </c>
      <c r="Z26" s="74" t="str">
        <f t="shared" ca="1" si="27"/>
        <v xml:space="preserve"> </v>
      </c>
      <c r="AA26" s="74" t="str">
        <f t="shared" ca="1" si="28"/>
        <v xml:space="preserve"> </v>
      </c>
      <c r="AB26" s="74" t="str">
        <f t="shared" ca="1" si="29"/>
        <v xml:space="preserve"> </v>
      </c>
      <c r="AC26" s="74" t="str">
        <f t="shared" ca="1" si="30"/>
        <v xml:space="preserve"> </v>
      </c>
      <c r="AD26" s="74" t="str">
        <f t="shared" ca="1" si="31"/>
        <v xml:space="preserve"> </v>
      </c>
      <c r="AE26" s="74" t="str">
        <f t="shared" ca="1" si="32"/>
        <v xml:space="preserve"> </v>
      </c>
      <c r="AF26" s="74" t="str">
        <f t="shared" ca="1" si="33"/>
        <v xml:space="preserve"> </v>
      </c>
      <c r="AG26" s="74" t="str">
        <f t="shared" ca="1" si="34"/>
        <v xml:space="preserve"> </v>
      </c>
      <c r="AH26" s="74" t="str">
        <f t="shared" ca="1" si="35"/>
        <v xml:space="preserve"> </v>
      </c>
      <c r="AI26" s="74" t="str">
        <f t="shared" ca="1" si="36"/>
        <v xml:space="preserve"> </v>
      </c>
      <c r="AJ26" s="74" t="str">
        <f t="shared" ca="1" si="37"/>
        <v xml:space="preserve"> </v>
      </c>
      <c r="AK26" s="74" t="str">
        <f t="shared" ca="1" si="38"/>
        <v xml:space="preserve"> </v>
      </c>
      <c r="AL26" s="74" t="str">
        <f t="shared" ca="1" si="39"/>
        <v xml:space="preserve"> </v>
      </c>
      <c r="AM26" s="74" t="str">
        <f t="shared" ca="1" si="40"/>
        <v xml:space="preserve"> </v>
      </c>
      <c r="AN26" s="74" t="str">
        <f t="shared" ca="1" si="41"/>
        <v xml:space="preserve"> </v>
      </c>
      <c r="AO26" s="74" t="str">
        <f t="shared" ca="1" si="42"/>
        <v xml:space="preserve"> </v>
      </c>
      <c r="AP26" s="74" t="str">
        <f t="shared" ca="1" si="43"/>
        <v xml:space="preserve"> </v>
      </c>
      <c r="AQ26" s="74" t="str">
        <f t="shared" ca="1" si="44"/>
        <v xml:space="preserve"> </v>
      </c>
      <c r="AR26" s="74" t="str">
        <f t="shared" ca="1" si="45"/>
        <v xml:space="preserve"> </v>
      </c>
      <c r="AS26" s="74" t="str">
        <f t="shared" ca="1" si="46"/>
        <v xml:space="preserve"> </v>
      </c>
      <c r="AT26" s="74" t="str">
        <f t="shared" ca="1" si="47"/>
        <v xml:space="preserve"> </v>
      </c>
      <c r="AU26" s="74" t="str">
        <f t="shared" ca="1" si="48"/>
        <v xml:space="preserve"> </v>
      </c>
      <c r="AV26" s="74" t="str">
        <f t="shared" ca="1" si="49"/>
        <v xml:space="preserve"> </v>
      </c>
      <c r="AW26" s="74" t="str">
        <f t="shared" ca="1" si="50"/>
        <v xml:space="preserve"> </v>
      </c>
      <c r="AX26" s="74" t="str">
        <f t="shared" ca="1" si="51"/>
        <v xml:space="preserve"> </v>
      </c>
      <c r="AY26" s="75" t="str">
        <f t="shared" ca="1" si="52"/>
        <v xml:space="preserve"> </v>
      </c>
      <c r="AZ26" s="73" t="str">
        <f t="shared" ca="1" si="53"/>
        <v xml:space="preserve"> </v>
      </c>
      <c r="BA26" s="73" t="str">
        <f t="shared" ca="1" si="54"/>
        <v xml:space="preserve"> </v>
      </c>
      <c r="BB26" s="73" t="str">
        <f t="shared" ca="1" si="55"/>
        <v xml:space="preserve"> </v>
      </c>
      <c r="BC26" s="73" t="str">
        <f ca="1">IF(COUNTIF(Conso!P24,"*Insuffisant*"),"x"," ")</f>
        <v xml:space="preserve"> </v>
      </c>
      <c r="BD26" s="73" t="str">
        <f ca="1">IF(COUNTIF(Conso!P24,"*Faible*"),"x"," ")</f>
        <v xml:space="preserve"> </v>
      </c>
      <c r="BE26" s="73" t="str">
        <f ca="1">IF(COUNTIF(Conso!P24,"*Acceptable*"),"x"," ")</f>
        <v xml:space="preserve"> </v>
      </c>
      <c r="BF26" s="73" t="str">
        <f ca="1">IF(COUNTIF(Conso!P24,"*Maîtrisé*"),"x"," ")</f>
        <v xml:space="preserve"> </v>
      </c>
      <c r="BG26" s="73" t="str">
        <f t="shared" ca="1" si="56"/>
        <v xml:space="preserve"> </v>
      </c>
      <c r="BH26" s="73" t="str">
        <f t="shared" ca="1" si="57"/>
        <v xml:space="preserve"> </v>
      </c>
      <c r="BI26" s="73" t="str">
        <f t="shared" ca="1" si="58"/>
        <v xml:space="preserve"> </v>
      </c>
      <c r="BJ26" s="73" t="str">
        <f t="shared" ca="1" si="59"/>
        <v xml:space="preserve"> </v>
      </c>
      <c r="BK26" s="73" t="str">
        <f t="shared" ca="1" si="60"/>
        <v xml:space="preserve"> </v>
      </c>
      <c r="BL26" s="73" t="str">
        <f t="shared" ca="1" si="61"/>
        <v xml:space="preserve"> </v>
      </c>
      <c r="BM26" s="73" t="str">
        <f t="shared" ca="1" si="62"/>
        <v xml:space="preserve"> </v>
      </c>
      <c r="BN26" s="73" t="str">
        <f t="shared" ca="1" si="63"/>
        <v xml:space="preserve"> </v>
      </c>
      <c r="BO26" s="73" t="str">
        <f t="shared" ca="1" si="64"/>
        <v xml:space="preserve"> </v>
      </c>
      <c r="BP26" s="73" t="str">
        <f t="shared" ca="1" si="65"/>
        <v xml:space="preserve"> </v>
      </c>
      <c r="BQ26" s="73" t="str">
        <f t="shared" ca="1" si="66"/>
        <v xml:space="preserve"> </v>
      </c>
      <c r="BR26" s="73" t="str">
        <f t="shared" ca="1" si="67"/>
        <v xml:space="preserve"> </v>
      </c>
      <c r="BS26" s="73" t="str">
        <f t="shared" ca="1" si="68"/>
        <v xml:space="preserve"> </v>
      </c>
      <c r="BT26" s="73" t="str">
        <f t="shared" ca="1" si="69"/>
        <v xml:space="preserve"> </v>
      </c>
      <c r="BU26" s="73" t="str">
        <f t="shared" ca="1" si="70"/>
        <v xml:space="preserve"> </v>
      </c>
      <c r="BV26" s="73" t="str">
        <f t="shared" ca="1" si="71"/>
        <v xml:space="preserve"> </v>
      </c>
      <c r="BW26" s="216" t="s">
        <v>917</v>
      </c>
    </row>
    <row r="27" spans="1:75">
      <c r="A27" s="211" t="s">
        <v>840</v>
      </c>
      <c r="B27" s="72" t="e">
        <f>#REF!</f>
        <v>#REF!</v>
      </c>
      <c r="C27" s="73" t="str">
        <f ca="1">IF(COUNTIF(Conso!O25,"*Marginal*"),"x"," ")</f>
        <v xml:space="preserve"> </v>
      </c>
      <c r="D27" s="73" t="str">
        <f ca="1">IF(COUNTIF(Conso!O25,"*Faible*"),"x"," ")</f>
        <v xml:space="preserve"> </v>
      </c>
      <c r="E27" s="73" t="str">
        <f ca="1">IF(COUNTIF(Conso!O25,"*Modéré*"),"x"," ")</f>
        <v xml:space="preserve"> </v>
      </c>
      <c r="F27" s="73" t="str">
        <f ca="1">IF(COUNTIF(Conso!O25,"*Elevé*"),"x"," ")</f>
        <v xml:space="preserve"> </v>
      </c>
      <c r="G27" s="73" t="str">
        <f ca="1">IF(COUNTIF(Conso!O25,"*Critique*"),"x"," ")</f>
        <v xml:space="preserve"> </v>
      </c>
      <c r="H27" s="73" t="str">
        <f ca="1">IF(COUNTIF(Conso!O25,"*Catastrophique*"),"x"," ")</f>
        <v xml:space="preserve"> </v>
      </c>
      <c r="I27" s="73" t="str">
        <f ca="1">IF(COUNTIF(Conso!N25,"*Exceptionnelle*"),"x"," ")</f>
        <v xml:space="preserve"> </v>
      </c>
      <c r="J27" s="73" t="str">
        <f ca="1">IF(COUNTIF(Conso!N25,"*Rare*"),"x"," ")</f>
        <v xml:space="preserve"> </v>
      </c>
      <c r="K27" s="73" t="str">
        <f ca="1">IF(COUNTIF(Conso!N25,"*Modérée*"),"x"," ")</f>
        <v xml:space="preserve"> </v>
      </c>
      <c r="L27" s="73" t="str">
        <f ca="1">IF(COUNTIF(Conso!N25,"*Elevée*"),"x"," ")</f>
        <v xml:space="preserve"> </v>
      </c>
      <c r="M27" s="73" t="str">
        <f ca="1">IF(COUNTIF(Conso!N25,"*Récurrente*"),"x"," ")</f>
        <v xml:space="preserve"> </v>
      </c>
      <c r="N27" s="73" t="str">
        <f ca="1">IF(COUNTIF(Conso!N25,"*Permanente*"),"x"," ")</f>
        <v xml:space="preserve"> </v>
      </c>
      <c r="O27" s="74" t="str">
        <f t="shared" ca="1" si="16"/>
        <v xml:space="preserve"> </v>
      </c>
      <c r="P27" s="74" t="str">
        <f t="shared" ca="1" si="17"/>
        <v xml:space="preserve"> </v>
      </c>
      <c r="Q27" s="74" t="str">
        <f t="shared" ca="1" si="18"/>
        <v xml:space="preserve"> </v>
      </c>
      <c r="R27" s="74" t="str">
        <f t="shared" ca="1" si="19"/>
        <v xml:space="preserve"> </v>
      </c>
      <c r="S27" s="74" t="str">
        <f t="shared" ca="1" si="20"/>
        <v xml:space="preserve"> </v>
      </c>
      <c r="T27" s="74" t="str">
        <f t="shared" ca="1" si="21"/>
        <v xml:space="preserve"> </v>
      </c>
      <c r="U27" s="74" t="str">
        <f t="shared" ca="1" si="22"/>
        <v xml:space="preserve"> </v>
      </c>
      <c r="V27" s="74" t="str">
        <f t="shared" ca="1" si="23"/>
        <v xml:space="preserve"> </v>
      </c>
      <c r="W27" s="74" t="str">
        <f t="shared" ca="1" si="24"/>
        <v xml:space="preserve"> </v>
      </c>
      <c r="X27" s="74" t="str">
        <f t="shared" ca="1" si="25"/>
        <v xml:space="preserve"> </v>
      </c>
      <c r="Y27" s="74" t="str">
        <f t="shared" ca="1" si="26"/>
        <v xml:space="preserve"> </v>
      </c>
      <c r="Z27" s="74" t="str">
        <f t="shared" ca="1" si="27"/>
        <v xml:space="preserve"> </v>
      </c>
      <c r="AA27" s="74" t="str">
        <f t="shared" ca="1" si="28"/>
        <v xml:space="preserve"> </v>
      </c>
      <c r="AB27" s="74" t="str">
        <f t="shared" ca="1" si="29"/>
        <v xml:space="preserve"> </v>
      </c>
      <c r="AC27" s="74" t="str">
        <f t="shared" ca="1" si="30"/>
        <v xml:space="preserve"> </v>
      </c>
      <c r="AD27" s="74" t="str">
        <f t="shared" ca="1" si="31"/>
        <v xml:space="preserve"> </v>
      </c>
      <c r="AE27" s="74" t="str">
        <f t="shared" ca="1" si="32"/>
        <v xml:space="preserve"> </v>
      </c>
      <c r="AF27" s="74" t="str">
        <f t="shared" ca="1" si="33"/>
        <v xml:space="preserve"> </v>
      </c>
      <c r="AG27" s="74" t="str">
        <f t="shared" ca="1" si="34"/>
        <v xml:space="preserve"> </v>
      </c>
      <c r="AH27" s="74" t="str">
        <f t="shared" ca="1" si="35"/>
        <v xml:space="preserve"> </v>
      </c>
      <c r="AI27" s="74" t="str">
        <f t="shared" ca="1" si="36"/>
        <v xml:space="preserve"> </v>
      </c>
      <c r="AJ27" s="74" t="str">
        <f t="shared" ca="1" si="37"/>
        <v xml:space="preserve"> </v>
      </c>
      <c r="AK27" s="74" t="str">
        <f t="shared" ca="1" si="38"/>
        <v xml:space="preserve"> </v>
      </c>
      <c r="AL27" s="74" t="str">
        <f t="shared" ca="1" si="39"/>
        <v xml:space="preserve"> </v>
      </c>
      <c r="AM27" s="74" t="str">
        <f t="shared" ca="1" si="40"/>
        <v xml:space="preserve"> </v>
      </c>
      <c r="AN27" s="74" t="str">
        <f t="shared" ca="1" si="41"/>
        <v xml:space="preserve"> </v>
      </c>
      <c r="AO27" s="74" t="str">
        <f t="shared" ca="1" si="42"/>
        <v xml:space="preserve"> </v>
      </c>
      <c r="AP27" s="74" t="str">
        <f t="shared" ca="1" si="43"/>
        <v xml:space="preserve"> </v>
      </c>
      <c r="AQ27" s="74" t="str">
        <f t="shared" ca="1" si="44"/>
        <v xml:space="preserve"> </v>
      </c>
      <c r="AR27" s="74" t="str">
        <f t="shared" ca="1" si="45"/>
        <v xml:space="preserve"> </v>
      </c>
      <c r="AS27" s="74" t="str">
        <f t="shared" ca="1" si="46"/>
        <v xml:space="preserve"> </v>
      </c>
      <c r="AT27" s="74" t="str">
        <f t="shared" ca="1" si="47"/>
        <v xml:space="preserve"> </v>
      </c>
      <c r="AU27" s="74" t="str">
        <f t="shared" ca="1" si="48"/>
        <v xml:space="preserve"> </v>
      </c>
      <c r="AV27" s="74" t="str">
        <f t="shared" ca="1" si="49"/>
        <v xml:space="preserve"> </v>
      </c>
      <c r="AW27" s="74" t="str">
        <f t="shared" ca="1" si="50"/>
        <v xml:space="preserve"> </v>
      </c>
      <c r="AX27" s="74" t="str">
        <f t="shared" ca="1" si="51"/>
        <v xml:space="preserve"> </v>
      </c>
      <c r="AY27" s="75" t="str">
        <f t="shared" ca="1" si="52"/>
        <v xml:space="preserve"> </v>
      </c>
      <c r="AZ27" s="73" t="str">
        <f t="shared" ca="1" si="53"/>
        <v xml:space="preserve"> </v>
      </c>
      <c r="BA27" s="73" t="str">
        <f t="shared" ca="1" si="54"/>
        <v xml:space="preserve"> </v>
      </c>
      <c r="BB27" s="73" t="str">
        <f t="shared" ca="1" si="55"/>
        <v xml:space="preserve"> </v>
      </c>
      <c r="BC27" s="73" t="str">
        <f ca="1">IF(COUNTIF(Conso!P25,"*Insuffisant*"),"x"," ")</f>
        <v xml:space="preserve"> </v>
      </c>
      <c r="BD27" s="73" t="str">
        <f ca="1">IF(COUNTIF(Conso!P25,"*Faible*"),"x"," ")</f>
        <v xml:space="preserve"> </v>
      </c>
      <c r="BE27" s="73" t="str">
        <f ca="1">IF(COUNTIF(Conso!P25,"*Acceptable*"),"x"," ")</f>
        <v xml:space="preserve"> </v>
      </c>
      <c r="BF27" s="73" t="str">
        <f ca="1">IF(COUNTIF(Conso!P25,"*Maîtrisé*"),"x"," ")</f>
        <v xml:space="preserve"> </v>
      </c>
      <c r="BG27" s="73" t="str">
        <f t="shared" ca="1" si="56"/>
        <v xml:space="preserve"> </v>
      </c>
      <c r="BH27" s="73" t="str">
        <f t="shared" ca="1" si="57"/>
        <v xml:space="preserve"> </v>
      </c>
      <c r="BI27" s="73" t="str">
        <f t="shared" ca="1" si="58"/>
        <v xml:space="preserve"> </v>
      </c>
      <c r="BJ27" s="73" t="str">
        <f t="shared" ca="1" si="59"/>
        <v xml:space="preserve"> </v>
      </c>
      <c r="BK27" s="73" t="str">
        <f t="shared" ca="1" si="60"/>
        <v xml:space="preserve"> </v>
      </c>
      <c r="BL27" s="73" t="str">
        <f t="shared" ca="1" si="61"/>
        <v xml:space="preserve"> </v>
      </c>
      <c r="BM27" s="73" t="str">
        <f t="shared" ca="1" si="62"/>
        <v xml:space="preserve"> </v>
      </c>
      <c r="BN27" s="73" t="str">
        <f t="shared" ca="1" si="63"/>
        <v xml:space="preserve"> </v>
      </c>
      <c r="BO27" s="73" t="str">
        <f t="shared" ca="1" si="64"/>
        <v xml:space="preserve"> </v>
      </c>
      <c r="BP27" s="73" t="str">
        <f t="shared" ca="1" si="65"/>
        <v xml:space="preserve"> </v>
      </c>
      <c r="BQ27" s="73" t="str">
        <f t="shared" ca="1" si="66"/>
        <v xml:space="preserve"> </v>
      </c>
      <c r="BR27" s="73" t="str">
        <f t="shared" ca="1" si="67"/>
        <v xml:space="preserve"> </v>
      </c>
      <c r="BS27" s="73" t="str">
        <f t="shared" ca="1" si="68"/>
        <v xml:space="preserve"> </v>
      </c>
      <c r="BT27" s="73" t="str">
        <f t="shared" ca="1" si="69"/>
        <v xml:space="preserve"> </v>
      </c>
      <c r="BU27" s="73" t="str">
        <f t="shared" ca="1" si="70"/>
        <v xml:space="preserve"> </v>
      </c>
      <c r="BV27" s="73" t="str">
        <f t="shared" ca="1" si="71"/>
        <v xml:space="preserve"> </v>
      </c>
      <c r="BW27" s="216" t="s">
        <v>918</v>
      </c>
    </row>
    <row r="28" spans="1:75">
      <c r="A28" s="211" t="s">
        <v>841</v>
      </c>
      <c r="B28" s="72" t="e">
        <f>#REF!</f>
        <v>#REF!</v>
      </c>
      <c r="C28" s="73" t="str">
        <f ca="1">IF(COUNTIF(Conso!O26,"*Marginal*"),"x"," ")</f>
        <v xml:space="preserve"> </v>
      </c>
      <c r="D28" s="73" t="str">
        <f ca="1">IF(COUNTIF(Conso!O26,"*Faible*"),"x"," ")</f>
        <v xml:space="preserve"> </v>
      </c>
      <c r="E28" s="73" t="str">
        <f ca="1">IF(COUNTIF(Conso!O26,"*Modéré*"),"x"," ")</f>
        <v xml:space="preserve"> </v>
      </c>
      <c r="F28" s="73" t="str">
        <f ca="1">IF(COUNTIF(Conso!O26,"*Elevé*"),"x"," ")</f>
        <v xml:space="preserve"> </v>
      </c>
      <c r="G28" s="73" t="str">
        <f ca="1">IF(COUNTIF(Conso!O26,"*Critique*"),"x"," ")</f>
        <v xml:space="preserve"> </v>
      </c>
      <c r="H28" s="73" t="str">
        <f ca="1">IF(COUNTIF(Conso!O26,"*Catastrophique*"),"x"," ")</f>
        <v xml:space="preserve"> </v>
      </c>
      <c r="I28" s="73" t="str">
        <f ca="1">IF(COUNTIF(Conso!N26,"*Exceptionnelle*"),"x"," ")</f>
        <v xml:space="preserve"> </v>
      </c>
      <c r="J28" s="73" t="str">
        <f ca="1">IF(COUNTIF(Conso!N26,"*Rare*"),"x"," ")</f>
        <v xml:space="preserve"> </v>
      </c>
      <c r="K28" s="73" t="str">
        <f ca="1">IF(COUNTIF(Conso!N26,"*Modérée*"),"x"," ")</f>
        <v xml:space="preserve"> </v>
      </c>
      <c r="L28" s="73" t="str">
        <f ca="1">IF(COUNTIF(Conso!N26,"*Elevée*"),"x"," ")</f>
        <v xml:space="preserve"> </v>
      </c>
      <c r="M28" s="73" t="str">
        <f ca="1">IF(COUNTIF(Conso!N26,"*Récurrente*"),"x"," ")</f>
        <v xml:space="preserve"> </v>
      </c>
      <c r="N28" s="73" t="str">
        <f ca="1">IF(COUNTIF(Conso!N26,"*Permanente*"),"x"," ")</f>
        <v xml:space="preserve"> </v>
      </c>
      <c r="O28" s="74" t="str">
        <f t="shared" ca="1" si="16"/>
        <v xml:space="preserve"> </v>
      </c>
      <c r="P28" s="74" t="str">
        <f t="shared" ca="1" si="17"/>
        <v xml:space="preserve"> </v>
      </c>
      <c r="Q28" s="74" t="str">
        <f t="shared" ca="1" si="18"/>
        <v xml:space="preserve"> </v>
      </c>
      <c r="R28" s="74" t="str">
        <f t="shared" ca="1" si="19"/>
        <v xml:space="preserve"> </v>
      </c>
      <c r="S28" s="74" t="str">
        <f t="shared" ca="1" si="20"/>
        <v xml:space="preserve"> </v>
      </c>
      <c r="T28" s="74" t="str">
        <f t="shared" ca="1" si="21"/>
        <v xml:space="preserve"> </v>
      </c>
      <c r="U28" s="74" t="str">
        <f t="shared" ca="1" si="22"/>
        <v xml:space="preserve"> </v>
      </c>
      <c r="V28" s="74" t="str">
        <f t="shared" ca="1" si="23"/>
        <v xml:space="preserve"> </v>
      </c>
      <c r="W28" s="74" t="str">
        <f t="shared" ca="1" si="24"/>
        <v xml:space="preserve"> </v>
      </c>
      <c r="X28" s="74" t="str">
        <f t="shared" ca="1" si="25"/>
        <v xml:space="preserve"> </v>
      </c>
      <c r="Y28" s="74" t="str">
        <f t="shared" ca="1" si="26"/>
        <v xml:space="preserve"> </v>
      </c>
      <c r="Z28" s="74" t="str">
        <f t="shared" ca="1" si="27"/>
        <v xml:space="preserve"> </v>
      </c>
      <c r="AA28" s="74" t="str">
        <f t="shared" ca="1" si="28"/>
        <v xml:space="preserve"> </v>
      </c>
      <c r="AB28" s="74" t="str">
        <f t="shared" ca="1" si="29"/>
        <v xml:space="preserve"> </v>
      </c>
      <c r="AC28" s="74" t="str">
        <f t="shared" ca="1" si="30"/>
        <v xml:space="preserve"> </v>
      </c>
      <c r="AD28" s="74" t="str">
        <f t="shared" ca="1" si="31"/>
        <v xml:space="preserve"> </v>
      </c>
      <c r="AE28" s="74" t="str">
        <f t="shared" ca="1" si="32"/>
        <v xml:space="preserve"> </v>
      </c>
      <c r="AF28" s="74" t="str">
        <f t="shared" ca="1" si="33"/>
        <v xml:space="preserve"> </v>
      </c>
      <c r="AG28" s="74" t="str">
        <f t="shared" ca="1" si="34"/>
        <v xml:space="preserve"> </v>
      </c>
      <c r="AH28" s="74" t="str">
        <f t="shared" ca="1" si="35"/>
        <v xml:space="preserve"> </v>
      </c>
      <c r="AI28" s="74" t="str">
        <f t="shared" ca="1" si="36"/>
        <v xml:space="preserve"> </v>
      </c>
      <c r="AJ28" s="74" t="str">
        <f t="shared" ca="1" si="37"/>
        <v xml:space="preserve"> </v>
      </c>
      <c r="AK28" s="74" t="str">
        <f t="shared" ca="1" si="38"/>
        <v xml:space="preserve"> </v>
      </c>
      <c r="AL28" s="74" t="str">
        <f t="shared" ca="1" si="39"/>
        <v xml:space="preserve"> </v>
      </c>
      <c r="AM28" s="74" t="str">
        <f t="shared" ca="1" si="40"/>
        <v xml:space="preserve"> </v>
      </c>
      <c r="AN28" s="74" t="str">
        <f t="shared" ca="1" si="41"/>
        <v xml:space="preserve"> </v>
      </c>
      <c r="AO28" s="74" t="str">
        <f t="shared" ca="1" si="42"/>
        <v xml:space="preserve"> </v>
      </c>
      <c r="AP28" s="74" t="str">
        <f t="shared" ca="1" si="43"/>
        <v xml:space="preserve"> </v>
      </c>
      <c r="AQ28" s="74" t="str">
        <f t="shared" ca="1" si="44"/>
        <v xml:space="preserve"> </v>
      </c>
      <c r="AR28" s="74" t="str">
        <f t="shared" ca="1" si="45"/>
        <v xml:space="preserve"> </v>
      </c>
      <c r="AS28" s="74" t="str">
        <f t="shared" ca="1" si="46"/>
        <v xml:space="preserve"> </v>
      </c>
      <c r="AT28" s="74" t="str">
        <f t="shared" ca="1" si="47"/>
        <v xml:space="preserve"> </v>
      </c>
      <c r="AU28" s="74" t="str">
        <f t="shared" ca="1" si="48"/>
        <v xml:space="preserve"> </v>
      </c>
      <c r="AV28" s="74" t="str">
        <f t="shared" ca="1" si="49"/>
        <v xml:space="preserve"> </v>
      </c>
      <c r="AW28" s="74" t="str">
        <f t="shared" ca="1" si="50"/>
        <v xml:space="preserve"> </v>
      </c>
      <c r="AX28" s="74" t="str">
        <f t="shared" ca="1" si="51"/>
        <v xml:space="preserve"> </v>
      </c>
      <c r="AY28" s="75" t="str">
        <f t="shared" ca="1" si="52"/>
        <v xml:space="preserve"> </v>
      </c>
      <c r="AZ28" s="73" t="str">
        <f t="shared" ca="1" si="53"/>
        <v xml:space="preserve"> </v>
      </c>
      <c r="BA28" s="73" t="str">
        <f t="shared" ca="1" si="54"/>
        <v xml:space="preserve"> </v>
      </c>
      <c r="BB28" s="73" t="str">
        <f t="shared" ca="1" si="55"/>
        <v xml:space="preserve"> </v>
      </c>
      <c r="BC28" s="73" t="str">
        <f ca="1">IF(COUNTIF(Conso!P26,"*Insuffisant*"),"x"," ")</f>
        <v xml:space="preserve"> </v>
      </c>
      <c r="BD28" s="73" t="str">
        <f ca="1">IF(COUNTIF(Conso!P26,"*Faible*"),"x"," ")</f>
        <v xml:space="preserve"> </v>
      </c>
      <c r="BE28" s="73" t="str">
        <f ca="1">IF(COUNTIF(Conso!P26,"*Acceptable*"),"x"," ")</f>
        <v xml:space="preserve"> </v>
      </c>
      <c r="BF28" s="73" t="str">
        <f ca="1">IF(COUNTIF(Conso!P26,"*Maîtrisé*"),"x"," ")</f>
        <v xml:space="preserve"> </v>
      </c>
      <c r="BG28" s="73" t="str">
        <f t="shared" ca="1" si="56"/>
        <v xml:space="preserve"> </v>
      </c>
      <c r="BH28" s="73" t="str">
        <f t="shared" ca="1" si="57"/>
        <v xml:space="preserve"> </v>
      </c>
      <c r="BI28" s="73" t="str">
        <f t="shared" ca="1" si="58"/>
        <v xml:space="preserve"> </v>
      </c>
      <c r="BJ28" s="73" t="str">
        <f t="shared" ca="1" si="59"/>
        <v xml:space="preserve"> </v>
      </c>
      <c r="BK28" s="73" t="str">
        <f t="shared" ca="1" si="60"/>
        <v xml:space="preserve"> </v>
      </c>
      <c r="BL28" s="73" t="str">
        <f t="shared" ca="1" si="61"/>
        <v xml:space="preserve"> </v>
      </c>
      <c r="BM28" s="73" t="str">
        <f t="shared" ca="1" si="62"/>
        <v xml:space="preserve"> </v>
      </c>
      <c r="BN28" s="73" t="str">
        <f t="shared" ca="1" si="63"/>
        <v xml:space="preserve"> </v>
      </c>
      <c r="BO28" s="73" t="str">
        <f t="shared" ca="1" si="64"/>
        <v xml:space="preserve"> </v>
      </c>
      <c r="BP28" s="73" t="str">
        <f t="shared" ca="1" si="65"/>
        <v xml:space="preserve"> </v>
      </c>
      <c r="BQ28" s="73" t="str">
        <f t="shared" ca="1" si="66"/>
        <v xml:space="preserve"> </v>
      </c>
      <c r="BR28" s="73" t="str">
        <f t="shared" ca="1" si="67"/>
        <v xml:space="preserve"> </v>
      </c>
      <c r="BS28" s="73" t="str">
        <f t="shared" ca="1" si="68"/>
        <v xml:space="preserve"> </v>
      </c>
      <c r="BT28" s="73" t="str">
        <f t="shared" ca="1" si="69"/>
        <v xml:space="preserve"> </v>
      </c>
      <c r="BU28" s="73" t="str">
        <f t="shared" ca="1" si="70"/>
        <v xml:space="preserve"> </v>
      </c>
      <c r="BV28" s="73" t="str">
        <f t="shared" ca="1" si="71"/>
        <v xml:space="preserve"> </v>
      </c>
      <c r="BW28" s="216" t="s">
        <v>919</v>
      </c>
    </row>
    <row r="29" spans="1:75" ht="43.5" customHeight="1">
      <c r="A29" s="211" t="s">
        <v>842</v>
      </c>
      <c r="B29" s="72" t="e">
        <f>#REF!</f>
        <v>#REF!</v>
      </c>
      <c r="C29" s="73" t="str">
        <f ca="1">IF(COUNTIF(Conso!O27,"*Marginal*"),"x"," ")</f>
        <v xml:space="preserve"> </v>
      </c>
      <c r="D29" s="73" t="str">
        <f ca="1">IF(COUNTIF(Conso!O27,"*Faible*"),"x"," ")</f>
        <v xml:space="preserve"> </v>
      </c>
      <c r="E29" s="73" t="str">
        <f ca="1">IF(COUNTIF(Conso!O27,"*Modéré*"),"x"," ")</f>
        <v xml:space="preserve"> </v>
      </c>
      <c r="F29" s="73" t="str">
        <f ca="1">IF(COUNTIF(Conso!O27,"*Elevé*"),"x"," ")</f>
        <v xml:space="preserve"> </v>
      </c>
      <c r="G29" s="73" t="str">
        <f ca="1">IF(COUNTIF(Conso!O27,"*Critique*"),"x"," ")</f>
        <v xml:space="preserve"> </v>
      </c>
      <c r="H29" s="73" t="str">
        <f ca="1">IF(COUNTIF(Conso!O27,"*Catastrophique*"),"x"," ")</f>
        <v xml:space="preserve"> </v>
      </c>
      <c r="I29" s="73" t="str">
        <f ca="1">IF(COUNTIF(Conso!N27,"*Exceptionnelle*"),"x"," ")</f>
        <v xml:space="preserve"> </v>
      </c>
      <c r="J29" s="73" t="str">
        <f ca="1">IF(COUNTIF(Conso!N27,"*Rare*"),"x"," ")</f>
        <v xml:space="preserve"> </v>
      </c>
      <c r="K29" s="73" t="str">
        <f ca="1">IF(COUNTIF(Conso!N27,"*Modérée*"),"x"," ")</f>
        <v xml:space="preserve"> </v>
      </c>
      <c r="L29" s="73" t="str">
        <f ca="1">IF(COUNTIF(Conso!N27,"*Elevée*"),"x"," ")</f>
        <v xml:space="preserve"> </v>
      </c>
      <c r="M29" s="73" t="str">
        <f ca="1">IF(COUNTIF(Conso!N27,"*Récurrente*"),"x"," ")</f>
        <v xml:space="preserve"> </v>
      </c>
      <c r="N29" s="73" t="str">
        <f ca="1">IF(COUNTIF(Conso!N27,"*Permanente*"),"x"," ")</f>
        <v xml:space="preserve"> </v>
      </c>
      <c r="O29" s="74" t="str">
        <f t="shared" ca="1" si="16"/>
        <v xml:space="preserve"> </v>
      </c>
      <c r="P29" s="74" t="str">
        <f t="shared" ca="1" si="17"/>
        <v xml:space="preserve"> </v>
      </c>
      <c r="Q29" s="74" t="str">
        <f t="shared" ca="1" si="18"/>
        <v xml:space="preserve"> </v>
      </c>
      <c r="R29" s="74" t="str">
        <f t="shared" ca="1" si="19"/>
        <v xml:space="preserve"> </v>
      </c>
      <c r="S29" s="74" t="str">
        <f t="shared" ca="1" si="20"/>
        <v xml:space="preserve"> </v>
      </c>
      <c r="T29" s="74" t="str">
        <f t="shared" ca="1" si="21"/>
        <v xml:space="preserve"> </v>
      </c>
      <c r="U29" s="74" t="str">
        <f t="shared" ca="1" si="22"/>
        <v xml:space="preserve"> </v>
      </c>
      <c r="V29" s="74" t="str">
        <f t="shared" ca="1" si="23"/>
        <v xml:space="preserve"> </v>
      </c>
      <c r="W29" s="74" t="str">
        <f t="shared" ca="1" si="24"/>
        <v xml:space="preserve"> </v>
      </c>
      <c r="X29" s="74" t="str">
        <f t="shared" ca="1" si="25"/>
        <v xml:space="preserve"> </v>
      </c>
      <c r="Y29" s="74" t="str">
        <f t="shared" ca="1" si="26"/>
        <v xml:space="preserve"> </v>
      </c>
      <c r="Z29" s="74" t="str">
        <f t="shared" ca="1" si="27"/>
        <v xml:space="preserve"> </v>
      </c>
      <c r="AA29" s="74" t="str">
        <f t="shared" ca="1" si="28"/>
        <v xml:space="preserve"> </v>
      </c>
      <c r="AB29" s="74" t="str">
        <f t="shared" ca="1" si="29"/>
        <v xml:space="preserve"> </v>
      </c>
      <c r="AC29" s="74" t="str">
        <f t="shared" ca="1" si="30"/>
        <v xml:space="preserve"> </v>
      </c>
      <c r="AD29" s="74" t="str">
        <f t="shared" ca="1" si="31"/>
        <v xml:space="preserve"> </v>
      </c>
      <c r="AE29" s="74" t="str">
        <f t="shared" ca="1" si="32"/>
        <v xml:space="preserve"> </v>
      </c>
      <c r="AF29" s="74" t="str">
        <f t="shared" ca="1" si="33"/>
        <v xml:space="preserve"> </v>
      </c>
      <c r="AG29" s="74" t="str">
        <f t="shared" ca="1" si="34"/>
        <v xml:space="preserve"> </v>
      </c>
      <c r="AH29" s="74" t="str">
        <f t="shared" ca="1" si="35"/>
        <v xml:space="preserve"> </v>
      </c>
      <c r="AI29" s="74" t="str">
        <f t="shared" ca="1" si="36"/>
        <v xml:space="preserve"> </v>
      </c>
      <c r="AJ29" s="74" t="str">
        <f t="shared" ca="1" si="37"/>
        <v xml:space="preserve"> </v>
      </c>
      <c r="AK29" s="74" t="str">
        <f t="shared" ca="1" si="38"/>
        <v xml:space="preserve"> </v>
      </c>
      <c r="AL29" s="74" t="str">
        <f t="shared" ca="1" si="39"/>
        <v xml:space="preserve"> </v>
      </c>
      <c r="AM29" s="74" t="str">
        <f t="shared" ca="1" si="40"/>
        <v xml:space="preserve"> </v>
      </c>
      <c r="AN29" s="74" t="str">
        <f t="shared" ca="1" si="41"/>
        <v xml:space="preserve"> </v>
      </c>
      <c r="AO29" s="74" t="str">
        <f t="shared" ca="1" si="42"/>
        <v xml:space="preserve"> </v>
      </c>
      <c r="AP29" s="74" t="str">
        <f t="shared" ca="1" si="43"/>
        <v xml:space="preserve"> </v>
      </c>
      <c r="AQ29" s="74" t="str">
        <f t="shared" ca="1" si="44"/>
        <v xml:space="preserve"> </v>
      </c>
      <c r="AR29" s="74" t="str">
        <f t="shared" ca="1" si="45"/>
        <v xml:space="preserve"> </v>
      </c>
      <c r="AS29" s="74" t="str">
        <f t="shared" ca="1" si="46"/>
        <v xml:space="preserve"> </v>
      </c>
      <c r="AT29" s="74" t="str">
        <f t="shared" ca="1" si="47"/>
        <v xml:space="preserve"> </v>
      </c>
      <c r="AU29" s="74" t="str">
        <f t="shared" ca="1" si="48"/>
        <v xml:space="preserve"> </v>
      </c>
      <c r="AV29" s="74" t="str">
        <f t="shared" ca="1" si="49"/>
        <v xml:space="preserve"> </v>
      </c>
      <c r="AW29" s="74" t="str">
        <f t="shared" ca="1" si="50"/>
        <v xml:space="preserve"> </v>
      </c>
      <c r="AX29" s="74" t="str">
        <f t="shared" ca="1" si="51"/>
        <v xml:space="preserve"> </v>
      </c>
      <c r="AY29" s="75" t="str">
        <f t="shared" ca="1" si="52"/>
        <v xml:space="preserve"> </v>
      </c>
      <c r="AZ29" s="73" t="str">
        <f t="shared" ca="1" si="53"/>
        <v xml:space="preserve"> </v>
      </c>
      <c r="BA29" s="73" t="str">
        <f t="shared" ca="1" si="54"/>
        <v xml:space="preserve"> </v>
      </c>
      <c r="BB29" s="73" t="str">
        <f t="shared" ca="1" si="55"/>
        <v xml:space="preserve"> </v>
      </c>
      <c r="BC29" s="73" t="str">
        <f ca="1">IF(COUNTIF(Conso!P27,"*Insuffisant*"),"x"," ")</f>
        <v xml:space="preserve"> </v>
      </c>
      <c r="BD29" s="73" t="str">
        <f ca="1">IF(COUNTIF(Conso!P27,"*Faible*"),"x"," ")</f>
        <v xml:space="preserve"> </v>
      </c>
      <c r="BE29" s="73" t="str">
        <f ca="1">IF(COUNTIF(Conso!P27,"*Acceptable*"),"x"," ")</f>
        <v xml:space="preserve"> </v>
      </c>
      <c r="BF29" s="73" t="str">
        <f ca="1">IF(COUNTIF(Conso!P27,"*Maîtrisé*"),"x"," ")</f>
        <v xml:space="preserve"> </v>
      </c>
      <c r="BG29" s="73" t="str">
        <f t="shared" ca="1" si="56"/>
        <v xml:space="preserve"> </v>
      </c>
      <c r="BH29" s="73" t="str">
        <f t="shared" ca="1" si="57"/>
        <v xml:space="preserve"> </v>
      </c>
      <c r="BI29" s="73" t="str">
        <f t="shared" ca="1" si="58"/>
        <v xml:space="preserve"> </v>
      </c>
      <c r="BJ29" s="73" t="str">
        <f t="shared" ca="1" si="59"/>
        <v xml:space="preserve"> </v>
      </c>
      <c r="BK29" s="73" t="str">
        <f t="shared" ca="1" si="60"/>
        <v xml:space="preserve"> </v>
      </c>
      <c r="BL29" s="73" t="str">
        <f t="shared" ca="1" si="61"/>
        <v xml:space="preserve"> </v>
      </c>
      <c r="BM29" s="73" t="str">
        <f t="shared" ca="1" si="62"/>
        <v xml:space="preserve"> </v>
      </c>
      <c r="BN29" s="73" t="str">
        <f t="shared" ca="1" si="63"/>
        <v xml:space="preserve"> </v>
      </c>
      <c r="BO29" s="73" t="str">
        <f t="shared" ca="1" si="64"/>
        <v xml:space="preserve"> </v>
      </c>
      <c r="BP29" s="73" t="str">
        <f t="shared" ca="1" si="65"/>
        <v xml:space="preserve"> </v>
      </c>
      <c r="BQ29" s="73" t="str">
        <f t="shared" ca="1" si="66"/>
        <v xml:space="preserve"> </v>
      </c>
      <c r="BR29" s="73" t="str">
        <f t="shared" ca="1" si="67"/>
        <v xml:space="preserve"> </v>
      </c>
      <c r="BS29" s="73" t="str">
        <f t="shared" ca="1" si="68"/>
        <v xml:space="preserve"> </v>
      </c>
      <c r="BT29" s="73" t="str">
        <f t="shared" ca="1" si="69"/>
        <v xml:space="preserve"> </v>
      </c>
      <c r="BU29" s="73" t="str">
        <f t="shared" ca="1" si="70"/>
        <v xml:space="preserve"> </v>
      </c>
      <c r="BV29" s="73" t="str">
        <f t="shared" ca="1" si="71"/>
        <v xml:space="preserve"> </v>
      </c>
      <c r="BW29" s="216" t="s">
        <v>920</v>
      </c>
    </row>
    <row r="30" spans="1:75" ht="43.5" customHeight="1">
      <c r="A30" s="211" t="s">
        <v>843</v>
      </c>
      <c r="B30" s="72" t="e">
        <f>#REF!</f>
        <v>#REF!</v>
      </c>
      <c r="C30" s="73" t="str">
        <f ca="1">IF(COUNTIF(Conso!O28,"*Marginal*"),"x"," ")</f>
        <v xml:space="preserve"> </v>
      </c>
      <c r="D30" s="73" t="str">
        <f ca="1">IF(COUNTIF(Conso!O28,"*Faible*"),"x"," ")</f>
        <v xml:space="preserve"> </v>
      </c>
      <c r="E30" s="73" t="str">
        <f ca="1">IF(COUNTIF(Conso!O28,"*Modéré*"),"x"," ")</f>
        <v xml:space="preserve"> </v>
      </c>
      <c r="F30" s="73" t="str">
        <f ca="1">IF(COUNTIF(Conso!O28,"*Elevé*"),"x"," ")</f>
        <v xml:space="preserve"> </v>
      </c>
      <c r="G30" s="73" t="str">
        <f ca="1">IF(COUNTIF(Conso!O28,"*Critique*"),"x"," ")</f>
        <v xml:space="preserve"> </v>
      </c>
      <c r="H30" s="73" t="str">
        <f ca="1">IF(COUNTIF(Conso!O28,"*Catastrophique*"),"x"," ")</f>
        <v xml:space="preserve"> </v>
      </c>
      <c r="I30" s="73" t="str">
        <f ca="1">IF(COUNTIF(Conso!N28,"*Exceptionnelle*"),"x"," ")</f>
        <v xml:space="preserve"> </v>
      </c>
      <c r="J30" s="73" t="str">
        <f ca="1">IF(COUNTIF(Conso!N28,"*Rare*"),"x"," ")</f>
        <v xml:space="preserve"> </v>
      </c>
      <c r="K30" s="73" t="str">
        <f ca="1">IF(COUNTIF(Conso!N28,"*Modérée*"),"x"," ")</f>
        <v xml:space="preserve"> </v>
      </c>
      <c r="L30" s="73" t="str">
        <f ca="1">IF(COUNTIF(Conso!N28,"*Elevée*"),"x"," ")</f>
        <v xml:space="preserve"> </v>
      </c>
      <c r="M30" s="73" t="str">
        <f ca="1">IF(COUNTIF(Conso!N28,"*Récurrente*"),"x"," ")</f>
        <v xml:space="preserve"> </v>
      </c>
      <c r="N30" s="73" t="str">
        <f ca="1">IF(COUNTIF(Conso!N28,"*Permanente*"),"x"," ")</f>
        <v xml:space="preserve"> </v>
      </c>
      <c r="O30" s="74" t="str">
        <f t="shared" ca="1" si="16"/>
        <v xml:space="preserve"> </v>
      </c>
      <c r="P30" s="74" t="str">
        <f t="shared" ca="1" si="17"/>
        <v xml:space="preserve"> </v>
      </c>
      <c r="Q30" s="74" t="str">
        <f t="shared" ca="1" si="18"/>
        <v xml:space="preserve"> </v>
      </c>
      <c r="R30" s="74" t="str">
        <f t="shared" ca="1" si="19"/>
        <v xml:space="preserve"> </v>
      </c>
      <c r="S30" s="74" t="str">
        <f t="shared" ca="1" si="20"/>
        <v xml:space="preserve"> </v>
      </c>
      <c r="T30" s="74" t="str">
        <f t="shared" ca="1" si="21"/>
        <v xml:space="preserve"> </v>
      </c>
      <c r="U30" s="74" t="str">
        <f t="shared" ca="1" si="22"/>
        <v xml:space="preserve"> </v>
      </c>
      <c r="V30" s="74" t="str">
        <f t="shared" ca="1" si="23"/>
        <v xml:space="preserve"> </v>
      </c>
      <c r="W30" s="74" t="str">
        <f t="shared" ca="1" si="24"/>
        <v xml:space="preserve"> </v>
      </c>
      <c r="X30" s="74" t="str">
        <f t="shared" ca="1" si="25"/>
        <v xml:space="preserve"> </v>
      </c>
      <c r="Y30" s="74" t="str">
        <f t="shared" ca="1" si="26"/>
        <v xml:space="preserve"> </v>
      </c>
      <c r="Z30" s="74" t="str">
        <f t="shared" ca="1" si="27"/>
        <v xml:space="preserve"> </v>
      </c>
      <c r="AA30" s="74" t="str">
        <f t="shared" ca="1" si="28"/>
        <v xml:space="preserve"> </v>
      </c>
      <c r="AB30" s="74" t="str">
        <f t="shared" ca="1" si="29"/>
        <v xml:space="preserve"> </v>
      </c>
      <c r="AC30" s="74" t="str">
        <f t="shared" ca="1" si="30"/>
        <v xml:space="preserve"> </v>
      </c>
      <c r="AD30" s="74" t="str">
        <f t="shared" ca="1" si="31"/>
        <v xml:space="preserve"> </v>
      </c>
      <c r="AE30" s="74" t="str">
        <f t="shared" ca="1" si="32"/>
        <v xml:space="preserve"> </v>
      </c>
      <c r="AF30" s="74" t="str">
        <f t="shared" ca="1" si="33"/>
        <v xml:space="preserve"> </v>
      </c>
      <c r="AG30" s="74" t="str">
        <f t="shared" ca="1" si="34"/>
        <v xml:space="preserve"> </v>
      </c>
      <c r="AH30" s="74" t="str">
        <f t="shared" ca="1" si="35"/>
        <v xml:space="preserve"> </v>
      </c>
      <c r="AI30" s="74" t="str">
        <f t="shared" ca="1" si="36"/>
        <v xml:space="preserve"> </v>
      </c>
      <c r="AJ30" s="74" t="str">
        <f t="shared" ca="1" si="37"/>
        <v xml:space="preserve"> </v>
      </c>
      <c r="AK30" s="74" t="str">
        <f t="shared" ca="1" si="38"/>
        <v xml:space="preserve"> </v>
      </c>
      <c r="AL30" s="74" t="str">
        <f t="shared" ca="1" si="39"/>
        <v xml:space="preserve"> </v>
      </c>
      <c r="AM30" s="74" t="str">
        <f t="shared" ca="1" si="40"/>
        <v xml:space="preserve"> </v>
      </c>
      <c r="AN30" s="74" t="str">
        <f t="shared" ca="1" si="41"/>
        <v xml:space="preserve"> </v>
      </c>
      <c r="AO30" s="74" t="str">
        <f t="shared" ca="1" si="42"/>
        <v xml:space="preserve"> </v>
      </c>
      <c r="AP30" s="74" t="str">
        <f t="shared" ca="1" si="43"/>
        <v xml:space="preserve"> </v>
      </c>
      <c r="AQ30" s="74" t="str">
        <f t="shared" ca="1" si="44"/>
        <v xml:space="preserve"> </v>
      </c>
      <c r="AR30" s="74" t="str">
        <f t="shared" ca="1" si="45"/>
        <v xml:space="preserve"> </v>
      </c>
      <c r="AS30" s="74" t="str">
        <f t="shared" ca="1" si="46"/>
        <v xml:space="preserve"> </v>
      </c>
      <c r="AT30" s="74" t="str">
        <f t="shared" ca="1" si="47"/>
        <v xml:space="preserve"> </v>
      </c>
      <c r="AU30" s="74" t="str">
        <f t="shared" ca="1" si="48"/>
        <v xml:space="preserve"> </v>
      </c>
      <c r="AV30" s="74" t="str">
        <f t="shared" ca="1" si="49"/>
        <v xml:space="preserve"> </v>
      </c>
      <c r="AW30" s="74" t="str">
        <f t="shared" ca="1" si="50"/>
        <v xml:space="preserve"> </v>
      </c>
      <c r="AX30" s="74" t="str">
        <f t="shared" ca="1" si="51"/>
        <v xml:space="preserve"> </v>
      </c>
      <c r="AY30" s="75" t="str">
        <f t="shared" ca="1" si="52"/>
        <v xml:space="preserve"> </v>
      </c>
      <c r="AZ30" s="73" t="str">
        <f t="shared" ca="1" si="53"/>
        <v xml:space="preserve"> </v>
      </c>
      <c r="BA30" s="73" t="str">
        <f t="shared" ca="1" si="54"/>
        <v xml:space="preserve"> </v>
      </c>
      <c r="BB30" s="73" t="str">
        <f t="shared" ca="1" si="55"/>
        <v xml:space="preserve"> </v>
      </c>
      <c r="BC30" s="73" t="str">
        <f ca="1">IF(COUNTIF(Conso!P28,"*Insuffisant*"),"x"," ")</f>
        <v xml:space="preserve"> </v>
      </c>
      <c r="BD30" s="73" t="str">
        <f ca="1">IF(COUNTIF(Conso!P28,"*Faible*"),"x"," ")</f>
        <v xml:space="preserve"> </v>
      </c>
      <c r="BE30" s="73" t="str">
        <f ca="1">IF(COUNTIF(Conso!P28,"*Acceptable*"),"x"," ")</f>
        <v xml:space="preserve"> </v>
      </c>
      <c r="BF30" s="73" t="str">
        <f ca="1">IF(COUNTIF(Conso!P28,"*Maîtrisé*"),"x"," ")</f>
        <v xml:space="preserve"> </v>
      </c>
      <c r="BG30" s="73" t="str">
        <f t="shared" ca="1" si="56"/>
        <v xml:space="preserve"> </v>
      </c>
      <c r="BH30" s="73" t="str">
        <f t="shared" ca="1" si="57"/>
        <v xml:space="preserve"> </v>
      </c>
      <c r="BI30" s="73" t="str">
        <f t="shared" ca="1" si="58"/>
        <v xml:space="preserve"> </v>
      </c>
      <c r="BJ30" s="73" t="str">
        <f t="shared" ca="1" si="59"/>
        <v xml:space="preserve"> </v>
      </c>
      <c r="BK30" s="73" t="str">
        <f t="shared" ca="1" si="60"/>
        <v xml:space="preserve"> </v>
      </c>
      <c r="BL30" s="73" t="str">
        <f t="shared" ca="1" si="61"/>
        <v xml:space="preserve"> </v>
      </c>
      <c r="BM30" s="73" t="str">
        <f t="shared" ca="1" si="62"/>
        <v xml:space="preserve"> </v>
      </c>
      <c r="BN30" s="73" t="str">
        <f t="shared" ca="1" si="63"/>
        <v xml:space="preserve"> </v>
      </c>
      <c r="BO30" s="73" t="str">
        <f t="shared" ca="1" si="64"/>
        <v xml:space="preserve"> </v>
      </c>
      <c r="BP30" s="73" t="str">
        <f t="shared" ca="1" si="65"/>
        <v xml:space="preserve"> </v>
      </c>
      <c r="BQ30" s="73" t="str">
        <f t="shared" ca="1" si="66"/>
        <v xml:space="preserve"> </v>
      </c>
      <c r="BR30" s="73" t="str">
        <f t="shared" ca="1" si="67"/>
        <v xml:space="preserve"> </v>
      </c>
      <c r="BS30" s="73" t="str">
        <f t="shared" ca="1" si="68"/>
        <v xml:space="preserve"> </v>
      </c>
      <c r="BT30" s="73" t="str">
        <f t="shared" ca="1" si="69"/>
        <v xml:space="preserve"> </v>
      </c>
      <c r="BU30" s="73" t="str">
        <f t="shared" ca="1" si="70"/>
        <v xml:space="preserve"> </v>
      </c>
      <c r="BV30" s="73" t="str">
        <f t="shared" ca="1" si="71"/>
        <v xml:space="preserve"> </v>
      </c>
      <c r="BW30" s="216" t="s">
        <v>921</v>
      </c>
    </row>
    <row r="31" spans="1:75" ht="43.5" customHeight="1">
      <c r="A31" s="211" t="s">
        <v>844</v>
      </c>
      <c r="B31" s="72" t="e">
        <f>#REF!</f>
        <v>#REF!</v>
      </c>
      <c r="C31" s="73" t="str">
        <f ca="1">IF(COUNTIF(Conso!O29,"*Marginal*"),"x"," ")</f>
        <v xml:space="preserve"> </v>
      </c>
      <c r="D31" s="73" t="str">
        <f ca="1">IF(COUNTIF(Conso!O29,"*Faible*"),"x"," ")</f>
        <v xml:space="preserve"> </v>
      </c>
      <c r="E31" s="73" t="str">
        <f ca="1">IF(COUNTIF(Conso!O29,"*Modéré*"),"x"," ")</f>
        <v xml:space="preserve"> </v>
      </c>
      <c r="F31" s="73" t="str">
        <f ca="1">IF(COUNTIF(Conso!O29,"*Elevé*"),"x"," ")</f>
        <v xml:space="preserve"> </v>
      </c>
      <c r="G31" s="73" t="str">
        <f ca="1">IF(COUNTIF(Conso!O29,"*Critique*"),"x"," ")</f>
        <v xml:space="preserve"> </v>
      </c>
      <c r="H31" s="73" t="str">
        <f ca="1">IF(COUNTIF(Conso!O29,"*Catastrophique*"),"x"," ")</f>
        <v xml:space="preserve"> </v>
      </c>
      <c r="I31" s="73" t="str">
        <f ca="1">IF(COUNTIF(Conso!N29,"*Exceptionnelle*"),"x"," ")</f>
        <v xml:space="preserve"> </v>
      </c>
      <c r="J31" s="73" t="str">
        <f ca="1">IF(COUNTIF(Conso!N29,"*Rare*"),"x"," ")</f>
        <v xml:space="preserve"> </v>
      </c>
      <c r="K31" s="73" t="str">
        <f ca="1">IF(COUNTIF(Conso!N29,"*Modérée*"),"x"," ")</f>
        <v xml:space="preserve"> </v>
      </c>
      <c r="L31" s="73" t="str">
        <f ca="1">IF(COUNTIF(Conso!N29,"*Elevée*"),"x"," ")</f>
        <v xml:space="preserve"> </v>
      </c>
      <c r="M31" s="73" t="str">
        <f ca="1">IF(COUNTIF(Conso!N29,"*Récurrente*"),"x"," ")</f>
        <v xml:space="preserve"> </v>
      </c>
      <c r="N31" s="73" t="str">
        <f ca="1">IF(COUNTIF(Conso!N29,"*Permanente*"),"x"," ")</f>
        <v xml:space="preserve"> </v>
      </c>
      <c r="O31" s="74" t="str">
        <f t="shared" ca="1" si="16"/>
        <v xml:space="preserve"> </v>
      </c>
      <c r="P31" s="74" t="str">
        <f t="shared" ca="1" si="17"/>
        <v xml:space="preserve"> </v>
      </c>
      <c r="Q31" s="74" t="str">
        <f t="shared" ca="1" si="18"/>
        <v xml:space="preserve"> </v>
      </c>
      <c r="R31" s="74" t="str">
        <f t="shared" ca="1" si="19"/>
        <v xml:space="preserve"> </v>
      </c>
      <c r="S31" s="74" t="str">
        <f t="shared" ca="1" si="20"/>
        <v xml:space="preserve"> </v>
      </c>
      <c r="T31" s="74" t="str">
        <f t="shared" ca="1" si="21"/>
        <v xml:space="preserve"> </v>
      </c>
      <c r="U31" s="74" t="str">
        <f t="shared" ca="1" si="22"/>
        <v xml:space="preserve"> </v>
      </c>
      <c r="V31" s="74" t="str">
        <f t="shared" ca="1" si="23"/>
        <v xml:space="preserve"> </v>
      </c>
      <c r="W31" s="74" t="str">
        <f t="shared" ca="1" si="24"/>
        <v xml:space="preserve"> </v>
      </c>
      <c r="X31" s="74" t="str">
        <f t="shared" ca="1" si="25"/>
        <v xml:space="preserve"> </v>
      </c>
      <c r="Y31" s="74" t="str">
        <f t="shared" ca="1" si="26"/>
        <v xml:space="preserve"> </v>
      </c>
      <c r="Z31" s="74" t="str">
        <f t="shared" ca="1" si="27"/>
        <v xml:space="preserve"> </v>
      </c>
      <c r="AA31" s="74" t="str">
        <f t="shared" ca="1" si="28"/>
        <v xml:space="preserve"> </v>
      </c>
      <c r="AB31" s="74" t="str">
        <f t="shared" ca="1" si="29"/>
        <v xml:space="preserve"> </v>
      </c>
      <c r="AC31" s="74" t="str">
        <f t="shared" ca="1" si="30"/>
        <v xml:space="preserve"> </v>
      </c>
      <c r="AD31" s="74" t="str">
        <f t="shared" ca="1" si="31"/>
        <v xml:space="preserve"> </v>
      </c>
      <c r="AE31" s="74" t="str">
        <f t="shared" ca="1" si="32"/>
        <v xml:space="preserve"> </v>
      </c>
      <c r="AF31" s="74" t="str">
        <f t="shared" ca="1" si="33"/>
        <v xml:space="preserve"> </v>
      </c>
      <c r="AG31" s="74" t="str">
        <f t="shared" ca="1" si="34"/>
        <v xml:space="preserve"> </v>
      </c>
      <c r="AH31" s="74" t="str">
        <f t="shared" ca="1" si="35"/>
        <v xml:space="preserve"> </v>
      </c>
      <c r="AI31" s="74" t="str">
        <f t="shared" ca="1" si="36"/>
        <v xml:space="preserve"> </v>
      </c>
      <c r="AJ31" s="74" t="str">
        <f t="shared" ca="1" si="37"/>
        <v xml:space="preserve"> </v>
      </c>
      <c r="AK31" s="74" t="str">
        <f t="shared" ca="1" si="38"/>
        <v xml:space="preserve"> </v>
      </c>
      <c r="AL31" s="74" t="str">
        <f t="shared" ca="1" si="39"/>
        <v xml:space="preserve"> </v>
      </c>
      <c r="AM31" s="74" t="str">
        <f t="shared" ca="1" si="40"/>
        <v xml:space="preserve"> </v>
      </c>
      <c r="AN31" s="74" t="str">
        <f t="shared" ca="1" si="41"/>
        <v xml:space="preserve"> </v>
      </c>
      <c r="AO31" s="74" t="str">
        <f t="shared" ca="1" si="42"/>
        <v xml:space="preserve"> </v>
      </c>
      <c r="AP31" s="74" t="str">
        <f t="shared" ca="1" si="43"/>
        <v xml:space="preserve"> </v>
      </c>
      <c r="AQ31" s="74" t="str">
        <f t="shared" ca="1" si="44"/>
        <v xml:space="preserve"> </v>
      </c>
      <c r="AR31" s="74" t="str">
        <f t="shared" ca="1" si="45"/>
        <v xml:space="preserve"> </v>
      </c>
      <c r="AS31" s="74" t="str">
        <f t="shared" ca="1" si="46"/>
        <v xml:space="preserve"> </v>
      </c>
      <c r="AT31" s="74" t="str">
        <f t="shared" ca="1" si="47"/>
        <v xml:space="preserve"> </v>
      </c>
      <c r="AU31" s="74" t="str">
        <f t="shared" ca="1" si="48"/>
        <v xml:space="preserve"> </v>
      </c>
      <c r="AV31" s="74" t="str">
        <f t="shared" ca="1" si="49"/>
        <v xml:space="preserve"> </v>
      </c>
      <c r="AW31" s="74" t="str">
        <f t="shared" ca="1" si="50"/>
        <v xml:space="preserve"> </v>
      </c>
      <c r="AX31" s="74" t="str">
        <f t="shared" ca="1" si="51"/>
        <v xml:space="preserve"> </v>
      </c>
      <c r="AY31" s="75" t="str">
        <f t="shared" ca="1" si="52"/>
        <v xml:space="preserve"> </v>
      </c>
      <c r="AZ31" s="73" t="str">
        <f t="shared" ca="1" si="53"/>
        <v xml:space="preserve"> </v>
      </c>
      <c r="BA31" s="73" t="str">
        <f t="shared" ca="1" si="54"/>
        <v xml:space="preserve"> </v>
      </c>
      <c r="BB31" s="73" t="str">
        <f t="shared" ca="1" si="55"/>
        <v xml:space="preserve"> </v>
      </c>
      <c r="BC31" s="73" t="str">
        <f ca="1">IF(COUNTIF(Conso!P29,"*Insuffisant*"),"x"," ")</f>
        <v xml:space="preserve"> </v>
      </c>
      <c r="BD31" s="73" t="str">
        <f ca="1">IF(COUNTIF(Conso!P29,"*Faible*"),"x"," ")</f>
        <v xml:space="preserve"> </v>
      </c>
      <c r="BE31" s="73" t="str">
        <f ca="1">IF(COUNTIF(Conso!P29,"*Acceptable*"),"x"," ")</f>
        <v xml:space="preserve"> </v>
      </c>
      <c r="BF31" s="73" t="str">
        <f ca="1">IF(COUNTIF(Conso!P29,"*Maîtrisé*"),"x"," ")</f>
        <v xml:space="preserve"> </v>
      </c>
      <c r="BG31" s="73" t="str">
        <f t="shared" ca="1" si="56"/>
        <v xml:space="preserve"> </v>
      </c>
      <c r="BH31" s="73" t="str">
        <f t="shared" ca="1" si="57"/>
        <v xml:space="preserve"> </v>
      </c>
      <c r="BI31" s="73" t="str">
        <f t="shared" ca="1" si="58"/>
        <v xml:space="preserve"> </v>
      </c>
      <c r="BJ31" s="73" t="str">
        <f t="shared" ca="1" si="59"/>
        <v xml:space="preserve"> </v>
      </c>
      <c r="BK31" s="73" t="str">
        <f t="shared" ca="1" si="60"/>
        <v xml:space="preserve"> </v>
      </c>
      <c r="BL31" s="73" t="str">
        <f t="shared" ca="1" si="61"/>
        <v xml:space="preserve"> </v>
      </c>
      <c r="BM31" s="73" t="str">
        <f t="shared" ca="1" si="62"/>
        <v xml:space="preserve"> </v>
      </c>
      <c r="BN31" s="73" t="str">
        <f t="shared" ca="1" si="63"/>
        <v xml:space="preserve"> </v>
      </c>
      <c r="BO31" s="73" t="str">
        <f t="shared" ca="1" si="64"/>
        <v xml:space="preserve"> </v>
      </c>
      <c r="BP31" s="73" t="str">
        <f t="shared" ca="1" si="65"/>
        <v xml:space="preserve"> </v>
      </c>
      <c r="BQ31" s="73" t="str">
        <f t="shared" ca="1" si="66"/>
        <v xml:space="preserve"> </v>
      </c>
      <c r="BR31" s="73" t="str">
        <f t="shared" ca="1" si="67"/>
        <v xml:space="preserve"> </v>
      </c>
      <c r="BS31" s="73" t="str">
        <f t="shared" ca="1" si="68"/>
        <v xml:space="preserve"> </v>
      </c>
      <c r="BT31" s="73" t="str">
        <f t="shared" ca="1" si="69"/>
        <v xml:space="preserve"> </v>
      </c>
      <c r="BU31" s="73" t="str">
        <f t="shared" ca="1" si="70"/>
        <v xml:space="preserve"> </v>
      </c>
      <c r="BV31" s="73" t="str">
        <f t="shared" ca="1" si="71"/>
        <v xml:space="preserve"> </v>
      </c>
      <c r="BW31" s="216" t="s">
        <v>922</v>
      </c>
    </row>
    <row r="32" spans="1:75" ht="43.5" customHeight="1">
      <c r="A32" s="211" t="s">
        <v>845</v>
      </c>
      <c r="B32" s="72" t="e">
        <f>#REF!</f>
        <v>#REF!</v>
      </c>
      <c r="C32" s="73" t="str">
        <f ca="1">IF(COUNTIF(Conso!O30,"*Marginal*"),"x"," ")</f>
        <v xml:space="preserve"> </v>
      </c>
      <c r="D32" s="73" t="str">
        <f ca="1">IF(COUNTIF(Conso!O30,"*Faible*"),"x"," ")</f>
        <v xml:space="preserve"> </v>
      </c>
      <c r="E32" s="73" t="str">
        <f ca="1">IF(COUNTIF(Conso!O30,"*Modéré*"),"x"," ")</f>
        <v xml:space="preserve"> </v>
      </c>
      <c r="F32" s="73" t="str">
        <f ca="1">IF(COUNTIF(Conso!O30,"*Elevé*"),"x"," ")</f>
        <v xml:space="preserve"> </v>
      </c>
      <c r="G32" s="73" t="str">
        <f ca="1">IF(COUNTIF(Conso!O30,"*Critique*"),"x"," ")</f>
        <v xml:space="preserve"> </v>
      </c>
      <c r="H32" s="73" t="str">
        <f ca="1">IF(COUNTIF(Conso!O30,"*Catastrophique*"),"x"," ")</f>
        <v xml:space="preserve"> </v>
      </c>
      <c r="I32" s="73" t="str">
        <f ca="1">IF(COUNTIF(Conso!N30,"*Exceptionnelle*"),"x"," ")</f>
        <v xml:space="preserve"> </v>
      </c>
      <c r="J32" s="73" t="str">
        <f ca="1">IF(COUNTIF(Conso!N30,"*Rare*"),"x"," ")</f>
        <v xml:space="preserve"> </v>
      </c>
      <c r="K32" s="73" t="str">
        <f ca="1">IF(COUNTIF(Conso!N30,"*Modérée*"),"x"," ")</f>
        <v xml:space="preserve"> </v>
      </c>
      <c r="L32" s="73" t="str">
        <f ca="1">IF(COUNTIF(Conso!N30,"*Elevée*"),"x"," ")</f>
        <v xml:space="preserve"> </v>
      </c>
      <c r="M32" s="73" t="str">
        <f ca="1">IF(COUNTIF(Conso!N30,"*Récurrente*"),"x"," ")</f>
        <v xml:space="preserve"> </v>
      </c>
      <c r="N32" s="73" t="str">
        <f ca="1">IF(COUNTIF(Conso!N30,"*Permanente*"),"x"," ")</f>
        <v xml:space="preserve"> </v>
      </c>
      <c r="O32" s="74" t="str">
        <f t="shared" ca="1" si="16"/>
        <v xml:space="preserve"> </v>
      </c>
      <c r="P32" s="74" t="str">
        <f t="shared" ca="1" si="17"/>
        <v xml:space="preserve"> </v>
      </c>
      <c r="Q32" s="74" t="str">
        <f t="shared" ca="1" si="18"/>
        <v xml:space="preserve"> </v>
      </c>
      <c r="R32" s="74" t="str">
        <f t="shared" ca="1" si="19"/>
        <v xml:space="preserve"> </v>
      </c>
      <c r="S32" s="74" t="str">
        <f t="shared" ca="1" si="20"/>
        <v xml:space="preserve"> </v>
      </c>
      <c r="T32" s="74" t="str">
        <f t="shared" ca="1" si="21"/>
        <v xml:space="preserve"> </v>
      </c>
      <c r="U32" s="74" t="str">
        <f t="shared" ca="1" si="22"/>
        <v xml:space="preserve"> </v>
      </c>
      <c r="V32" s="74" t="str">
        <f t="shared" ca="1" si="23"/>
        <v xml:space="preserve"> </v>
      </c>
      <c r="W32" s="74" t="str">
        <f t="shared" ca="1" si="24"/>
        <v xml:space="preserve"> </v>
      </c>
      <c r="X32" s="74" t="str">
        <f t="shared" ca="1" si="25"/>
        <v xml:space="preserve"> </v>
      </c>
      <c r="Y32" s="74" t="str">
        <f t="shared" ca="1" si="26"/>
        <v xml:space="preserve"> </v>
      </c>
      <c r="Z32" s="74" t="str">
        <f t="shared" ca="1" si="27"/>
        <v xml:space="preserve"> </v>
      </c>
      <c r="AA32" s="74" t="str">
        <f t="shared" ca="1" si="28"/>
        <v xml:space="preserve"> </v>
      </c>
      <c r="AB32" s="74" t="str">
        <f t="shared" ca="1" si="29"/>
        <v xml:space="preserve"> </v>
      </c>
      <c r="AC32" s="74" t="str">
        <f t="shared" ca="1" si="30"/>
        <v xml:space="preserve"> </v>
      </c>
      <c r="AD32" s="74" t="str">
        <f t="shared" ca="1" si="31"/>
        <v xml:space="preserve"> </v>
      </c>
      <c r="AE32" s="74" t="str">
        <f t="shared" ca="1" si="32"/>
        <v xml:space="preserve"> </v>
      </c>
      <c r="AF32" s="74" t="str">
        <f t="shared" ca="1" si="33"/>
        <v xml:space="preserve"> </v>
      </c>
      <c r="AG32" s="74" t="str">
        <f t="shared" ca="1" si="34"/>
        <v xml:space="preserve"> </v>
      </c>
      <c r="AH32" s="74" t="str">
        <f t="shared" ca="1" si="35"/>
        <v xml:space="preserve"> </v>
      </c>
      <c r="AI32" s="74" t="str">
        <f t="shared" ca="1" si="36"/>
        <v xml:space="preserve"> </v>
      </c>
      <c r="AJ32" s="74" t="str">
        <f t="shared" ca="1" si="37"/>
        <v xml:space="preserve"> </v>
      </c>
      <c r="AK32" s="74" t="str">
        <f t="shared" ca="1" si="38"/>
        <v xml:space="preserve"> </v>
      </c>
      <c r="AL32" s="74" t="str">
        <f t="shared" ca="1" si="39"/>
        <v xml:space="preserve"> </v>
      </c>
      <c r="AM32" s="74" t="str">
        <f t="shared" ca="1" si="40"/>
        <v xml:space="preserve"> </v>
      </c>
      <c r="AN32" s="74" t="str">
        <f t="shared" ca="1" si="41"/>
        <v xml:space="preserve"> </v>
      </c>
      <c r="AO32" s="74" t="str">
        <f t="shared" ca="1" si="42"/>
        <v xml:space="preserve"> </v>
      </c>
      <c r="AP32" s="74" t="str">
        <f t="shared" ca="1" si="43"/>
        <v xml:space="preserve"> </v>
      </c>
      <c r="AQ32" s="74" t="str">
        <f t="shared" ca="1" si="44"/>
        <v xml:space="preserve"> </v>
      </c>
      <c r="AR32" s="74" t="str">
        <f t="shared" ca="1" si="45"/>
        <v xml:space="preserve"> </v>
      </c>
      <c r="AS32" s="74" t="str">
        <f t="shared" ca="1" si="46"/>
        <v xml:space="preserve"> </v>
      </c>
      <c r="AT32" s="74" t="str">
        <f t="shared" ca="1" si="47"/>
        <v xml:space="preserve"> </v>
      </c>
      <c r="AU32" s="74" t="str">
        <f t="shared" ca="1" si="48"/>
        <v xml:space="preserve"> </v>
      </c>
      <c r="AV32" s="74" t="str">
        <f t="shared" ca="1" si="49"/>
        <v xml:space="preserve"> </v>
      </c>
      <c r="AW32" s="74" t="str">
        <f t="shared" ca="1" si="50"/>
        <v xml:space="preserve"> </v>
      </c>
      <c r="AX32" s="74" t="str">
        <f t="shared" ca="1" si="51"/>
        <v xml:space="preserve"> </v>
      </c>
      <c r="AY32" s="75" t="str">
        <f t="shared" ca="1" si="52"/>
        <v xml:space="preserve"> </v>
      </c>
      <c r="AZ32" s="73" t="str">
        <f t="shared" ca="1" si="53"/>
        <v xml:space="preserve"> </v>
      </c>
      <c r="BA32" s="73" t="str">
        <f t="shared" ca="1" si="54"/>
        <v xml:space="preserve"> </v>
      </c>
      <c r="BB32" s="73" t="str">
        <f t="shared" ca="1" si="55"/>
        <v xml:space="preserve"> </v>
      </c>
      <c r="BC32" s="73" t="str">
        <f ca="1">IF(COUNTIF(Conso!P30,"*Insuffisant*"),"x"," ")</f>
        <v xml:space="preserve"> </v>
      </c>
      <c r="BD32" s="73" t="str">
        <f ca="1">IF(COUNTIF(Conso!P30,"*Faible*"),"x"," ")</f>
        <v xml:space="preserve"> </v>
      </c>
      <c r="BE32" s="73" t="str">
        <f ca="1">IF(COUNTIF(Conso!P30,"*Acceptable*"),"x"," ")</f>
        <v xml:space="preserve"> </v>
      </c>
      <c r="BF32" s="73" t="str">
        <f ca="1">IF(COUNTIF(Conso!P30,"*Maîtrisé*"),"x"," ")</f>
        <v xml:space="preserve"> </v>
      </c>
      <c r="BG32" s="73" t="str">
        <f t="shared" ca="1" si="56"/>
        <v xml:space="preserve"> </v>
      </c>
      <c r="BH32" s="73" t="str">
        <f t="shared" ca="1" si="57"/>
        <v xml:space="preserve"> </v>
      </c>
      <c r="BI32" s="73" t="str">
        <f t="shared" ca="1" si="58"/>
        <v xml:space="preserve"> </v>
      </c>
      <c r="BJ32" s="73" t="str">
        <f t="shared" ca="1" si="59"/>
        <v xml:space="preserve"> </v>
      </c>
      <c r="BK32" s="73" t="str">
        <f t="shared" ca="1" si="60"/>
        <v xml:space="preserve"> </v>
      </c>
      <c r="BL32" s="73" t="str">
        <f t="shared" ca="1" si="61"/>
        <v xml:space="preserve"> </v>
      </c>
      <c r="BM32" s="73" t="str">
        <f t="shared" ca="1" si="62"/>
        <v xml:space="preserve"> </v>
      </c>
      <c r="BN32" s="73" t="str">
        <f t="shared" ca="1" si="63"/>
        <v xml:space="preserve"> </v>
      </c>
      <c r="BO32" s="73" t="str">
        <f t="shared" ca="1" si="64"/>
        <v xml:space="preserve"> </v>
      </c>
      <c r="BP32" s="73" t="str">
        <f t="shared" ca="1" si="65"/>
        <v xml:space="preserve"> </v>
      </c>
      <c r="BQ32" s="73" t="str">
        <f t="shared" ca="1" si="66"/>
        <v xml:space="preserve"> </v>
      </c>
      <c r="BR32" s="73" t="str">
        <f t="shared" ca="1" si="67"/>
        <v xml:space="preserve"> </v>
      </c>
      <c r="BS32" s="73" t="str">
        <f t="shared" ca="1" si="68"/>
        <v xml:space="preserve"> </v>
      </c>
      <c r="BT32" s="73" t="str">
        <f t="shared" ca="1" si="69"/>
        <v xml:space="preserve"> </v>
      </c>
      <c r="BU32" s="73" t="str">
        <f t="shared" ca="1" si="70"/>
        <v xml:space="preserve"> </v>
      </c>
      <c r="BV32" s="73" t="str">
        <f t="shared" ca="1" si="71"/>
        <v xml:space="preserve"> </v>
      </c>
      <c r="BW32" s="216" t="s">
        <v>923</v>
      </c>
    </row>
    <row r="33" spans="1:75" ht="43.5" customHeight="1">
      <c r="A33" s="211" t="s">
        <v>846</v>
      </c>
      <c r="B33" s="72" t="e">
        <f>#REF!</f>
        <v>#REF!</v>
      </c>
      <c r="C33" s="73" t="str">
        <f ca="1">IF(COUNTIF(Conso!O31,"*Marginal*"),"x"," ")</f>
        <v xml:space="preserve"> </v>
      </c>
      <c r="D33" s="73" t="str">
        <f ca="1">IF(COUNTIF(Conso!O31,"*Faible*"),"x"," ")</f>
        <v xml:space="preserve"> </v>
      </c>
      <c r="E33" s="73" t="str">
        <f ca="1">IF(COUNTIF(Conso!O31,"*Modéré*"),"x"," ")</f>
        <v xml:space="preserve"> </v>
      </c>
      <c r="F33" s="73" t="str">
        <f ca="1">IF(COUNTIF(Conso!O31,"*Elevé*"),"x"," ")</f>
        <v xml:space="preserve"> </v>
      </c>
      <c r="G33" s="73" t="str">
        <f ca="1">IF(COUNTIF(Conso!O31,"*Critique*"),"x"," ")</f>
        <v xml:space="preserve"> </v>
      </c>
      <c r="H33" s="73" t="str">
        <f ca="1">IF(COUNTIF(Conso!O31,"*Catastrophique*"),"x"," ")</f>
        <v xml:space="preserve"> </v>
      </c>
      <c r="I33" s="73" t="str">
        <f ca="1">IF(COUNTIF(Conso!N31,"*Exceptionnelle*"),"x"," ")</f>
        <v xml:space="preserve"> </v>
      </c>
      <c r="J33" s="73" t="str">
        <f ca="1">IF(COUNTIF(Conso!N31,"*Rare*"),"x"," ")</f>
        <v xml:space="preserve"> </v>
      </c>
      <c r="K33" s="73" t="str">
        <f ca="1">IF(COUNTIF(Conso!N31,"*Modérée*"),"x"," ")</f>
        <v xml:space="preserve"> </v>
      </c>
      <c r="L33" s="73" t="str">
        <f ca="1">IF(COUNTIF(Conso!N31,"*Elevée*"),"x"," ")</f>
        <v xml:space="preserve"> </v>
      </c>
      <c r="M33" s="73" t="str">
        <f ca="1">IF(COUNTIF(Conso!N31,"*Récurrente*"),"x"," ")</f>
        <v xml:space="preserve"> </v>
      </c>
      <c r="N33" s="73" t="str">
        <f ca="1">IF(COUNTIF(Conso!N31,"*Permanente*"),"x"," ")</f>
        <v xml:space="preserve"> </v>
      </c>
      <c r="O33" s="74" t="str">
        <f t="shared" ca="1" si="16"/>
        <v xml:space="preserve"> </v>
      </c>
      <c r="P33" s="74" t="str">
        <f t="shared" ca="1" si="17"/>
        <v xml:space="preserve"> </v>
      </c>
      <c r="Q33" s="74" t="str">
        <f t="shared" ca="1" si="18"/>
        <v xml:space="preserve"> </v>
      </c>
      <c r="R33" s="74" t="str">
        <f t="shared" ca="1" si="19"/>
        <v xml:space="preserve"> </v>
      </c>
      <c r="S33" s="74" t="str">
        <f t="shared" ca="1" si="20"/>
        <v xml:space="preserve"> </v>
      </c>
      <c r="T33" s="74" t="str">
        <f t="shared" ca="1" si="21"/>
        <v xml:space="preserve"> </v>
      </c>
      <c r="U33" s="74" t="str">
        <f t="shared" ca="1" si="22"/>
        <v xml:space="preserve"> </v>
      </c>
      <c r="V33" s="74" t="str">
        <f t="shared" ca="1" si="23"/>
        <v xml:space="preserve"> </v>
      </c>
      <c r="W33" s="74" t="str">
        <f t="shared" ca="1" si="24"/>
        <v xml:space="preserve"> </v>
      </c>
      <c r="X33" s="74" t="str">
        <f t="shared" ca="1" si="25"/>
        <v xml:space="preserve"> </v>
      </c>
      <c r="Y33" s="74" t="str">
        <f t="shared" ca="1" si="26"/>
        <v xml:space="preserve"> </v>
      </c>
      <c r="Z33" s="74" t="str">
        <f t="shared" ca="1" si="27"/>
        <v xml:space="preserve"> </v>
      </c>
      <c r="AA33" s="74" t="str">
        <f t="shared" ca="1" si="28"/>
        <v xml:space="preserve"> </v>
      </c>
      <c r="AB33" s="74" t="str">
        <f t="shared" ca="1" si="29"/>
        <v xml:space="preserve"> </v>
      </c>
      <c r="AC33" s="74" t="str">
        <f t="shared" ca="1" si="30"/>
        <v xml:space="preserve"> </v>
      </c>
      <c r="AD33" s="74" t="str">
        <f t="shared" ca="1" si="31"/>
        <v xml:space="preserve"> </v>
      </c>
      <c r="AE33" s="74" t="str">
        <f t="shared" ca="1" si="32"/>
        <v xml:space="preserve"> </v>
      </c>
      <c r="AF33" s="74" t="str">
        <f t="shared" ca="1" si="33"/>
        <v xml:space="preserve"> </v>
      </c>
      <c r="AG33" s="74" t="str">
        <f t="shared" ca="1" si="34"/>
        <v xml:space="preserve"> </v>
      </c>
      <c r="AH33" s="74" t="str">
        <f t="shared" ca="1" si="35"/>
        <v xml:space="preserve"> </v>
      </c>
      <c r="AI33" s="74" t="str">
        <f t="shared" ca="1" si="36"/>
        <v xml:space="preserve"> </v>
      </c>
      <c r="AJ33" s="74" t="str">
        <f t="shared" ca="1" si="37"/>
        <v xml:space="preserve"> </v>
      </c>
      <c r="AK33" s="74" t="str">
        <f t="shared" ca="1" si="38"/>
        <v xml:space="preserve"> </v>
      </c>
      <c r="AL33" s="74" t="str">
        <f t="shared" ca="1" si="39"/>
        <v xml:space="preserve"> </v>
      </c>
      <c r="AM33" s="74" t="str">
        <f t="shared" ca="1" si="40"/>
        <v xml:space="preserve"> </v>
      </c>
      <c r="AN33" s="74" t="str">
        <f t="shared" ca="1" si="41"/>
        <v xml:space="preserve"> </v>
      </c>
      <c r="AO33" s="74" t="str">
        <f t="shared" ca="1" si="42"/>
        <v xml:space="preserve"> </v>
      </c>
      <c r="AP33" s="74" t="str">
        <f t="shared" ca="1" si="43"/>
        <v xml:space="preserve"> </v>
      </c>
      <c r="AQ33" s="74" t="str">
        <f t="shared" ca="1" si="44"/>
        <v xml:space="preserve"> </v>
      </c>
      <c r="AR33" s="74" t="str">
        <f t="shared" ca="1" si="45"/>
        <v xml:space="preserve"> </v>
      </c>
      <c r="AS33" s="74" t="str">
        <f t="shared" ca="1" si="46"/>
        <v xml:space="preserve"> </v>
      </c>
      <c r="AT33" s="74" t="str">
        <f t="shared" ca="1" si="47"/>
        <v xml:space="preserve"> </v>
      </c>
      <c r="AU33" s="74" t="str">
        <f t="shared" ca="1" si="48"/>
        <v xml:space="preserve"> </v>
      </c>
      <c r="AV33" s="74" t="str">
        <f t="shared" ca="1" si="49"/>
        <v xml:space="preserve"> </v>
      </c>
      <c r="AW33" s="74" t="str">
        <f t="shared" ca="1" si="50"/>
        <v xml:space="preserve"> </v>
      </c>
      <c r="AX33" s="74" t="str">
        <f t="shared" ca="1" si="51"/>
        <v xml:space="preserve"> </v>
      </c>
      <c r="AY33" s="75" t="str">
        <f t="shared" ca="1" si="52"/>
        <v xml:space="preserve"> </v>
      </c>
      <c r="AZ33" s="73" t="str">
        <f t="shared" ca="1" si="53"/>
        <v xml:space="preserve"> </v>
      </c>
      <c r="BA33" s="73" t="str">
        <f t="shared" ca="1" si="54"/>
        <v xml:space="preserve"> </v>
      </c>
      <c r="BB33" s="73" t="str">
        <f t="shared" ca="1" si="55"/>
        <v xml:space="preserve"> </v>
      </c>
      <c r="BC33" s="73" t="str">
        <f ca="1">IF(COUNTIF(Conso!P31,"*Insuffisant*"),"x"," ")</f>
        <v xml:space="preserve"> </v>
      </c>
      <c r="BD33" s="73" t="str">
        <f ca="1">IF(COUNTIF(Conso!P31,"*Faible*"),"x"," ")</f>
        <v xml:space="preserve"> </v>
      </c>
      <c r="BE33" s="73" t="str">
        <f ca="1">IF(COUNTIF(Conso!P31,"*Acceptable*"),"x"," ")</f>
        <v xml:space="preserve"> </v>
      </c>
      <c r="BF33" s="73" t="str">
        <f ca="1">IF(COUNTIF(Conso!P31,"*Maîtrisé*"),"x"," ")</f>
        <v xml:space="preserve"> </v>
      </c>
      <c r="BG33" s="73" t="str">
        <f t="shared" ca="1" si="56"/>
        <v xml:space="preserve"> </v>
      </c>
      <c r="BH33" s="73" t="str">
        <f t="shared" ca="1" si="57"/>
        <v xml:space="preserve"> </v>
      </c>
      <c r="BI33" s="73" t="str">
        <f t="shared" ca="1" si="58"/>
        <v xml:space="preserve"> </v>
      </c>
      <c r="BJ33" s="73" t="str">
        <f t="shared" ca="1" si="59"/>
        <v xml:space="preserve"> </v>
      </c>
      <c r="BK33" s="73" t="str">
        <f t="shared" ca="1" si="60"/>
        <v xml:space="preserve"> </v>
      </c>
      <c r="BL33" s="73" t="str">
        <f t="shared" ca="1" si="61"/>
        <v xml:space="preserve"> </v>
      </c>
      <c r="BM33" s="73" t="str">
        <f t="shared" ca="1" si="62"/>
        <v xml:space="preserve"> </v>
      </c>
      <c r="BN33" s="73" t="str">
        <f t="shared" ca="1" si="63"/>
        <v xml:space="preserve"> </v>
      </c>
      <c r="BO33" s="73" t="str">
        <f t="shared" ca="1" si="64"/>
        <v xml:space="preserve"> </v>
      </c>
      <c r="BP33" s="73" t="str">
        <f t="shared" ca="1" si="65"/>
        <v xml:space="preserve"> </v>
      </c>
      <c r="BQ33" s="73" t="str">
        <f t="shared" ca="1" si="66"/>
        <v xml:space="preserve"> </v>
      </c>
      <c r="BR33" s="73" t="str">
        <f t="shared" ca="1" si="67"/>
        <v xml:space="preserve"> </v>
      </c>
      <c r="BS33" s="73" t="str">
        <f t="shared" ca="1" si="68"/>
        <v xml:space="preserve"> </v>
      </c>
      <c r="BT33" s="73" t="str">
        <f t="shared" ca="1" si="69"/>
        <v xml:space="preserve"> </v>
      </c>
      <c r="BU33" s="73" t="str">
        <f t="shared" ca="1" si="70"/>
        <v xml:space="preserve"> </v>
      </c>
      <c r="BV33" s="73" t="str">
        <f t="shared" ca="1" si="71"/>
        <v xml:space="preserve"> </v>
      </c>
      <c r="BW33" s="216" t="s">
        <v>924</v>
      </c>
    </row>
    <row r="34" spans="1:75" ht="43.5" customHeight="1">
      <c r="A34" s="211" t="s">
        <v>847</v>
      </c>
      <c r="B34" s="72" t="e">
        <f>#REF!</f>
        <v>#REF!</v>
      </c>
      <c r="C34" s="73" t="str">
        <f ca="1">IF(COUNTIF(Conso!O32,"*Marginal*"),"x"," ")</f>
        <v xml:space="preserve"> </v>
      </c>
      <c r="D34" s="73" t="str">
        <f ca="1">IF(COUNTIF(Conso!O32,"*Faible*"),"x"," ")</f>
        <v xml:space="preserve"> </v>
      </c>
      <c r="E34" s="73" t="str">
        <f ca="1">IF(COUNTIF(Conso!O32,"*Modéré*"),"x"," ")</f>
        <v xml:space="preserve"> </v>
      </c>
      <c r="F34" s="73" t="str">
        <f ca="1">IF(COUNTIF(Conso!O32,"*Elevé*"),"x"," ")</f>
        <v xml:space="preserve"> </v>
      </c>
      <c r="G34" s="73" t="str">
        <f ca="1">IF(COUNTIF(Conso!O32,"*Critique*"),"x"," ")</f>
        <v xml:space="preserve"> </v>
      </c>
      <c r="H34" s="73" t="str">
        <f ca="1">IF(COUNTIF(Conso!O32,"*Catastrophique*"),"x"," ")</f>
        <v xml:space="preserve"> </v>
      </c>
      <c r="I34" s="73" t="str">
        <f ca="1">IF(COUNTIF(Conso!N32,"*Exceptionnelle*"),"x"," ")</f>
        <v xml:space="preserve"> </v>
      </c>
      <c r="J34" s="73" t="str">
        <f ca="1">IF(COUNTIF(Conso!N32,"*Rare*"),"x"," ")</f>
        <v xml:space="preserve"> </v>
      </c>
      <c r="K34" s="73" t="str">
        <f ca="1">IF(COUNTIF(Conso!N32,"*Modérée*"),"x"," ")</f>
        <v xml:space="preserve"> </v>
      </c>
      <c r="L34" s="73" t="str">
        <f ca="1">IF(COUNTIF(Conso!N32,"*Elevée*"),"x"," ")</f>
        <v xml:space="preserve"> </v>
      </c>
      <c r="M34" s="73" t="str">
        <f ca="1">IF(COUNTIF(Conso!N32,"*Récurrente*"),"x"," ")</f>
        <v xml:space="preserve"> </v>
      </c>
      <c r="N34" s="73" t="str">
        <f ca="1">IF(COUNTIF(Conso!N32,"*Permanente*"),"x"," ")</f>
        <v xml:space="preserve"> </v>
      </c>
      <c r="O34" s="74" t="str">
        <f t="shared" ca="1" si="16"/>
        <v xml:space="preserve"> </v>
      </c>
      <c r="P34" s="74" t="str">
        <f t="shared" ca="1" si="17"/>
        <v xml:space="preserve"> </v>
      </c>
      <c r="Q34" s="74" t="str">
        <f t="shared" ca="1" si="18"/>
        <v xml:space="preserve"> </v>
      </c>
      <c r="R34" s="74" t="str">
        <f t="shared" ca="1" si="19"/>
        <v xml:space="preserve"> </v>
      </c>
      <c r="S34" s="74" t="str">
        <f t="shared" ca="1" si="20"/>
        <v xml:space="preserve"> </v>
      </c>
      <c r="T34" s="74" t="str">
        <f t="shared" ca="1" si="21"/>
        <v xml:space="preserve"> </v>
      </c>
      <c r="U34" s="74" t="str">
        <f t="shared" ca="1" si="22"/>
        <v xml:space="preserve"> </v>
      </c>
      <c r="V34" s="74" t="str">
        <f t="shared" ca="1" si="23"/>
        <v xml:space="preserve"> </v>
      </c>
      <c r="W34" s="74" t="str">
        <f t="shared" ca="1" si="24"/>
        <v xml:space="preserve"> </v>
      </c>
      <c r="X34" s="74" t="str">
        <f t="shared" ca="1" si="25"/>
        <v xml:space="preserve"> </v>
      </c>
      <c r="Y34" s="74" t="str">
        <f t="shared" ca="1" si="26"/>
        <v xml:space="preserve"> </v>
      </c>
      <c r="Z34" s="74" t="str">
        <f t="shared" ca="1" si="27"/>
        <v xml:space="preserve"> </v>
      </c>
      <c r="AA34" s="74" t="str">
        <f t="shared" ca="1" si="28"/>
        <v xml:space="preserve"> </v>
      </c>
      <c r="AB34" s="74" t="str">
        <f t="shared" ca="1" si="29"/>
        <v xml:space="preserve"> </v>
      </c>
      <c r="AC34" s="74" t="str">
        <f t="shared" ca="1" si="30"/>
        <v xml:space="preserve"> </v>
      </c>
      <c r="AD34" s="74" t="str">
        <f t="shared" ca="1" si="31"/>
        <v xml:space="preserve"> </v>
      </c>
      <c r="AE34" s="74" t="str">
        <f t="shared" ca="1" si="32"/>
        <v xml:space="preserve"> </v>
      </c>
      <c r="AF34" s="74" t="str">
        <f t="shared" ca="1" si="33"/>
        <v xml:space="preserve"> </v>
      </c>
      <c r="AG34" s="74" t="str">
        <f t="shared" ca="1" si="34"/>
        <v xml:space="preserve"> </v>
      </c>
      <c r="AH34" s="74" t="str">
        <f t="shared" ca="1" si="35"/>
        <v xml:space="preserve"> </v>
      </c>
      <c r="AI34" s="74" t="str">
        <f t="shared" ca="1" si="36"/>
        <v xml:space="preserve"> </v>
      </c>
      <c r="AJ34" s="74" t="str">
        <f t="shared" ca="1" si="37"/>
        <v xml:space="preserve"> </v>
      </c>
      <c r="AK34" s="74" t="str">
        <f t="shared" ca="1" si="38"/>
        <v xml:space="preserve"> </v>
      </c>
      <c r="AL34" s="74" t="str">
        <f t="shared" ca="1" si="39"/>
        <v xml:space="preserve"> </v>
      </c>
      <c r="AM34" s="74" t="str">
        <f t="shared" ca="1" si="40"/>
        <v xml:space="preserve"> </v>
      </c>
      <c r="AN34" s="74" t="str">
        <f t="shared" ca="1" si="41"/>
        <v xml:space="preserve"> </v>
      </c>
      <c r="AO34" s="74" t="str">
        <f t="shared" ca="1" si="42"/>
        <v xml:space="preserve"> </v>
      </c>
      <c r="AP34" s="74" t="str">
        <f t="shared" ca="1" si="43"/>
        <v xml:space="preserve"> </v>
      </c>
      <c r="AQ34" s="74" t="str">
        <f t="shared" ca="1" si="44"/>
        <v xml:space="preserve"> </v>
      </c>
      <c r="AR34" s="74" t="str">
        <f t="shared" ca="1" si="45"/>
        <v xml:space="preserve"> </v>
      </c>
      <c r="AS34" s="74" t="str">
        <f t="shared" ca="1" si="46"/>
        <v xml:space="preserve"> </v>
      </c>
      <c r="AT34" s="74" t="str">
        <f t="shared" ca="1" si="47"/>
        <v xml:space="preserve"> </v>
      </c>
      <c r="AU34" s="74" t="str">
        <f t="shared" ca="1" si="48"/>
        <v xml:space="preserve"> </v>
      </c>
      <c r="AV34" s="74" t="str">
        <f t="shared" ca="1" si="49"/>
        <v xml:space="preserve"> </v>
      </c>
      <c r="AW34" s="74" t="str">
        <f t="shared" ca="1" si="50"/>
        <v xml:space="preserve"> </v>
      </c>
      <c r="AX34" s="74" t="str">
        <f t="shared" ca="1" si="51"/>
        <v xml:space="preserve"> </v>
      </c>
      <c r="AY34" s="75" t="str">
        <f t="shared" ca="1" si="52"/>
        <v xml:space="preserve"> </v>
      </c>
      <c r="AZ34" s="73" t="str">
        <f t="shared" ca="1" si="53"/>
        <v xml:space="preserve"> </v>
      </c>
      <c r="BA34" s="73" t="str">
        <f t="shared" ca="1" si="54"/>
        <v xml:space="preserve"> </v>
      </c>
      <c r="BB34" s="73" t="str">
        <f t="shared" ca="1" si="55"/>
        <v xml:space="preserve"> </v>
      </c>
      <c r="BC34" s="73" t="str">
        <f ca="1">IF(COUNTIF(Conso!P32,"*Insuffisant*"),"x"," ")</f>
        <v xml:space="preserve"> </v>
      </c>
      <c r="BD34" s="73" t="str">
        <f ca="1">IF(COUNTIF(Conso!P32,"*Faible*"),"x"," ")</f>
        <v xml:space="preserve"> </v>
      </c>
      <c r="BE34" s="73" t="str">
        <f ca="1">IF(COUNTIF(Conso!P32,"*Acceptable*"),"x"," ")</f>
        <v xml:space="preserve"> </v>
      </c>
      <c r="BF34" s="73" t="str">
        <f ca="1">IF(COUNTIF(Conso!P32,"*Maîtrisé*"),"x"," ")</f>
        <v xml:space="preserve"> </v>
      </c>
      <c r="BG34" s="73" t="str">
        <f t="shared" ca="1" si="56"/>
        <v xml:space="preserve"> </v>
      </c>
      <c r="BH34" s="73" t="str">
        <f t="shared" ca="1" si="57"/>
        <v xml:space="preserve"> </v>
      </c>
      <c r="BI34" s="73" t="str">
        <f t="shared" ca="1" si="58"/>
        <v xml:space="preserve"> </v>
      </c>
      <c r="BJ34" s="73" t="str">
        <f t="shared" ca="1" si="59"/>
        <v xml:space="preserve"> </v>
      </c>
      <c r="BK34" s="73" t="str">
        <f t="shared" ca="1" si="60"/>
        <v xml:space="preserve"> </v>
      </c>
      <c r="BL34" s="73" t="str">
        <f t="shared" ca="1" si="61"/>
        <v xml:space="preserve"> </v>
      </c>
      <c r="BM34" s="73" t="str">
        <f t="shared" ca="1" si="62"/>
        <v xml:space="preserve"> </v>
      </c>
      <c r="BN34" s="73" t="str">
        <f t="shared" ca="1" si="63"/>
        <v xml:space="preserve"> </v>
      </c>
      <c r="BO34" s="73" t="str">
        <f t="shared" ca="1" si="64"/>
        <v xml:space="preserve"> </v>
      </c>
      <c r="BP34" s="73" t="str">
        <f t="shared" ca="1" si="65"/>
        <v xml:space="preserve"> </v>
      </c>
      <c r="BQ34" s="73" t="str">
        <f t="shared" ca="1" si="66"/>
        <v xml:space="preserve"> </v>
      </c>
      <c r="BR34" s="73" t="str">
        <f t="shared" ca="1" si="67"/>
        <v xml:space="preserve"> </v>
      </c>
      <c r="BS34" s="73" t="str">
        <f t="shared" ca="1" si="68"/>
        <v xml:space="preserve"> </v>
      </c>
      <c r="BT34" s="73" t="str">
        <f t="shared" ca="1" si="69"/>
        <v xml:space="preserve"> </v>
      </c>
      <c r="BU34" s="73" t="str">
        <f t="shared" ca="1" si="70"/>
        <v xml:space="preserve"> </v>
      </c>
      <c r="BV34" s="73" t="str">
        <f t="shared" ca="1" si="71"/>
        <v xml:space="preserve"> </v>
      </c>
      <c r="BW34" s="216" t="s">
        <v>925</v>
      </c>
    </row>
    <row r="35" spans="1:75" ht="43.5" customHeight="1">
      <c r="A35" s="211" t="s">
        <v>848</v>
      </c>
      <c r="B35" s="72" t="e">
        <f>#REF!</f>
        <v>#REF!</v>
      </c>
      <c r="C35" s="73" t="str">
        <f ca="1">IF(COUNTIF(Conso!O33,"*Marginal*"),"x"," ")</f>
        <v xml:space="preserve"> </v>
      </c>
      <c r="D35" s="73" t="str">
        <f ca="1">IF(COUNTIF(Conso!O33,"*Faible*"),"x"," ")</f>
        <v xml:space="preserve"> </v>
      </c>
      <c r="E35" s="73" t="str">
        <f ca="1">IF(COUNTIF(Conso!O33,"*Modéré*"),"x"," ")</f>
        <v xml:space="preserve"> </v>
      </c>
      <c r="F35" s="73" t="str">
        <f ca="1">IF(COUNTIF(Conso!O33,"*Elevé*"),"x"," ")</f>
        <v xml:space="preserve"> </v>
      </c>
      <c r="G35" s="73" t="str">
        <f ca="1">IF(COUNTIF(Conso!O33,"*Critique*"),"x"," ")</f>
        <v xml:space="preserve"> </v>
      </c>
      <c r="H35" s="73" t="str">
        <f ca="1">IF(COUNTIF(Conso!O33,"*Catastrophique*"),"x"," ")</f>
        <v xml:space="preserve"> </v>
      </c>
      <c r="I35" s="73" t="str">
        <f ca="1">IF(COUNTIF(Conso!N33,"*Exceptionnelle*"),"x"," ")</f>
        <v xml:space="preserve"> </v>
      </c>
      <c r="J35" s="73" t="str">
        <f ca="1">IF(COUNTIF(Conso!N33,"*Rare*"),"x"," ")</f>
        <v xml:space="preserve"> </v>
      </c>
      <c r="K35" s="73" t="str">
        <f ca="1">IF(COUNTIF(Conso!N33,"*Modérée*"),"x"," ")</f>
        <v xml:space="preserve"> </v>
      </c>
      <c r="L35" s="73" t="str">
        <f ca="1">IF(COUNTIF(Conso!N33,"*Elevée*"),"x"," ")</f>
        <v xml:space="preserve"> </v>
      </c>
      <c r="M35" s="73" t="str">
        <f ca="1">IF(COUNTIF(Conso!N33,"*Récurrente*"),"x"," ")</f>
        <v xml:space="preserve"> </v>
      </c>
      <c r="N35" s="73" t="str">
        <f ca="1">IF(COUNTIF(Conso!N33,"*Permanente*"),"x"," ")</f>
        <v xml:space="preserve"> </v>
      </c>
      <c r="O35" s="74" t="str">
        <f t="shared" ca="1" si="16"/>
        <v xml:space="preserve"> </v>
      </c>
      <c r="P35" s="74" t="str">
        <f t="shared" ca="1" si="17"/>
        <v xml:space="preserve"> </v>
      </c>
      <c r="Q35" s="74" t="str">
        <f t="shared" ca="1" si="18"/>
        <v xml:space="preserve"> </v>
      </c>
      <c r="R35" s="74" t="str">
        <f t="shared" ca="1" si="19"/>
        <v xml:space="preserve"> </v>
      </c>
      <c r="S35" s="74" t="str">
        <f t="shared" ca="1" si="20"/>
        <v xml:space="preserve"> </v>
      </c>
      <c r="T35" s="74" t="str">
        <f t="shared" ca="1" si="21"/>
        <v xml:space="preserve"> </v>
      </c>
      <c r="U35" s="74" t="str">
        <f t="shared" ca="1" si="22"/>
        <v xml:space="preserve"> </v>
      </c>
      <c r="V35" s="74" t="str">
        <f t="shared" ca="1" si="23"/>
        <v xml:space="preserve"> </v>
      </c>
      <c r="W35" s="74" t="str">
        <f t="shared" ca="1" si="24"/>
        <v xml:space="preserve"> </v>
      </c>
      <c r="X35" s="74" t="str">
        <f t="shared" ca="1" si="25"/>
        <v xml:space="preserve"> </v>
      </c>
      <c r="Y35" s="74" t="str">
        <f t="shared" ca="1" si="26"/>
        <v xml:space="preserve"> </v>
      </c>
      <c r="Z35" s="74" t="str">
        <f t="shared" ca="1" si="27"/>
        <v xml:space="preserve"> </v>
      </c>
      <c r="AA35" s="74" t="str">
        <f t="shared" ca="1" si="28"/>
        <v xml:space="preserve"> </v>
      </c>
      <c r="AB35" s="74" t="str">
        <f t="shared" ca="1" si="29"/>
        <v xml:space="preserve"> </v>
      </c>
      <c r="AC35" s="74" t="str">
        <f t="shared" ca="1" si="30"/>
        <v xml:space="preserve"> </v>
      </c>
      <c r="AD35" s="74" t="str">
        <f t="shared" ca="1" si="31"/>
        <v xml:space="preserve"> </v>
      </c>
      <c r="AE35" s="74" t="str">
        <f t="shared" ca="1" si="32"/>
        <v xml:space="preserve"> </v>
      </c>
      <c r="AF35" s="74" t="str">
        <f t="shared" ca="1" si="33"/>
        <v xml:space="preserve"> </v>
      </c>
      <c r="AG35" s="74" t="str">
        <f t="shared" ca="1" si="34"/>
        <v xml:space="preserve"> </v>
      </c>
      <c r="AH35" s="74" t="str">
        <f t="shared" ca="1" si="35"/>
        <v xml:space="preserve"> </v>
      </c>
      <c r="AI35" s="74" t="str">
        <f t="shared" ca="1" si="36"/>
        <v xml:space="preserve"> </v>
      </c>
      <c r="AJ35" s="74" t="str">
        <f t="shared" ca="1" si="37"/>
        <v xml:space="preserve"> </v>
      </c>
      <c r="AK35" s="74" t="str">
        <f t="shared" ca="1" si="38"/>
        <v xml:space="preserve"> </v>
      </c>
      <c r="AL35" s="74" t="str">
        <f t="shared" ca="1" si="39"/>
        <v xml:space="preserve"> </v>
      </c>
      <c r="AM35" s="74" t="str">
        <f t="shared" ca="1" si="40"/>
        <v xml:space="preserve"> </v>
      </c>
      <c r="AN35" s="74" t="str">
        <f t="shared" ca="1" si="41"/>
        <v xml:space="preserve"> </v>
      </c>
      <c r="AO35" s="74" t="str">
        <f t="shared" ca="1" si="42"/>
        <v xml:space="preserve"> </v>
      </c>
      <c r="AP35" s="74" t="str">
        <f t="shared" ca="1" si="43"/>
        <v xml:space="preserve"> </v>
      </c>
      <c r="AQ35" s="74" t="str">
        <f t="shared" ca="1" si="44"/>
        <v xml:space="preserve"> </v>
      </c>
      <c r="AR35" s="74" t="str">
        <f t="shared" ca="1" si="45"/>
        <v xml:space="preserve"> </v>
      </c>
      <c r="AS35" s="74" t="str">
        <f t="shared" ca="1" si="46"/>
        <v xml:space="preserve"> </v>
      </c>
      <c r="AT35" s="74" t="str">
        <f t="shared" ca="1" si="47"/>
        <v xml:space="preserve"> </v>
      </c>
      <c r="AU35" s="74" t="str">
        <f t="shared" ca="1" si="48"/>
        <v xml:space="preserve"> </v>
      </c>
      <c r="AV35" s="74" t="str">
        <f t="shared" ca="1" si="49"/>
        <v xml:space="preserve"> </v>
      </c>
      <c r="AW35" s="74" t="str">
        <f t="shared" ca="1" si="50"/>
        <v xml:space="preserve"> </v>
      </c>
      <c r="AX35" s="74" t="str">
        <f t="shared" ca="1" si="51"/>
        <v xml:space="preserve"> </v>
      </c>
      <c r="AY35" s="75" t="str">
        <f t="shared" ca="1" si="52"/>
        <v xml:space="preserve"> </v>
      </c>
      <c r="AZ35" s="73" t="str">
        <f t="shared" ca="1" si="53"/>
        <v xml:space="preserve"> </v>
      </c>
      <c r="BA35" s="73" t="str">
        <f t="shared" ca="1" si="54"/>
        <v xml:space="preserve"> </v>
      </c>
      <c r="BB35" s="73" t="str">
        <f t="shared" ca="1" si="55"/>
        <v xml:space="preserve"> </v>
      </c>
      <c r="BC35" s="73" t="str">
        <f ca="1">IF(COUNTIF(Conso!P33,"*Insuffisant*"),"x"," ")</f>
        <v xml:space="preserve"> </v>
      </c>
      <c r="BD35" s="73" t="str">
        <f ca="1">IF(COUNTIF(Conso!P33,"*Faible*"),"x"," ")</f>
        <v xml:space="preserve"> </v>
      </c>
      <c r="BE35" s="73" t="str">
        <f ca="1">IF(COUNTIF(Conso!P33,"*Acceptable*"),"x"," ")</f>
        <v xml:space="preserve"> </v>
      </c>
      <c r="BF35" s="73" t="str">
        <f ca="1">IF(COUNTIF(Conso!P33,"*Maîtrisé*"),"x"," ")</f>
        <v xml:space="preserve"> </v>
      </c>
      <c r="BG35" s="73" t="str">
        <f t="shared" ca="1" si="56"/>
        <v xml:space="preserve"> </v>
      </c>
      <c r="BH35" s="73" t="str">
        <f t="shared" ca="1" si="57"/>
        <v xml:space="preserve"> </v>
      </c>
      <c r="BI35" s="73" t="str">
        <f t="shared" ca="1" si="58"/>
        <v xml:space="preserve"> </v>
      </c>
      <c r="BJ35" s="73" t="str">
        <f t="shared" ca="1" si="59"/>
        <v xml:space="preserve"> </v>
      </c>
      <c r="BK35" s="73" t="str">
        <f t="shared" ca="1" si="60"/>
        <v xml:space="preserve"> </v>
      </c>
      <c r="BL35" s="73" t="str">
        <f t="shared" ca="1" si="61"/>
        <v xml:space="preserve"> </v>
      </c>
      <c r="BM35" s="73" t="str">
        <f t="shared" ca="1" si="62"/>
        <v xml:space="preserve"> </v>
      </c>
      <c r="BN35" s="73" t="str">
        <f t="shared" ca="1" si="63"/>
        <v xml:space="preserve"> </v>
      </c>
      <c r="BO35" s="73" t="str">
        <f t="shared" ca="1" si="64"/>
        <v xml:space="preserve"> </v>
      </c>
      <c r="BP35" s="73" t="str">
        <f t="shared" ca="1" si="65"/>
        <v xml:space="preserve"> </v>
      </c>
      <c r="BQ35" s="73" t="str">
        <f t="shared" ca="1" si="66"/>
        <v xml:space="preserve"> </v>
      </c>
      <c r="BR35" s="73" t="str">
        <f t="shared" ca="1" si="67"/>
        <v xml:space="preserve"> </v>
      </c>
      <c r="BS35" s="73" t="str">
        <f t="shared" ca="1" si="68"/>
        <v xml:space="preserve"> </v>
      </c>
      <c r="BT35" s="73" t="str">
        <f t="shared" ca="1" si="69"/>
        <v xml:space="preserve"> </v>
      </c>
      <c r="BU35" s="73" t="str">
        <f t="shared" ca="1" si="70"/>
        <v xml:space="preserve"> </v>
      </c>
      <c r="BV35" s="73" t="str">
        <f t="shared" ca="1" si="71"/>
        <v xml:space="preserve"> </v>
      </c>
      <c r="BW35" s="216" t="s">
        <v>926</v>
      </c>
    </row>
    <row r="36" spans="1:75" ht="43.5" customHeight="1">
      <c r="A36" s="211" t="s">
        <v>849</v>
      </c>
      <c r="B36" s="72" t="e">
        <f>#REF!</f>
        <v>#REF!</v>
      </c>
      <c r="C36" s="73" t="str">
        <f ca="1">IF(COUNTIF(Conso!O34,"*Marginal*"),"x"," ")</f>
        <v xml:space="preserve"> </v>
      </c>
      <c r="D36" s="73" t="str">
        <f ca="1">IF(COUNTIF(Conso!O34,"*Faible*"),"x"," ")</f>
        <v xml:space="preserve"> </v>
      </c>
      <c r="E36" s="73" t="str">
        <f ca="1">IF(COUNTIF(Conso!O34,"*Modéré*"),"x"," ")</f>
        <v xml:space="preserve"> </v>
      </c>
      <c r="F36" s="73" t="str">
        <f ca="1">IF(COUNTIF(Conso!O34,"*Elevé*"),"x"," ")</f>
        <v xml:space="preserve"> </v>
      </c>
      <c r="G36" s="73" t="str">
        <f ca="1">IF(COUNTIF(Conso!O34,"*Critique*"),"x"," ")</f>
        <v xml:space="preserve"> </v>
      </c>
      <c r="H36" s="73" t="str">
        <f ca="1">IF(COUNTIF(Conso!O34,"*Catastrophique*"),"x"," ")</f>
        <v xml:space="preserve"> </v>
      </c>
      <c r="I36" s="73" t="str">
        <f ca="1">IF(COUNTIF(Conso!N34,"*Exceptionnelle*"),"x"," ")</f>
        <v xml:space="preserve"> </v>
      </c>
      <c r="J36" s="73" t="str">
        <f ca="1">IF(COUNTIF(Conso!N34,"*Rare*"),"x"," ")</f>
        <v xml:space="preserve"> </v>
      </c>
      <c r="K36" s="73" t="str">
        <f ca="1">IF(COUNTIF(Conso!N34,"*Modérée*"),"x"," ")</f>
        <v xml:space="preserve"> </v>
      </c>
      <c r="L36" s="73" t="str">
        <f ca="1">IF(COUNTIF(Conso!N34,"*Elevée*"),"x"," ")</f>
        <v xml:space="preserve"> </v>
      </c>
      <c r="M36" s="73" t="str">
        <f ca="1">IF(COUNTIF(Conso!N34,"*Récurrente*"),"x"," ")</f>
        <v xml:space="preserve"> </v>
      </c>
      <c r="N36" s="73" t="str">
        <f ca="1">IF(COUNTIF(Conso!N34,"*Permanente*"),"x"," ")</f>
        <v xml:space="preserve"> </v>
      </c>
      <c r="O36" s="74" t="str">
        <f t="shared" ca="1" si="16"/>
        <v xml:space="preserve"> </v>
      </c>
      <c r="P36" s="74" t="str">
        <f t="shared" ca="1" si="17"/>
        <v xml:space="preserve"> </v>
      </c>
      <c r="Q36" s="74" t="str">
        <f t="shared" ca="1" si="18"/>
        <v xml:space="preserve"> </v>
      </c>
      <c r="R36" s="74" t="str">
        <f t="shared" ca="1" si="19"/>
        <v xml:space="preserve"> </v>
      </c>
      <c r="S36" s="74" t="str">
        <f t="shared" ca="1" si="20"/>
        <v xml:space="preserve"> </v>
      </c>
      <c r="T36" s="74" t="str">
        <f t="shared" ca="1" si="21"/>
        <v xml:space="preserve"> </v>
      </c>
      <c r="U36" s="74" t="str">
        <f t="shared" ca="1" si="22"/>
        <v xml:space="preserve"> </v>
      </c>
      <c r="V36" s="74" t="str">
        <f t="shared" ca="1" si="23"/>
        <v xml:space="preserve"> </v>
      </c>
      <c r="W36" s="74" t="str">
        <f t="shared" ca="1" si="24"/>
        <v xml:space="preserve"> </v>
      </c>
      <c r="X36" s="74" t="str">
        <f t="shared" ca="1" si="25"/>
        <v xml:space="preserve"> </v>
      </c>
      <c r="Y36" s="74" t="str">
        <f t="shared" ca="1" si="26"/>
        <v xml:space="preserve"> </v>
      </c>
      <c r="Z36" s="74" t="str">
        <f t="shared" ca="1" si="27"/>
        <v xml:space="preserve"> </v>
      </c>
      <c r="AA36" s="74" t="str">
        <f t="shared" ca="1" si="28"/>
        <v xml:space="preserve"> </v>
      </c>
      <c r="AB36" s="74" t="str">
        <f t="shared" ca="1" si="29"/>
        <v xml:space="preserve"> </v>
      </c>
      <c r="AC36" s="74" t="str">
        <f t="shared" ca="1" si="30"/>
        <v xml:space="preserve"> </v>
      </c>
      <c r="AD36" s="74" t="str">
        <f t="shared" ca="1" si="31"/>
        <v xml:space="preserve"> </v>
      </c>
      <c r="AE36" s="74" t="str">
        <f t="shared" ca="1" si="32"/>
        <v xml:space="preserve"> </v>
      </c>
      <c r="AF36" s="74" t="str">
        <f t="shared" ca="1" si="33"/>
        <v xml:space="preserve"> </v>
      </c>
      <c r="AG36" s="74" t="str">
        <f t="shared" ca="1" si="34"/>
        <v xml:space="preserve"> </v>
      </c>
      <c r="AH36" s="74" t="str">
        <f t="shared" ca="1" si="35"/>
        <v xml:space="preserve"> </v>
      </c>
      <c r="AI36" s="74" t="str">
        <f t="shared" ca="1" si="36"/>
        <v xml:space="preserve"> </v>
      </c>
      <c r="AJ36" s="74" t="str">
        <f t="shared" ca="1" si="37"/>
        <v xml:space="preserve"> </v>
      </c>
      <c r="AK36" s="74" t="str">
        <f t="shared" ca="1" si="38"/>
        <v xml:space="preserve"> </v>
      </c>
      <c r="AL36" s="74" t="str">
        <f t="shared" ca="1" si="39"/>
        <v xml:space="preserve"> </v>
      </c>
      <c r="AM36" s="74" t="str">
        <f t="shared" ca="1" si="40"/>
        <v xml:space="preserve"> </v>
      </c>
      <c r="AN36" s="74" t="str">
        <f t="shared" ca="1" si="41"/>
        <v xml:space="preserve"> </v>
      </c>
      <c r="AO36" s="74" t="str">
        <f t="shared" ca="1" si="42"/>
        <v xml:space="preserve"> </v>
      </c>
      <c r="AP36" s="74" t="str">
        <f t="shared" ca="1" si="43"/>
        <v xml:space="preserve"> </v>
      </c>
      <c r="AQ36" s="74" t="str">
        <f t="shared" ca="1" si="44"/>
        <v xml:space="preserve"> </v>
      </c>
      <c r="AR36" s="74" t="str">
        <f t="shared" ca="1" si="45"/>
        <v xml:space="preserve"> </v>
      </c>
      <c r="AS36" s="74" t="str">
        <f t="shared" ca="1" si="46"/>
        <v xml:space="preserve"> </v>
      </c>
      <c r="AT36" s="74" t="str">
        <f t="shared" ca="1" si="47"/>
        <v xml:space="preserve"> </v>
      </c>
      <c r="AU36" s="74" t="str">
        <f t="shared" ca="1" si="48"/>
        <v xml:space="preserve"> </v>
      </c>
      <c r="AV36" s="74" t="str">
        <f t="shared" ca="1" si="49"/>
        <v xml:space="preserve"> </v>
      </c>
      <c r="AW36" s="74" t="str">
        <f t="shared" ca="1" si="50"/>
        <v xml:space="preserve"> </v>
      </c>
      <c r="AX36" s="74" t="str">
        <f t="shared" ca="1" si="51"/>
        <v xml:space="preserve"> </v>
      </c>
      <c r="AY36" s="75" t="str">
        <f t="shared" ca="1" si="52"/>
        <v xml:space="preserve"> </v>
      </c>
      <c r="AZ36" s="73" t="str">
        <f t="shared" ca="1" si="53"/>
        <v xml:space="preserve"> </v>
      </c>
      <c r="BA36" s="73" t="str">
        <f t="shared" ca="1" si="54"/>
        <v xml:space="preserve"> </v>
      </c>
      <c r="BB36" s="73" t="str">
        <f t="shared" ca="1" si="55"/>
        <v xml:space="preserve"> </v>
      </c>
      <c r="BC36" s="73" t="str">
        <f ca="1">IF(COUNTIF(Conso!P34,"*Insuffisant*"),"x"," ")</f>
        <v xml:space="preserve"> </v>
      </c>
      <c r="BD36" s="73" t="str">
        <f ca="1">IF(COUNTIF(Conso!P34,"*Faible*"),"x"," ")</f>
        <v xml:space="preserve"> </v>
      </c>
      <c r="BE36" s="73" t="str">
        <f ca="1">IF(COUNTIF(Conso!P34,"*Acceptable*"),"x"," ")</f>
        <v xml:space="preserve"> </v>
      </c>
      <c r="BF36" s="73" t="str">
        <f ca="1">IF(COUNTIF(Conso!P34,"*Maîtrisé*"),"x"," ")</f>
        <v xml:space="preserve"> </v>
      </c>
      <c r="BG36" s="73" t="str">
        <f t="shared" ca="1" si="56"/>
        <v xml:space="preserve"> </v>
      </c>
      <c r="BH36" s="73" t="str">
        <f t="shared" ca="1" si="57"/>
        <v xml:space="preserve"> </v>
      </c>
      <c r="BI36" s="73" t="str">
        <f t="shared" ca="1" si="58"/>
        <v xml:space="preserve"> </v>
      </c>
      <c r="BJ36" s="73" t="str">
        <f t="shared" ca="1" si="59"/>
        <v xml:space="preserve"> </v>
      </c>
      <c r="BK36" s="73" t="str">
        <f t="shared" ca="1" si="60"/>
        <v xml:space="preserve"> </v>
      </c>
      <c r="BL36" s="73" t="str">
        <f t="shared" ca="1" si="61"/>
        <v xml:space="preserve"> </v>
      </c>
      <c r="BM36" s="73" t="str">
        <f t="shared" ca="1" si="62"/>
        <v xml:space="preserve"> </v>
      </c>
      <c r="BN36" s="73" t="str">
        <f t="shared" ca="1" si="63"/>
        <v xml:space="preserve"> </v>
      </c>
      <c r="BO36" s="73" t="str">
        <f t="shared" ca="1" si="64"/>
        <v xml:space="preserve"> </v>
      </c>
      <c r="BP36" s="73" t="str">
        <f t="shared" ca="1" si="65"/>
        <v xml:space="preserve"> </v>
      </c>
      <c r="BQ36" s="73" t="str">
        <f t="shared" ca="1" si="66"/>
        <v xml:space="preserve"> </v>
      </c>
      <c r="BR36" s="73" t="str">
        <f t="shared" ca="1" si="67"/>
        <v xml:space="preserve"> </v>
      </c>
      <c r="BS36" s="73" t="str">
        <f t="shared" ca="1" si="68"/>
        <v xml:space="preserve"> </v>
      </c>
      <c r="BT36" s="73" t="str">
        <f t="shared" ca="1" si="69"/>
        <v xml:space="preserve"> </v>
      </c>
      <c r="BU36" s="73" t="str">
        <f t="shared" ca="1" si="70"/>
        <v xml:space="preserve"> </v>
      </c>
      <c r="BV36" s="73" t="str">
        <f t="shared" ca="1" si="71"/>
        <v xml:space="preserve"> </v>
      </c>
      <c r="BW36" s="216" t="s">
        <v>927</v>
      </c>
    </row>
    <row r="37" spans="1:75" ht="43.5" customHeight="1">
      <c r="A37" s="211" t="s">
        <v>850</v>
      </c>
      <c r="B37" s="72" t="e">
        <f>#REF!</f>
        <v>#REF!</v>
      </c>
      <c r="C37" s="73" t="str">
        <f ca="1">IF(COUNTIF(Conso!O35,"*Marginal*"),"x"," ")</f>
        <v xml:space="preserve"> </v>
      </c>
      <c r="D37" s="73" t="str">
        <f ca="1">IF(COUNTIF(Conso!O35,"*Faible*"),"x"," ")</f>
        <v xml:space="preserve"> </v>
      </c>
      <c r="E37" s="73" t="str">
        <f ca="1">IF(COUNTIF(Conso!O35,"*Modéré*"),"x"," ")</f>
        <v xml:space="preserve"> </v>
      </c>
      <c r="F37" s="73" t="str">
        <f ca="1">IF(COUNTIF(Conso!O35,"*Elevé*"),"x"," ")</f>
        <v xml:space="preserve"> </v>
      </c>
      <c r="G37" s="73" t="str">
        <f ca="1">IF(COUNTIF(Conso!O35,"*Critique*"),"x"," ")</f>
        <v xml:space="preserve"> </v>
      </c>
      <c r="H37" s="73" t="str">
        <f ca="1">IF(COUNTIF(Conso!O35,"*Catastrophique*"),"x"," ")</f>
        <v xml:space="preserve"> </v>
      </c>
      <c r="I37" s="73" t="str">
        <f ca="1">IF(COUNTIF(Conso!N35,"*Exceptionnelle*"),"x"," ")</f>
        <v xml:space="preserve"> </v>
      </c>
      <c r="J37" s="73" t="str">
        <f ca="1">IF(COUNTIF(Conso!N35,"*Rare*"),"x"," ")</f>
        <v xml:space="preserve"> </v>
      </c>
      <c r="K37" s="73" t="str">
        <f ca="1">IF(COUNTIF(Conso!N35,"*Modérée*"),"x"," ")</f>
        <v xml:space="preserve"> </v>
      </c>
      <c r="L37" s="73" t="str">
        <f ca="1">IF(COUNTIF(Conso!N35,"*Elevée*"),"x"," ")</f>
        <v xml:space="preserve"> </v>
      </c>
      <c r="M37" s="73" t="str">
        <f ca="1">IF(COUNTIF(Conso!N35,"*Récurrente*"),"x"," ")</f>
        <v xml:space="preserve"> </v>
      </c>
      <c r="N37" s="73" t="str">
        <f ca="1">IF(COUNTIF(Conso!N35,"*Permanente*"),"x"," ")</f>
        <v xml:space="preserve"> </v>
      </c>
      <c r="O37" s="74" t="str">
        <f t="shared" ca="1" si="16"/>
        <v xml:space="preserve"> </v>
      </c>
      <c r="P37" s="74" t="str">
        <f t="shared" ca="1" si="17"/>
        <v xml:space="preserve"> </v>
      </c>
      <c r="Q37" s="74" t="str">
        <f t="shared" ca="1" si="18"/>
        <v xml:space="preserve"> </v>
      </c>
      <c r="R37" s="74" t="str">
        <f t="shared" ca="1" si="19"/>
        <v xml:space="preserve"> </v>
      </c>
      <c r="S37" s="74" t="str">
        <f t="shared" ca="1" si="20"/>
        <v xml:space="preserve"> </v>
      </c>
      <c r="T37" s="74" t="str">
        <f t="shared" ca="1" si="21"/>
        <v xml:space="preserve"> </v>
      </c>
      <c r="U37" s="74" t="str">
        <f t="shared" ca="1" si="22"/>
        <v xml:space="preserve"> </v>
      </c>
      <c r="V37" s="74" t="str">
        <f t="shared" ca="1" si="23"/>
        <v xml:space="preserve"> </v>
      </c>
      <c r="W37" s="74" t="str">
        <f t="shared" ca="1" si="24"/>
        <v xml:space="preserve"> </v>
      </c>
      <c r="X37" s="74" t="str">
        <f t="shared" ca="1" si="25"/>
        <v xml:space="preserve"> </v>
      </c>
      <c r="Y37" s="74" t="str">
        <f t="shared" ca="1" si="26"/>
        <v xml:space="preserve"> </v>
      </c>
      <c r="Z37" s="74" t="str">
        <f t="shared" ca="1" si="27"/>
        <v xml:space="preserve"> </v>
      </c>
      <c r="AA37" s="74" t="str">
        <f t="shared" ca="1" si="28"/>
        <v xml:space="preserve"> </v>
      </c>
      <c r="AB37" s="74" t="str">
        <f t="shared" ca="1" si="29"/>
        <v xml:space="preserve"> </v>
      </c>
      <c r="AC37" s="74" t="str">
        <f t="shared" ca="1" si="30"/>
        <v xml:space="preserve"> </v>
      </c>
      <c r="AD37" s="74" t="str">
        <f t="shared" ca="1" si="31"/>
        <v xml:space="preserve"> </v>
      </c>
      <c r="AE37" s="74" t="str">
        <f t="shared" ca="1" si="32"/>
        <v xml:space="preserve"> </v>
      </c>
      <c r="AF37" s="74" t="str">
        <f t="shared" ca="1" si="33"/>
        <v xml:space="preserve"> </v>
      </c>
      <c r="AG37" s="74" t="str">
        <f t="shared" ca="1" si="34"/>
        <v xml:space="preserve"> </v>
      </c>
      <c r="AH37" s="74" t="str">
        <f t="shared" ca="1" si="35"/>
        <v xml:space="preserve"> </v>
      </c>
      <c r="AI37" s="74" t="str">
        <f t="shared" ca="1" si="36"/>
        <v xml:space="preserve"> </v>
      </c>
      <c r="AJ37" s="74" t="str">
        <f t="shared" ca="1" si="37"/>
        <v xml:space="preserve"> </v>
      </c>
      <c r="AK37" s="74" t="str">
        <f t="shared" ca="1" si="38"/>
        <v xml:space="preserve"> </v>
      </c>
      <c r="AL37" s="74" t="str">
        <f t="shared" ca="1" si="39"/>
        <v xml:space="preserve"> </v>
      </c>
      <c r="AM37" s="74" t="str">
        <f t="shared" ca="1" si="40"/>
        <v xml:space="preserve"> </v>
      </c>
      <c r="AN37" s="74" t="str">
        <f t="shared" ca="1" si="41"/>
        <v xml:space="preserve"> </v>
      </c>
      <c r="AO37" s="74" t="str">
        <f t="shared" ca="1" si="42"/>
        <v xml:space="preserve"> </v>
      </c>
      <c r="AP37" s="74" t="str">
        <f t="shared" ca="1" si="43"/>
        <v xml:space="preserve"> </v>
      </c>
      <c r="AQ37" s="74" t="str">
        <f t="shared" ca="1" si="44"/>
        <v xml:space="preserve"> </v>
      </c>
      <c r="AR37" s="74" t="str">
        <f t="shared" ca="1" si="45"/>
        <v xml:space="preserve"> </v>
      </c>
      <c r="AS37" s="74" t="str">
        <f t="shared" ca="1" si="46"/>
        <v xml:space="preserve"> </v>
      </c>
      <c r="AT37" s="74" t="str">
        <f t="shared" ca="1" si="47"/>
        <v xml:space="preserve"> </v>
      </c>
      <c r="AU37" s="74" t="str">
        <f t="shared" ca="1" si="48"/>
        <v xml:space="preserve"> </v>
      </c>
      <c r="AV37" s="74" t="str">
        <f t="shared" ca="1" si="49"/>
        <v xml:space="preserve"> </v>
      </c>
      <c r="AW37" s="74" t="str">
        <f t="shared" ca="1" si="50"/>
        <v xml:space="preserve"> </v>
      </c>
      <c r="AX37" s="74" t="str">
        <f t="shared" ca="1" si="51"/>
        <v xml:space="preserve"> </v>
      </c>
      <c r="AY37" s="75" t="str">
        <f t="shared" ca="1" si="52"/>
        <v xml:space="preserve"> </v>
      </c>
      <c r="AZ37" s="73" t="str">
        <f t="shared" ca="1" si="53"/>
        <v xml:space="preserve"> </v>
      </c>
      <c r="BA37" s="73" t="str">
        <f t="shared" ca="1" si="54"/>
        <v xml:space="preserve"> </v>
      </c>
      <c r="BB37" s="73" t="str">
        <f t="shared" ca="1" si="55"/>
        <v xml:space="preserve"> </v>
      </c>
      <c r="BC37" s="73" t="str">
        <f ca="1">IF(COUNTIF(Conso!P35,"*Insuffisant*"),"x"," ")</f>
        <v xml:space="preserve"> </v>
      </c>
      <c r="BD37" s="73" t="str">
        <f ca="1">IF(COUNTIF(Conso!P35,"*Faible*"),"x"," ")</f>
        <v xml:space="preserve"> </v>
      </c>
      <c r="BE37" s="73" t="str">
        <f ca="1">IF(COUNTIF(Conso!P35,"*Acceptable*"),"x"," ")</f>
        <v xml:space="preserve"> </v>
      </c>
      <c r="BF37" s="73" t="str">
        <f ca="1">IF(COUNTIF(Conso!P35,"*Maîtrisé*"),"x"," ")</f>
        <v xml:space="preserve"> </v>
      </c>
      <c r="BG37" s="73" t="str">
        <f t="shared" ca="1" si="56"/>
        <v xml:space="preserve"> </v>
      </c>
      <c r="BH37" s="73" t="str">
        <f t="shared" ca="1" si="57"/>
        <v xml:space="preserve"> </v>
      </c>
      <c r="BI37" s="73" t="str">
        <f t="shared" ca="1" si="58"/>
        <v xml:space="preserve"> </v>
      </c>
      <c r="BJ37" s="73" t="str">
        <f t="shared" ca="1" si="59"/>
        <v xml:space="preserve"> </v>
      </c>
      <c r="BK37" s="73" t="str">
        <f t="shared" ca="1" si="60"/>
        <v xml:space="preserve"> </v>
      </c>
      <c r="BL37" s="73" t="str">
        <f t="shared" ca="1" si="61"/>
        <v xml:space="preserve"> </v>
      </c>
      <c r="BM37" s="73" t="str">
        <f t="shared" ca="1" si="62"/>
        <v xml:space="preserve"> </v>
      </c>
      <c r="BN37" s="73" t="str">
        <f t="shared" ca="1" si="63"/>
        <v xml:space="preserve"> </v>
      </c>
      <c r="BO37" s="73" t="str">
        <f t="shared" ca="1" si="64"/>
        <v xml:space="preserve"> </v>
      </c>
      <c r="BP37" s="73" t="str">
        <f t="shared" ca="1" si="65"/>
        <v xml:space="preserve"> </v>
      </c>
      <c r="BQ37" s="73" t="str">
        <f t="shared" ca="1" si="66"/>
        <v xml:space="preserve"> </v>
      </c>
      <c r="BR37" s="73" t="str">
        <f t="shared" ca="1" si="67"/>
        <v xml:space="preserve"> </v>
      </c>
      <c r="BS37" s="73" t="str">
        <f t="shared" ca="1" si="68"/>
        <v xml:space="preserve"> </v>
      </c>
      <c r="BT37" s="73" t="str">
        <f t="shared" ca="1" si="69"/>
        <v xml:space="preserve"> </v>
      </c>
      <c r="BU37" s="73" t="str">
        <f t="shared" ca="1" si="70"/>
        <v xml:space="preserve"> </v>
      </c>
      <c r="BV37" s="73" t="str">
        <f t="shared" ca="1" si="71"/>
        <v xml:space="preserve"> </v>
      </c>
      <c r="BW37" s="216" t="s">
        <v>928</v>
      </c>
    </row>
    <row r="38" spans="1:75" ht="43.5" customHeight="1">
      <c r="A38" s="211" t="s">
        <v>851</v>
      </c>
      <c r="B38" s="72" t="e">
        <f>#REF!</f>
        <v>#REF!</v>
      </c>
      <c r="C38" s="73" t="str">
        <f ca="1">IF(COUNTIF(Conso!O36,"*Marginal*"),"x"," ")</f>
        <v xml:space="preserve"> </v>
      </c>
      <c r="D38" s="73" t="str">
        <f ca="1">IF(COUNTIF(Conso!O36,"*Faible*"),"x"," ")</f>
        <v xml:space="preserve"> </v>
      </c>
      <c r="E38" s="73" t="str">
        <f ca="1">IF(COUNTIF(Conso!O36,"*Modéré*"),"x"," ")</f>
        <v xml:space="preserve"> </v>
      </c>
      <c r="F38" s="73" t="str">
        <f ca="1">IF(COUNTIF(Conso!O36,"*Elevé*"),"x"," ")</f>
        <v xml:space="preserve"> </v>
      </c>
      <c r="G38" s="73" t="str">
        <f ca="1">IF(COUNTIF(Conso!O36,"*Critique*"),"x"," ")</f>
        <v xml:space="preserve"> </v>
      </c>
      <c r="H38" s="73" t="str">
        <f ca="1">IF(COUNTIF(Conso!O36,"*Catastrophique*"),"x"," ")</f>
        <v xml:space="preserve"> </v>
      </c>
      <c r="I38" s="73" t="str">
        <f ca="1">IF(COUNTIF(Conso!N36,"*Exceptionnelle*"),"x"," ")</f>
        <v xml:space="preserve"> </v>
      </c>
      <c r="J38" s="73" t="str">
        <f ca="1">IF(COUNTIF(Conso!N36,"*Rare*"),"x"," ")</f>
        <v xml:space="preserve"> </v>
      </c>
      <c r="K38" s="73" t="str">
        <f ca="1">IF(COUNTIF(Conso!N36,"*Modérée*"),"x"," ")</f>
        <v xml:space="preserve"> </v>
      </c>
      <c r="L38" s="73" t="str">
        <f ca="1">IF(COUNTIF(Conso!N36,"*Elevée*"),"x"," ")</f>
        <v xml:space="preserve"> </v>
      </c>
      <c r="M38" s="73" t="str">
        <f ca="1">IF(COUNTIF(Conso!N36,"*Récurrente*"),"x"," ")</f>
        <v xml:space="preserve"> </v>
      </c>
      <c r="N38" s="73" t="str">
        <f ca="1">IF(COUNTIF(Conso!N36,"*Permanente*"),"x"," ")</f>
        <v xml:space="preserve"> </v>
      </c>
      <c r="O38" s="74" t="str">
        <f t="shared" ca="1" si="16"/>
        <v xml:space="preserve"> </v>
      </c>
      <c r="P38" s="74" t="str">
        <f t="shared" ca="1" si="17"/>
        <v xml:space="preserve"> </v>
      </c>
      <c r="Q38" s="74" t="str">
        <f t="shared" ca="1" si="18"/>
        <v xml:space="preserve"> </v>
      </c>
      <c r="R38" s="74" t="str">
        <f t="shared" ca="1" si="19"/>
        <v xml:space="preserve"> </v>
      </c>
      <c r="S38" s="74" t="str">
        <f t="shared" ca="1" si="20"/>
        <v xml:space="preserve"> </v>
      </c>
      <c r="T38" s="74" t="str">
        <f t="shared" ca="1" si="21"/>
        <v xml:space="preserve"> </v>
      </c>
      <c r="U38" s="74" t="str">
        <f t="shared" ca="1" si="22"/>
        <v xml:space="preserve"> </v>
      </c>
      <c r="V38" s="74" t="str">
        <f t="shared" ca="1" si="23"/>
        <v xml:space="preserve"> </v>
      </c>
      <c r="W38" s="74" t="str">
        <f t="shared" ca="1" si="24"/>
        <v xml:space="preserve"> </v>
      </c>
      <c r="X38" s="74" t="str">
        <f t="shared" ca="1" si="25"/>
        <v xml:space="preserve"> </v>
      </c>
      <c r="Y38" s="74" t="str">
        <f t="shared" ca="1" si="26"/>
        <v xml:space="preserve"> </v>
      </c>
      <c r="Z38" s="74" t="str">
        <f t="shared" ca="1" si="27"/>
        <v xml:space="preserve"> </v>
      </c>
      <c r="AA38" s="74" t="str">
        <f t="shared" ca="1" si="28"/>
        <v xml:space="preserve"> </v>
      </c>
      <c r="AB38" s="74" t="str">
        <f t="shared" ca="1" si="29"/>
        <v xml:space="preserve"> </v>
      </c>
      <c r="AC38" s="74" t="str">
        <f t="shared" ca="1" si="30"/>
        <v xml:space="preserve"> </v>
      </c>
      <c r="AD38" s="74" t="str">
        <f t="shared" ca="1" si="31"/>
        <v xml:space="preserve"> </v>
      </c>
      <c r="AE38" s="74" t="str">
        <f t="shared" ca="1" si="32"/>
        <v xml:space="preserve"> </v>
      </c>
      <c r="AF38" s="74" t="str">
        <f t="shared" ca="1" si="33"/>
        <v xml:space="preserve"> </v>
      </c>
      <c r="AG38" s="74" t="str">
        <f t="shared" ca="1" si="34"/>
        <v xml:space="preserve"> </v>
      </c>
      <c r="AH38" s="74" t="str">
        <f t="shared" ca="1" si="35"/>
        <v xml:space="preserve"> </v>
      </c>
      <c r="AI38" s="74" t="str">
        <f t="shared" ca="1" si="36"/>
        <v xml:space="preserve"> </v>
      </c>
      <c r="AJ38" s="74" t="str">
        <f t="shared" ca="1" si="37"/>
        <v xml:space="preserve"> </v>
      </c>
      <c r="AK38" s="74" t="str">
        <f t="shared" ca="1" si="38"/>
        <v xml:space="preserve"> </v>
      </c>
      <c r="AL38" s="74" t="str">
        <f t="shared" ca="1" si="39"/>
        <v xml:space="preserve"> </v>
      </c>
      <c r="AM38" s="74" t="str">
        <f t="shared" ca="1" si="40"/>
        <v xml:space="preserve"> </v>
      </c>
      <c r="AN38" s="74" t="str">
        <f t="shared" ca="1" si="41"/>
        <v xml:space="preserve"> </v>
      </c>
      <c r="AO38" s="74" t="str">
        <f t="shared" ca="1" si="42"/>
        <v xml:space="preserve"> </v>
      </c>
      <c r="AP38" s="74" t="str">
        <f t="shared" ca="1" si="43"/>
        <v xml:space="preserve"> </v>
      </c>
      <c r="AQ38" s="74" t="str">
        <f t="shared" ca="1" si="44"/>
        <v xml:space="preserve"> </v>
      </c>
      <c r="AR38" s="74" t="str">
        <f t="shared" ca="1" si="45"/>
        <v xml:space="preserve"> </v>
      </c>
      <c r="AS38" s="74" t="str">
        <f t="shared" ca="1" si="46"/>
        <v xml:space="preserve"> </v>
      </c>
      <c r="AT38" s="74" t="str">
        <f t="shared" ca="1" si="47"/>
        <v xml:space="preserve"> </v>
      </c>
      <c r="AU38" s="74" t="str">
        <f t="shared" ca="1" si="48"/>
        <v xml:space="preserve"> </v>
      </c>
      <c r="AV38" s="74" t="str">
        <f t="shared" ca="1" si="49"/>
        <v xml:space="preserve"> </v>
      </c>
      <c r="AW38" s="74" t="str">
        <f t="shared" ca="1" si="50"/>
        <v xml:space="preserve"> </v>
      </c>
      <c r="AX38" s="74" t="str">
        <f t="shared" ca="1" si="51"/>
        <v xml:space="preserve"> </v>
      </c>
      <c r="AY38" s="75" t="str">
        <f t="shared" ca="1" si="52"/>
        <v xml:space="preserve"> </v>
      </c>
      <c r="AZ38" s="73" t="str">
        <f t="shared" ca="1" si="53"/>
        <v xml:space="preserve"> </v>
      </c>
      <c r="BA38" s="73" t="str">
        <f t="shared" ca="1" si="54"/>
        <v xml:space="preserve"> </v>
      </c>
      <c r="BB38" s="73" t="str">
        <f t="shared" ca="1" si="55"/>
        <v xml:space="preserve"> </v>
      </c>
      <c r="BC38" s="73" t="str">
        <f ca="1">IF(COUNTIF(Conso!P36,"*Insuffisant*"),"x"," ")</f>
        <v xml:space="preserve"> </v>
      </c>
      <c r="BD38" s="73" t="str">
        <f ca="1">IF(COUNTIF(Conso!P36,"*Faible*"),"x"," ")</f>
        <v xml:space="preserve"> </v>
      </c>
      <c r="BE38" s="73" t="str">
        <f ca="1">IF(COUNTIF(Conso!P36,"*Acceptable*"),"x"," ")</f>
        <v xml:space="preserve"> </v>
      </c>
      <c r="BF38" s="73" t="str">
        <f ca="1">IF(COUNTIF(Conso!P36,"*Maîtrisé*"),"x"," ")</f>
        <v xml:space="preserve"> </v>
      </c>
      <c r="BG38" s="73" t="str">
        <f t="shared" ca="1" si="56"/>
        <v xml:space="preserve"> </v>
      </c>
      <c r="BH38" s="73" t="str">
        <f t="shared" ca="1" si="57"/>
        <v xml:space="preserve"> </v>
      </c>
      <c r="BI38" s="73" t="str">
        <f t="shared" ca="1" si="58"/>
        <v xml:space="preserve"> </v>
      </c>
      <c r="BJ38" s="73" t="str">
        <f t="shared" ca="1" si="59"/>
        <v xml:space="preserve"> </v>
      </c>
      <c r="BK38" s="73" t="str">
        <f t="shared" ca="1" si="60"/>
        <v xml:space="preserve"> </v>
      </c>
      <c r="BL38" s="73" t="str">
        <f t="shared" ca="1" si="61"/>
        <v xml:space="preserve"> </v>
      </c>
      <c r="BM38" s="73" t="str">
        <f t="shared" ca="1" si="62"/>
        <v xml:space="preserve"> </v>
      </c>
      <c r="BN38" s="73" t="str">
        <f t="shared" ca="1" si="63"/>
        <v xml:space="preserve"> </v>
      </c>
      <c r="BO38" s="73" t="str">
        <f t="shared" ca="1" si="64"/>
        <v xml:space="preserve"> </v>
      </c>
      <c r="BP38" s="73" t="str">
        <f t="shared" ca="1" si="65"/>
        <v xml:space="preserve"> </v>
      </c>
      <c r="BQ38" s="73" t="str">
        <f t="shared" ca="1" si="66"/>
        <v xml:space="preserve"> </v>
      </c>
      <c r="BR38" s="73" t="str">
        <f t="shared" ca="1" si="67"/>
        <v xml:space="preserve"> </v>
      </c>
      <c r="BS38" s="73" t="str">
        <f t="shared" ca="1" si="68"/>
        <v xml:space="preserve"> </v>
      </c>
      <c r="BT38" s="73" t="str">
        <f t="shared" ca="1" si="69"/>
        <v xml:space="preserve"> </v>
      </c>
      <c r="BU38" s="73" t="str">
        <f t="shared" ca="1" si="70"/>
        <v xml:space="preserve"> </v>
      </c>
      <c r="BV38" s="73" t="str">
        <f t="shared" ca="1" si="71"/>
        <v xml:space="preserve"> </v>
      </c>
      <c r="BW38" s="216" t="s">
        <v>929</v>
      </c>
    </row>
    <row r="39" spans="1:75" ht="43.5" customHeight="1">
      <c r="A39" s="211" t="s">
        <v>852</v>
      </c>
      <c r="B39" s="72" t="e">
        <f>#REF!</f>
        <v>#REF!</v>
      </c>
      <c r="C39" s="73" t="str">
        <f ca="1">IF(COUNTIF(Conso!O37,"*Marginal*"),"x"," ")</f>
        <v xml:space="preserve"> </v>
      </c>
      <c r="D39" s="73" t="str">
        <f ca="1">IF(COUNTIF(Conso!O37,"*Faible*"),"x"," ")</f>
        <v xml:space="preserve"> </v>
      </c>
      <c r="E39" s="73" t="str">
        <f ca="1">IF(COUNTIF(Conso!O37,"*Modéré*"),"x"," ")</f>
        <v xml:space="preserve"> </v>
      </c>
      <c r="F39" s="73" t="str">
        <f ca="1">IF(COUNTIF(Conso!O37,"*Elevé*"),"x"," ")</f>
        <v xml:space="preserve"> </v>
      </c>
      <c r="G39" s="73" t="str">
        <f ca="1">IF(COUNTIF(Conso!O37,"*Critique*"),"x"," ")</f>
        <v xml:space="preserve"> </v>
      </c>
      <c r="H39" s="73" t="str">
        <f ca="1">IF(COUNTIF(Conso!O37,"*Catastrophique*"),"x"," ")</f>
        <v xml:space="preserve"> </v>
      </c>
      <c r="I39" s="73" t="str">
        <f ca="1">IF(COUNTIF(Conso!N37,"*Exceptionnelle*"),"x"," ")</f>
        <v xml:space="preserve"> </v>
      </c>
      <c r="J39" s="73" t="str">
        <f ca="1">IF(COUNTIF(Conso!N37,"*Rare*"),"x"," ")</f>
        <v xml:space="preserve"> </v>
      </c>
      <c r="K39" s="73" t="str">
        <f ca="1">IF(COUNTIF(Conso!N37,"*Modérée*"),"x"," ")</f>
        <v xml:space="preserve"> </v>
      </c>
      <c r="L39" s="73" t="str">
        <f ca="1">IF(COUNTIF(Conso!N37,"*Elevée*"),"x"," ")</f>
        <v xml:space="preserve"> </v>
      </c>
      <c r="M39" s="73" t="str">
        <f ca="1">IF(COUNTIF(Conso!N37,"*Récurrente*"),"x"," ")</f>
        <v xml:space="preserve"> </v>
      </c>
      <c r="N39" s="73" t="str">
        <f ca="1">IF(COUNTIF(Conso!N37,"*Permanente*"),"x"," ")</f>
        <v xml:space="preserve"> </v>
      </c>
      <c r="O39" s="74" t="str">
        <f t="shared" ca="1" si="16"/>
        <v xml:space="preserve"> </v>
      </c>
      <c r="P39" s="74" t="str">
        <f t="shared" ca="1" si="17"/>
        <v xml:space="preserve"> </v>
      </c>
      <c r="Q39" s="74" t="str">
        <f t="shared" ca="1" si="18"/>
        <v xml:space="preserve"> </v>
      </c>
      <c r="R39" s="74" t="str">
        <f t="shared" ca="1" si="19"/>
        <v xml:space="preserve"> </v>
      </c>
      <c r="S39" s="74" t="str">
        <f t="shared" ca="1" si="20"/>
        <v xml:space="preserve"> </v>
      </c>
      <c r="T39" s="74" t="str">
        <f t="shared" ca="1" si="21"/>
        <v xml:space="preserve"> </v>
      </c>
      <c r="U39" s="74" t="str">
        <f t="shared" ca="1" si="22"/>
        <v xml:space="preserve"> </v>
      </c>
      <c r="V39" s="74" t="str">
        <f t="shared" ca="1" si="23"/>
        <v xml:space="preserve"> </v>
      </c>
      <c r="W39" s="74" t="str">
        <f t="shared" ca="1" si="24"/>
        <v xml:space="preserve"> </v>
      </c>
      <c r="X39" s="74" t="str">
        <f t="shared" ca="1" si="25"/>
        <v xml:space="preserve"> </v>
      </c>
      <c r="Y39" s="74" t="str">
        <f t="shared" ca="1" si="26"/>
        <v xml:space="preserve"> </v>
      </c>
      <c r="Z39" s="74" t="str">
        <f t="shared" ca="1" si="27"/>
        <v xml:space="preserve"> </v>
      </c>
      <c r="AA39" s="74" t="str">
        <f t="shared" ca="1" si="28"/>
        <v xml:space="preserve"> </v>
      </c>
      <c r="AB39" s="74" t="str">
        <f t="shared" ca="1" si="29"/>
        <v xml:space="preserve"> </v>
      </c>
      <c r="AC39" s="74" t="str">
        <f t="shared" ca="1" si="30"/>
        <v xml:space="preserve"> </v>
      </c>
      <c r="AD39" s="74" t="str">
        <f t="shared" ca="1" si="31"/>
        <v xml:space="preserve"> </v>
      </c>
      <c r="AE39" s="74" t="str">
        <f t="shared" ca="1" si="32"/>
        <v xml:space="preserve"> </v>
      </c>
      <c r="AF39" s="74" t="str">
        <f t="shared" ca="1" si="33"/>
        <v xml:space="preserve"> </v>
      </c>
      <c r="AG39" s="74" t="str">
        <f t="shared" ca="1" si="34"/>
        <v xml:space="preserve"> </v>
      </c>
      <c r="AH39" s="74" t="str">
        <f t="shared" ca="1" si="35"/>
        <v xml:space="preserve"> </v>
      </c>
      <c r="AI39" s="74" t="str">
        <f t="shared" ca="1" si="36"/>
        <v xml:space="preserve"> </v>
      </c>
      <c r="AJ39" s="74" t="str">
        <f t="shared" ca="1" si="37"/>
        <v xml:space="preserve"> </v>
      </c>
      <c r="AK39" s="74" t="str">
        <f t="shared" ca="1" si="38"/>
        <v xml:space="preserve"> </v>
      </c>
      <c r="AL39" s="74" t="str">
        <f t="shared" ca="1" si="39"/>
        <v xml:space="preserve"> </v>
      </c>
      <c r="AM39" s="74" t="str">
        <f t="shared" ca="1" si="40"/>
        <v xml:space="preserve"> </v>
      </c>
      <c r="AN39" s="74" t="str">
        <f t="shared" ca="1" si="41"/>
        <v xml:space="preserve"> </v>
      </c>
      <c r="AO39" s="74" t="str">
        <f t="shared" ca="1" si="42"/>
        <v xml:space="preserve"> </v>
      </c>
      <c r="AP39" s="74" t="str">
        <f t="shared" ca="1" si="43"/>
        <v xml:space="preserve"> </v>
      </c>
      <c r="AQ39" s="74" t="str">
        <f t="shared" ca="1" si="44"/>
        <v xml:space="preserve"> </v>
      </c>
      <c r="AR39" s="74" t="str">
        <f t="shared" ca="1" si="45"/>
        <v xml:space="preserve"> </v>
      </c>
      <c r="AS39" s="74" t="str">
        <f t="shared" ca="1" si="46"/>
        <v xml:space="preserve"> </v>
      </c>
      <c r="AT39" s="74" t="str">
        <f t="shared" ca="1" si="47"/>
        <v xml:space="preserve"> </v>
      </c>
      <c r="AU39" s="74" t="str">
        <f t="shared" ca="1" si="48"/>
        <v xml:space="preserve"> </v>
      </c>
      <c r="AV39" s="74" t="str">
        <f t="shared" ca="1" si="49"/>
        <v xml:space="preserve"> </v>
      </c>
      <c r="AW39" s="74" t="str">
        <f t="shared" ca="1" si="50"/>
        <v xml:space="preserve"> </v>
      </c>
      <c r="AX39" s="74" t="str">
        <f t="shared" ca="1" si="51"/>
        <v xml:space="preserve"> </v>
      </c>
      <c r="AY39" s="75" t="str">
        <f t="shared" ca="1" si="52"/>
        <v xml:space="preserve"> </v>
      </c>
      <c r="AZ39" s="73" t="str">
        <f t="shared" ca="1" si="53"/>
        <v xml:space="preserve"> </v>
      </c>
      <c r="BA39" s="73" t="str">
        <f t="shared" ca="1" si="54"/>
        <v xml:space="preserve"> </v>
      </c>
      <c r="BB39" s="73" t="str">
        <f t="shared" ca="1" si="55"/>
        <v xml:space="preserve"> </v>
      </c>
      <c r="BC39" s="73" t="str">
        <f ca="1">IF(COUNTIF(Conso!P37,"*Insuffisant*"),"x"," ")</f>
        <v xml:space="preserve"> </v>
      </c>
      <c r="BD39" s="73" t="str">
        <f ca="1">IF(COUNTIF(Conso!P37,"*Faible*"),"x"," ")</f>
        <v xml:space="preserve"> </v>
      </c>
      <c r="BE39" s="73" t="str">
        <f ca="1">IF(COUNTIF(Conso!P37,"*Acceptable*"),"x"," ")</f>
        <v xml:space="preserve"> </v>
      </c>
      <c r="BF39" s="73" t="str">
        <f ca="1">IF(COUNTIF(Conso!P37,"*Maîtrisé*"),"x"," ")</f>
        <v xml:space="preserve"> </v>
      </c>
      <c r="BG39" s="73" t="str">
        <f t="shared" ca="1" si="56"/>
        <v xml:space="preserve"> </v>
      </c>
      <c r="BH39" s="73" t="str">
        <f t="shared" ca="1" si="57"/>
        <v xml:space="preserve"> </v>
      </c>
      <c r="BI39" s="73" t="str">
        <f t="shared" ca="1" si="58"/>
        <v xml:space="preserve"> </v>
      </c>
      <c r="BJ39" s="73" t="str">
        <f t="shared" ca="1" si="59"/>
        <v xml:space="preserve"> </v>
      </c>
      <c r="BK39" s="73" t="str">
        <f t="shared" ca="1" si="60"/>
        <v xml:space="preserve"> </v>
      </c>
      <c r="BL39" s="73" t="str">
        <f t="shared" ca="1" si="61"/>
        <v xml:space="preserve"> </v>
      </c>
      <c r="BM39" s="73" t="str">
        <f t="shared" ca="1" si="62"/>
        <v xml:space="preserve"> </v>
      </c>
      <c r="BN39" s="73" t="str">
        <f t="shared" ca="1" si="63"/>
        <v xml:space="preserve"> </v>
      </c>
      <c r="BO39" s="73" t="str">
        <f t="shared" ca="1" si="64"/>
        <v xml:space="preserve"> </v>
      </c>
      <c r="BP39" s="73" t="str">
        <f t="shared" ca="1" si="65"/>
        <v xml:space="preserve"> </v>
      </c>
      <c r="BQ39" s="73" t="str">
        <f t="shared" ca="1" si="66"/>
        <v xml:space="preserve"> </v>
      </c>
      <c r="BR39" s="73" t="str">
        <f t="shared" ca="1" si="67"/>
        <v xml:space="preserve"> </v>
      </c>
      <c r="BS39" s="73" t="str">
        <f t="shared" ca="1" si="68"/>
        <v xml:space="preserve"> </v>
      </c>
      <c r="BT39" s="73" t="str">
        <f t="shared" ca="1" si="69"/>
        <v xml:space="preserve"> </v>
      </c>
      <c r="BU39" s="73" t="str">
        <f t="shared" ca="1" si="70"/>
        <v xml:space="preserve"> </v>
      </c>
      <c r="BV39" s="73" t="str">
        <f t="shared" ca="1" si="71"/>
        <v xml:space="preserve"> </v>
      </c>
      <c r="BW39" s="216" t="s">
        <v>930</v>
      </c>
    </row>
    <row r="40" spans="1:75" ht="43.5" customHeight="1">
      <c r="A40" s="211" t="s">
        <v>853</v>
      </c>
      <c r="B40" s="72" t="e">
        <f>#REF!</f>
        <v>#REF!</v>
      </c>
      <c r="C40" s="73" t="str">
        <f ca="1">IF(COUNTIF(Conso!O38,"*Marginal*"),"x"," ")</f>
        <v xml:space="preserve"> </v>
      </c>
      <c r="D40" s="73" t="str">
        <f ca="1">IF(COUNTIF(Conso!O38,"*Faible*"),"x"," ")</f>
        <v xml:space="preserve"> </v>
      </c>
      <c r="E40" s="73" t="str">
        <f ca="1">IF(COUNTIF(Conso!O38,"*Modéré*"),"x"," ")</f>
        <v xml:space="preserve"> </v>
      </c>
      <c r="F40" s="73" t="str">
        <f ca="1">IF(COUNTIF(Conso!O38,"*Elevé*"),"x"," ")</f>
        <v xml:space="preserve"> </v>
      </c>
      <c r="G40" s="73" t="str">
        <f ca="1">IF(COUNTIF(Conso!O38,"*Critique*"),"x"," ")</f>
        <v xml:space="preserve"> </v>
      </c>
      <c r="H40" s="73" t="str">
        <f ca="1">IF(COUNTIF(Conso!O38,"*Catastrophique*"),"x"," ")</f>
        <v xml:space="preserve"> </v>
      </c>
      <c r="I40" s="73" t="str">
        <f ca="1">IF(COUNTIF(Conso!N38,"*Exceptionnelle*"),"x"," ")</f>
        <v xml:space="preserve"> </v>
      </c>
      <c r="J40" s="73" t="str">
        <f ca="1">IF(COUNTIF(Conso!N38,"*Rare*"),"x"," ")</f>
        <v xml:space="preserve"> </v>
      </c>
      <c r="K40" s="73" t="str">
        <f ca="1">IF(COUNTIF(Conso!N38,"*Modérée*"),"x"," ")</f>
        <v xml:space="preserve"> </v>
      </c>
      <c r="L40" s="73" t="str">
        <f ca="1">IF(COUNTIF(Conso!N38,"*Elevée*"),"x"," ")</f>
        <v xml:space="preserve"> </v>
      </c>
      <c r="M40" s="73" t="str">
        <f ca="1">IF(COUNTIF(Conso!N38,"*Récurrente*"),"x"," ")</f>
        <v xml:space="preserve"> </v>
      </c>
      <c r="N40" s="73" t="str">
        <f ca="1">IF(COUNTIF(Conso!N38,"*Permanente*"),"x"," ")</f>
        <v xml:space="preserve"> </v>
      </c>
      <c r="O40" s="74" t="str">
        <f t="shared" ca="1" si="16"/>
        <v xml:space="preserve"> </v>
      </c>
      <c r="P40" s="74" t="str">
        <f t="shared" ca="1" si="17"/>
        <v xml:space="preserve"> </v>
      </c>
      <c r="Q40" s="74" t="str">
        <f t="shared" ca="1" si="18"/>
        <v xml:space="preserve"> </v>
      </c>
      <c r="R40" s="74" t="str">
        <f t="shared" ca="1" si="19"/>
        <v xml:space="preserve"> </v>
      </c>
      <c r="S40" s="74" t="str">
        <f t="shared" ca="1" si="20"/>
        <v xml:space="preserve"> </v>
      </c>
      <c r="T40" s="74" t="str">
        <f t="shared" ca="1" si="21"/>
        <v xml:space="preserve"> </v>
      </c>
      <c r="U40" s="74" t="str">
        <f t="shared" ca="1" si="22"/>
        <v xml:space="preserve"> </v>
      </c>
      <c r="V40" s="74" t="str">
        <f t="shared" ca="1" si="23"/>
        <v xml:space="preserve"> </v>
      </c>
      <c r="W40" s="74" t="str">
        <f t="shared" ca="1" si="24"/>
        <v xml:space="preserve"> </v>
      </c>
      <c r="X40" s="74" t="str">
        <f t="shared" ca="1" si="25"/>
        <v xml:space="preserve"> </v>
      </c>
      <c r="Y40" s="74" t="str">
        <f t="shared" ca="1" si="26"/>
        <v xml:space="preserve"> </v>
      </c>
      <c r="Z40" s="74" t="str">
        <f t="shared" ca="1" si="27"/>
        <v xml:space="preserve"> </v>
      </c>
      <c r="AA40" s="74" t="str">
        <f t="shared" ca="1" si="28"/>
        <v xml:space="preserve"> </v>
      </c>
      <c r="AB40" s="74" t="str">
        <f t="shared" ca="1" si="29"/>
        <v xml:space="preserve"> </v>
      </c>
      <c r="AC40" s="74" t="str">
        <f t="shared" ca="1" si="30"/>
        <v xml:space="preserve"> </v>
      </c>
      <c r="AD40" s="74" t="str">
        <f t="shared" ca="1" si="31"/>
        <v xml:space="preserve"> </v>
      </c>
      <c r="AE40" s="74" t="str">
        <f t="shared" ca="1" si="32"/>
        <v xml:space="preserve"> </v>
      </c>
      <c r="AF40" s="74" t="str">
        <f t="shared" ca="1" si="33"/>
        <v xml:space="preserve"> </v>
      </c>
      <c r="AG40" s="74" t="str">
        <f t="shared" ca="1" si="34"/>
        <v xml:space="preserve"> </v>
      </c>
      <c r="AH40" s="74" t="str">
        <f t="shared" ca="1" si="35"/>
        <v xml:space="preserve"> </v>
      </c>
      <c r="AI40" s="74" t="str">
        <f t="shared" ca="1" si="36"/>
        <v xml:space="preserve"> </v>
      </c>
      <c r="AJ40" s="74" t="str">
        <f t="shared" ca="1" si="37"/>
        <v xml:space="preserve"> </v>
      </c>
      <c r="AK40" s="74" t="str">
        <f t="shared" ca="1" si="38"/>
        <v xml:space="preserve"> </v>
      </c>
      <c r="AL40" s="74" t="str">
        <f t="shared" ca="1" si="39"/>
        <v xml:space="preserve"> </v>
      </c>
      <c r="AM40" s="74" t="str">
        <f t="shared" ca="1" si="40"/>
        <v xml:space="preserve"> </v>
      </c>
      <c r="AN40" s="74" t="str">
        <f t="shared" ca="1" si="41"/>
        <v xml:space="preserve"> </v>
      </c>
      <c r="AO40" s="74" t="str">
        <f t="shared" ca="1" si="42"/>
        <v xml:space="preserve"> </v>
      </c>
      <c r="AP40" s="74" t="str">
        <f t="shared" ca="1" si="43"/>
        <v xml:space="preserve"> </v>
      </c>
      <c r="AQ40" s="74" t="str">
        <f t="shared" ca="1" si="44"/>
        <v xml:space="preserve"> </v>
      </c>
      <c r="AR40" s="74" t="str">
        <f t="shared" ca="1" si="45"/>
        <v xml:space="preserve"> </v>
      </c>
      <c r="AS40" s="74" t="str">
        <f t="shared" ca="1" si="46"/>
        <v xml:space="preserve"> </v>
      </c>
      <c r="AT40" s="74" t="str">
        <f t="shared" ca="1" si="47"/>
        <v xml:space="preserve"> </v>
      </c>
      <c r="AU40" s="74" t="str">
        <f t="shared" ca="1" si="48"/>
        <v xml:space="preserve"> </v>
      </c>
      <c r="AV40" s="74" t="str">
        <f t="shared" ca="1" si="49"/>
        <v xml:space="preserve"> </v>
      </c>
      <c r="AW40" s="74" t="str">
        <f t="shared" ca="1" si="50"/>
        <v xml:space="preserve"> </v>
      </c>
      <c r="AX40" s="74" t="str">
        <f t="shared" ca="1" si="51"/>
        <v xml:space="preserve"> </v>
      </c>
      <c r="AY40" s="75" t="str">
        <f t="shared" ca="1" si="52"/>
        <v xml:space="preserve"> </v>
      </c>
      <c r="AZ40" s="73" t="str">
        <f t="shared" ca="1" si="53"/>
        <v xml:space="preserve"> </v>
      </c>
      <c r="BA40" s="73" t="str">
        <f t="shared" ca="1" si="54"/>
        <v xml:space="preserve"> </v>
      </c>
      <c r="BB40" s="73" t="str">
        <f t="shared" ca="1" si="55"/>
        <v xml:space="preserve"> </v>
      </c>
      <c r="BC40" s="73" t="str">
        <f ca="1">IF(COUNTIF(Conso!P38,"*Insuffisant*"),"x"," ")</f>
        <v xml:space="preserve"> </v>
      </c>
      <c r="BD40" s="73" t="str">
        <f ca="1">IF(COUNTIF(Conso!P38,"*Faible*"),"x"," ")</f>
        <v xml:space="preserve"> </v>
      </c>
      <c r="BE40" s="73" t="str">
        <f ca="1">IF(COUNTIF(Conso!P38,"*Acceptable*"),"x"," ")</f>
        <v xml:space="preserve"> </v>
      </c>
      <c r="BF40" s="73" t="str">
        <f ca="1">IF(COUNTIF(Conso!P38,"*Maîtrisé*"),"x"," ")</f>
        <v xml:space="preserve"> </v>
      </c>
      <c r="BG40" s="73" t="str">
        <f t="shared" ca="1" si="56"/>
        <v xml:space="preserve"> </v>
      </c>
      <c r="BH40" s="73" t="str">
        <f t="shared" ca="1" si="57"/>
        <v xml:space="preserve"> </v>
      </c>
      <c r="BI40" s="73" t="str">
        <f t="shared" ca="1" si="58"/>
        <v xml:space="preserve"> </v>
      </c>
      <c r="BJ40" s="73" t="str">
        <f t="shared" ca="1" si="59"/>
        <v xml:space="preserve"> </v>
      </c>
      <c r="BK40" s="73" t="str">
        <f t="shared" ca="1" si="60"/>
        <v xml:space="preserve"> </v>
      </c>
      <c r="BL40" s="73" t="str">
        <f t="shared" ca="1" si="61"/>
        <v xml:space="preserve"> </v>
      </c>
      <c r="BM40" s="73" t="str">
        <f t="shared" ca="1" si="62"/>
        <v xml:space="preserve"> </v>
      </c>
      <c r="BN40" s="73" t="str">
        <f t="shared" ca="1" si="63"/>
        <v xml:space="preserve"> </v>
      </c>
      <c r="BO40" s="73" t="str">
        <f t="shared" ca="1" si="64"/>
        <v xml:space="preserve"> </v>
      </c>
      <c r="BP40" s="73" t="str">
        <f t="shared" ca="1" si="65"/>
        <v xml:space="preserve"> </v>
      </c>
      <c r="BQ40" s="73" t="str">
        <f t="shared" ca="1" si="66"/>
        <v xml:space="preserve"> </v>
      </c>
      <c r="BR40" s="73" t="str">
        <f t="shared" ca="1" si="67"/>
        <v xml:space="preserve"> </v>
      </c>
      <c r="BS40" s="73" t="str">
        <f t="shared" ca="1" si="68"/>
        <v xml:space="preserve"> </v>
      </c>
      <c r="BT40" s="73" t="str">
        <f t="shared" ca="1" si="69"/>
        <v xml:space="preserve"> </v>
      </c>
      <c r="BU40" s="73" t="str">
        <f t="shared" ca="1" si="70"/>
        <v xml:space="preserve"> </v>
      </c>
      <c r="BV40" s="73" t="str">
        <f t="shared" ca="1" si="71"/>
        <v xml:space="preserve"> </v>
      </c>
      <c r="BW40" s="216" t="s">
        <v>931</v>
      </c>
    </row>
    <row r="41" spans="1:75">
      <c r="A41" s="211" t="s">
        <v>853</v>
      </c>
      <c r="B41" s="72" t="e">
        <f>#REF!</f>
        <v>#REF!</v>
      </c>
      <c r="C41" s="73" t="str">
        <f ca="1">IF(COUNTIF(Conso!O39,"*Marginal*"),"x"," ")</f>
        <v xml:space="preserve"> </v>
      </c>
      <c r="D41" s="73" t="str">
        <f ca="1">IF(COUNTIF(Conso!O39,"*Faible*"),"x"," ")</f>
        <v xml:space="preserve"> </v>
      </c>
      <c r="E41" s="73" t="str">
        <f ca="1">IF(COUNTIF(Conso!O39,"*Modéré*"),"x"," ")</f>
        <v xml:space="preserve"> </v>
      </c>
      <c r="F41" s="73" t="str">
        <f ca="1">IF(COUNTIF(Conso!O39,"*Elevé*"),"x"," ")</f>
        <v xml:space="preserve"> </v>
      </c>
      <c r="G41" s="73" t="str">
        <f ca="1">IF(COUNTIF(Conso!O39,"*Critique*"),"x"," ")</f>
        <v xml:space="preserve"> </v>
      </c>
      <c r="H41" s="73" t="str">
        <f ca="1">IF(COUNTIF(Conso!O39,"*Catastrophique*"),"x"," ")</f>
        <v xml:space="preserve"> </v>
      </c>
      <c r="I41" s="73" t="str">
        <f ca="1">IF(COUNTIF(Conso!N39,"*Exceptionnelle*"),"x"," ")</f>
        <v xml:space="preserve"> </v>
      </c>
      <c r="J41" s="73" t="str">
        <f ca="1">IF(COUNTIF(Conso!N39,"*Rare*"),"x"," ")</f>
        <v xml:space="preserve"> </v>
      </c>
      <c r="K41" s="73" t="str">
        <f ca="1">IF(COUNTIF(Conso!N39,"*Modérée*"),"x"," ")</f>
        <v xml:space="preserve"> </v>
      </c>
      <c r="L41" s="73" t="str">
        <f ca="1">IF(COUNTIF(Conso!N39,"*Elevée*"),"x"," ")</f>
        <v xml:space="preserve"> </v>
      </c>
      <c r="M41" s="73" t="str">
        <f ca="1">IF(COUNTIF(Conso!N39,"*Récurrente*"),"x"," ")</f>
        <v xml:space="preserve"> </v>
      </c>
      <c r="N41" s="73" t="str">
        <f ca="1">IF(COUNTIF(Conso!N39,"*Permanente*"),"x"," ")</f>
        <v xml:space="preserve"> </v>
      </c>
      <c r="O41" s="74" t="str">
        <f t="shared" ca="1" si="16"/>
        <v xml:space="preserve"> </v>
      </c>
      <c r="P41" s="74" t="str">
        <f t="shared" ca="1" si="17"/>
        <v xml:space="preserve"> </v>
      </c>
      <c r="Q41" s="74" t="str">
        <f t="shared" ca="1" si="18"/>
        <v xml:space="preserve"> </v>
      </c>
      <c r="R41" s="74" t="str">
        <f t="shared" ca="1" si="19"/>
        <v xml:space="preserve"> </v>
      </c>
      <c r="S41" s="74" t="str">
        <f t="shared" ca="1" si="20"/>
        <v xml:space="preserve"> </v>
      </c>
      <c r="T41" s="74" t="str">
        <f t="shared" ca="1" si="21"/>
        <v xml:space="preserve"> </v>
      </c>
      <c r="U41" s="74" t="str">
        <f t="shared" ca="1" si="22"/>
        <v xml:space="preserve"> </v>
      </c>
      <c r="V41" s="74" t="str">
        <f t="shared" ca="1" si="23"/>
        <v xml:space="preserve"> </v>
      </c>
      <c r="W41" s="74" t="str">
        <f t="shared" ca="1" si="24"/>
        <v xml:space="preserve"> </v>
      </c>
      <c r="X41" s="74" t="str">
        <f t="shared" ca="1" si="25"/>
        <v xml:space="preserve"> </v>
      </c>
      <c r="Y41" s="74" t="str">
        <f t="shared" ca="1" si="26"/>
        <v xml:space="preserve"> </v>
      </c>
      <c r="Z41" s="74" t="str">
        <f t="shared" ca="1" si="27"/>
        <v xml:space="preserve"> </v>
      </c>
      <c r="AA41" s="74" t="str">
        <f t="shared" ca="1" si="28"/>
        <v xml:space="preserve"> </v>
      </c>
      <c r="AB41" s="74" t="str">
        <f t="shared" ca="1" si="29"/>
        <v xml:space="preserve"> </v>
      </c>
      <c r="AC41" s="74" t="str">
        <f t="shared" ca="1" si="30"/>
        <v xml:space="preserve"> </v>
      </c>
      <c r="AD41" s="74" t="str">
        <f t="shared" ca="1" si="31"/>
        <v xml:space="preserve"> </v>
      </c>
      <c r="AE41" s="74" t="str">
        <f t="shared" ca="1" si="32"/>
        <v xml:space="preserve"> </v>
      </c>
      <c r="AF41" s="74" t="str">
        <f t="shared" ca="1" si="33"/>
        <v xml:space="preserve"> </v>
      </c>
      <c r="AG41" s="74" t="str">
        <f t="shared" ca="1" si="34"/>
        <v xml:space="preserve"> </v>
      </c>
      <c r="AH41" s="74" t="str">
        <f t="shared" ca="1" si="35"/>
        <v xml:space="preserve"> </v>
      </c>
      <c r="AI41" s="74" t="str">
        <f t="shared" ca="1" si="36"/>
        <v xml:space="preserve"> </v>
      </c>
      <c r="AJ41" s="74" t="str">
        <f t="shared" ca="1" si="37"/>
        <v xml:space="preserve"> </v>
      </c>
      <c r="AK41" s="74" t="str">
        <f t="shared" ca="1" si="38"/>
        <v xml:space="preserve"> </v>
      </c>
      <c r="AL41" s="74" t="str">
        <f t="shared" ca="1" si="39"/>
        <v xml:space="preserve"> </v>
      </c>
      <c r="AM41" s="74" t="str">
        <f t="shared" ca="1" si="40"/>
        <v xml:space="preserve"> </v>
      </c>
      <c r="AN41" s="74" t="str">
        <f t="shared" ca="1" si="41"/>
        <v xml:space="preserve"> </v>
      </c>
      <c r="AO41" s="74" t="str">
        <f t="shared" ca="1" si="42"/>
        <v xml:space="preserve"> </v>
      </c>
      <c r="AP41" s="74" t="str">
        <f t="shared" ca="1" si="43"/>
        <v xml:space="preserve"> </v>
      </c>
      <c r="AQ41" s="74" t="str">
        <f t="shared" ca="1" si="44"/>
        <v xml:space="preserve"> </v>
      </c>
      <c r="AR41" s="74" t="str">
        <f t="shared" ca="1" si="45"/>
        <v xml:space="preserve"> </v>
      </c>
      <c r="AS41" s="74" t="str">
        <f t="shared" ca="1" si="46"/>
        <v xml:space="preserve"> </v>
      </c>
      <c r="AT41" s="74" t="str">
        <f t="shared" ca="1" si="47"/>
        <v xml:space="preserve"> </v>
      </c>
      <c r="AU41" s="74" t="str">
        <f t="shared" ca="1" si="48"/>
        <v xml:space="preserve"> </v>
      </c>
      <c r="AV41" s="74" t="str">
        <f t="shared" ca="1" si="49"/>
        <v xml:space="preserve"> </v>
      </c>
      <c r="AW41" s="74" t="str">
        <f t="shared" ca="1" si="50"/>
        <v xml:space="preserve"> </v>
      </c>
      <c r="AX41" s="74" t="str">
        <f t="shared" ca="1" si="51"/>
        <v xml:space="preserve"> </v>
      </c>
      <c r="AY41" s="75" t="str">
        <f t="shared" ca="1" si="52"/>
        <v xml:space="preserve"> </v>
      </c>
      <c r="AZ41" s="73" t="str">
        <f t="shared" ca="1" si="53"/>
        <v xml:space="preserve"> </v>
      </c>
      <c r="BA41" s="73" t="str">
        <f t="shared" ca="1" si="54"/>
        <v xml:space="preserve"> </v>
      </c>
      <c r="BB41" s="73" t="str">
        <f t="shared" ca="1" si="55"/>
        <v xml:space="preserve"> </v>
      </c>
      <c r="BC41" s="73" t="str">
        <f ca="1">IF(COUNTIF(Conso!P39,"*Insuffisant*"),"x"," ")</f>
        <v xml:space="preserve"> </v>
      </c>
      <c r="BD41" s="73" t="str">
        <f ca="1">IF(COUNTIF(Conso!P39,"*Faible*"),"x"," ")</f>
        <v xml:space="preserve"> </v>
      </c>
      <c r="BE41" s="73" t="str">
        <f ca="1">IF(COUNTIF(Conso!P39,"*Acceptable*"),"x"," ")</f>
        <v xml:space="preserve"> </v>
      </c>
      <c r="BF41" s="73" t="str">
        <f ca="1">IF(COUNTIF(Conso!P39,"*Maîtrisé*"),"x"," ")</f>
        <v xml:space="preserve"> </v>
      </c>
      <c r="BG41" s="73" t="str">
        <f t="shared" ca="1" si="56"/>
        <v xml:space="preserve"> </v>
      </c>
      <c r="BH41" s="73" t="str">
        <f t="shared" ca="1" si="57"/>
        <v xml:space="preserve"> </v>
      </c>
      <c r="BI41" s="73" t="str">
        <f t="shared" ca="1" si="58"/>
        <v xml:space="preserve"> </v>
      </c>
      <c r="BJ41" s="73" t="str">
        <f t="shared" ca="1" si="59"/>
        <v xml:space="preserve"> </v>
      </c>
      <c r="BK41" s="73" t="str">
        <f t="shared" ca="1" si="60"/>
        <v xml:space="preserve"> </v>
      </c>
      <c r="BL41" s="73" t="str">
        <f t="shared" ca="1" si="61"/>
        <v xml:space="preserve"> </v>
      </c>
      <c r="BM41" s="73" t="str">
        <f t="shared" ca="1" si="62"/>
        <v xml:space="preserve"> </v>
      </c>
      <c r="BN41" s="73" t="str">
        <f t="shared" ca="1" si="63"/>
        <v xml:space="preserve"> </v>
      </c>
      <c r="BO41" s="73" t="str">
        <f t="shared" ca="1" si="64"/>
        <v xml:space="preserve"> </v>
      </c>
      <c r="BP41" s="73" t="str">
        <f t="shared" ca="1" si="65"/>
        <v xml:space="preserve"> </v>
      </c>
      <c r="BQ41" s="73" t="str">
        <f t="shared" ca="1" si="66"/>
        <v xml:space="preserve"> </v>
      </c>
      <c r="BR41" s="73" t="str">
        <f t="shared" ca="1" si="67"/>
        <v xml:space="preserve"> </v>
      </c>
      <c r="BS41" s="73" t="str">
        <f t="shared" ca="1" si="68"/>
        <v xml:space="preserve"> </v>
      </c>
      <c r="BT41" s="73" t="str">
        <f t="shared" ca="1" si="69"/>
        <v xml:space="preserve"> </v>
      </c>
      <c r="BU41" s="73" t="str">
        <f t="shared" ca="1" si="70"/>
        <v xml:space="preserve"> </v>
      </c>
      <c r="BV41" s="73" t="str">
        <f t="shared" ca="1" si="71"/>
        <v xml:space="preserve"> </v>
      </c>
      <c r="BW41" s="216" t="s">
        <v>932</v>
      </c>
    </row>
    <row r="42" spans="1:75">
      <c r="A42" s="211" t="s">
        <v>853</v>
      </c>
      <c r="B42" s="72" t="e">
        <f>#REF!</f>
        <v>#REF!</v>
      </c>
      <c r="C42" s="73" t="str">
        <f ca="1">IF(COUNTIF(Conso!O40,"*Marginal*"),"x"," ")</f>
        <v xml:space="preserve"> </v>
      </c>
      <c r="D42" s="73" t="str">
        <f ca="1">IF(COUNTIF(Conso!O40,"*Faible*"),"x"," ")</f>
        <v xml:space="preserve"> </v>
      </c>
      <c r="E42" s="73" t="str">
        <f ca="1">IF(COUNTIF(Conso!O40,"*Modéré*"),"x"," ")</f>
        <v xml:space="preserve"> </v>
      </c>
      <c r="F42" s="73" t="str">
        <f ca="1">IF(COUNTIF(Conso!O40,"*Elevé*"),"x"," ")</f>
        <v xml:space="preserve"> </v>
      </c>
      <c r="G42" s="73" t="str">
        <f ca="1">IF(COUNTIF(Conso!O40,"*Critique*"),"x"," ")</f>
        <v xml:space="preserve"> </v>
      </c>
      <c r="H42" s="73" t="str">
        <f ca="1">IF(COUNTIF(Conso!O40,"*Catastrophique*"),"x"," ")</f>
        <v xml:space="preserve"> </v>
      </c>
      <c r="I42" s="73" t="str">
        <f ca="1">IF(COUNTIF(Conso!N40,"*Exceptionnelle*"),"x"," ")</f>
        <v xml:space="preserve"> </v>
      </c>
      <c r="J42" s="73" t="str">
        <f ca="1">IF(COUNTIF(Conso!N40,"*Rare*"),"x"," ")</f>
        <v xml:space="preserve"> </v>
      </c>
      <c r="K42" s="73" t="str">
        <f ca="1">IF(COUNTIF(Conso!N40,"*Modérée*"),"x"," ")</f>
        <v xml:space="preserve"> </v>
      </c>
      <c r="L42" s="73" t="str">
        <f ca="1">IF(COUNTIF(Conso!N40,"*Elevée*"),"x"," ")</f>
        <v xml:space="preserve"> </v>
      </c>
      <c r="M42" s="73" t="str">
        <f ca="1">IF(COUNTIF(Conso!N40,"*Récurrente*"),"x"," ")</f>
        <v xml:space="preserve"> </v>
      </c>
      <c r="N42" s="73" t="str">
        <f ca="1">IF(COUNTIF(Conso!N40,"*Permanente*"),"x"," ")</f>
        <v xml:space="preserve"> </v>
      </c>
      <c r="O42" s="74" t="str">
        <f t="shared" ca="1" si="16"/>
        <v xml:space="preserve"> </v>
      </c>
      <c r="P42" s="74" t="str">
        <f t="shared" ca="1" si="17"/>
        <v xml:space="preserve"> </v>
      </c>
      <c r="Q42" s="74" t="str">
        <f t="shared" ca="1" si="18"/>
        <v xml:space="preserve"> </v>
      </c>
      <c r="R42" s="74" t="str">
        <f t="shared" ca="1" si="19"/>
        <v xml:space="preserve"> </v>
      </c>
      <c r="S42" s="74" t="str">
        <f t="shared" ca="1" si="20"/>
        <v xml:space="preserve"> </v>
      </c>
      <c r="T42" s="74" t="str">
        <f t="shared" ca="1" si="21"/>
        <v xml:space="preserve"> </v>
      </c>
      <c r="U42" s="74" t="str">
        <f t="shared" ca="1" si="22"/>
        <v xml:space="preserve"> </v>
      </c>
      <c r="V42" s="74" t="str">
        <f t="shared" ca="1" si="23"/>
        <v xml:space="preserve"> </v>
      </c>
      <c r="W42" s="74" t="str">
        <f t="shared" ca="1" si="24"/>
        <v xml:space="preserve"> </v>
      </c>
      <c r="X42" s="74" t="str">
        <f t="shared" ca="1" si="25"/>
        <v xml:space="preserve"> </v>
      </c>
      <c r="Y42" s="74" t="str">
        <f t="shared" ca="1" si="26"/>
        <v xml:space="preserve"> </v>
      </c>
      <c r="Z42" s="74" t="str">
        <f t="shared" ca="1" si="27"/>
        <v xml:space="preserve"> </v>
      </c>
      <c r="AA42" s="74" t="str">
        <f t="shared" ca="1" si="28"/>
        <v xml:space="preserve"> </v>
      </c>
      <c r="AB42" s="74" t="str">
        <f t="shared" ca="1" si="29"/>
        <v xml:space="preserve"> </v>
      </c>
      <c r="AC42" s="74" t="str">
        <f t="shared" ca="1" si="30"/>
        <v xml:space="preserve"> </v>
      </c>
      <c r="AD42" s="74" t="str">
        <f t="shared" ca="1" si="31"/>
        <v xml:space="preserve"> </v>
      </c>
      <c r="AE42" s="74" t="str">
        <f t="shared" ca="1" si="32"/>
        <v xml:space="preserve"> </v>
      </c>
      <c r="AF42" s="74" t="str">
        <f t="shared" ca="1" si="33"/>
        <v xml:space="preserve"> </v>
      </c>
      <c r="AG42" s="74" t="str">
        <f t="shared" ca="1" si="34"/>
        <v xml:space="preserve"> </v>
      </c>
      <c r="AH42" s="74" t="str">
        <f t="shared" ca="1" si="35"/>
        <v xml:space="preserve"> </v>
      </c>
      <c r="AI42" s="74" t="str">
        <f t="shared" ca="1" si="36"/>
        <v xml:space="preserve"> </v>
      </c>
      <c r="AJ42" s="74" t="str">
        <f t="shared" ca="1" si="37"/>
        <v xml:space="preserve"> </v>
      </c>
      <c r="AK42" s="74" t="str">
        <f t="shared" ca="1" si="38"/>
        <v xml:space="preserve"> </v>
      </c>
      <c r="AL42" s="74" t="str">
        <f t="shared" ca="1" si="39"/>
        <v xml:space="preserve"> </v>
      </c>
      <c r="AM42" s="74" t="str">
        <f t="shared" ca="1" si="40"/>
        <v xml:space="preserve"> </v>
      </c>
      <c r="AN42" s="74" t="str">
        <f t="shared" ca="1" si="41"/>
        <v xml:space="preserve"> </v>
      </c>
      <c r="AO42" s="74" t="str">
        <f t="shared" ca="1" si="42"/>
        <v xml:space="preserve"> </v>
      </c>
      <c r="AP42" s="74" t="str">
        <f t="shared" ca="1" si="43"/>
        <v xml:space="preserve"> </v>
      </c>
      <c r="AQ42" s="74" t="str">
        <f t="shared" ca="1" si="44"/>
        <v xml:space="preserve"> </v>
      </c>
      <c r="AR42" s="74" t="str">
        <f t="shared" ca="1" si="45"/>
        <v xml:space="preserve"> </v>
      </c>
      <c r="AS42" s="74" t="str">
        <f t="shared" ca="1" si="46"/>
        <v xml:space="preserve"> </v>
      </c>
      <c r="AT42" s="74" t="str">
        <f t="shared" ca="1" si="47"/>
        <v xml:space="preserve"> </v>
      </c>
      <c r="AU42" s="74" t="str">
        <f t="shared" ca="1" si="48"/>
        <v xml:space="preserve"> </v>
      </c>
      <c r="AV42" s="74" t="str">
        <f t="shared" ca="1" si="49"/>
        <v xml:space="preserve"> </v>
      </c>
      <c r="AW42" s="74" t="str">
        <f t="shared" ca="1" si="50"/>
        <v xml:space="preserve"> </v>
      </c>
      <c r="AX42" s="74" t="str">
        <f t="shared" ca="1" si="51"/>
        <v xml:space="preserve"> </v>
      </c>
      <c r="AY42" s="75" t="str">
        <f t="shared" ca="1" si="52"/>
        <v xml:space="preserve"> </v>
      </c>
      <c r="AZ42" s="73" t="str">
        <f t="shared" ca="1" si="53"/>
        <v xml:space="preserve"> </v>
      </c>
      <c r="BA42" s="73" t="str">
        <f t="shared" ca="1" si="54"/>
        <v xml:space="preserve"> </v>
      </c>
      <c r="BB42" s="73" t="str">
        <f t="shared" ca="1" si="55"/>
        <v xml:space="preserve"> </v>
      </c>
      <c r="BC42" s="73" t="str">
        <f ca="1">IF(COUNTIF(Conso!P40,"*Insuffisant*"),"x"," ")</f>
        <v xml:space="preserve"> </v>
      </c>
      <c r="BD42" s="73" t="str">
        <f ca="1">IF(COUNTIF(Conso!P40,"*Faible*"),"x"," ")</f>
        <v xml:space="preserve"> </v>
      </c>
      <c r="BE42" s="73" t="str">
        <f ca="1">IF(COUNTIF(Conso!P40,"*Acceptable*"),"x"," ")</f>
        <v xml:space="preserve"> </v>
      </c>
      <c r="BF42" s="73" t="str">
        <f ca="1">IF(COUNTIF(Conso!P40,"*Maîtrisé*"),"x"," ")</f>
        <v xml:space="preserve"> </v>
      </c>
      <c r="BG42" s="73" t="str">
        <f t="shared" ca="1" si="56"/>
        <v xml:space="preserve"> </v>
      </c>
      <c r="BH42" s="73" t="str">
        <f t="shared" ca="1" si="57"/>
        <v xml:space="preserve"> </v>
      </c>
      <c r="BI42" s="73" t="str">
        <f t="shared" ca="1" si="58"/>
        <v xml:space="preserve"> </v>
      </c>
      <c r="BJ42" s="73" t="str">
        <f t="shared" ca="1" si="59"/>
        <v xml:space="preserve"> </v>
      </c>
      <c r="BK42" s="73" t="str">
        <f t="shared" ca="1" si="60"/>
        <v xml:space="preserve"> </v>
      </c>
      <c r="BL42" s="73" t="str">
        <f t="shared" ca="1" si="61"/>
        <v xml:space="preserve"> </v>
      </c>
      <c r="BM42" s="73" t="str">
        <f t="shared" ca="1" si="62"/>
        <v xml:space="preserve"> </v>
      </c>
      <c r="BN42" s="73" t="str">
        <f t="shared" ca="1" si="63"/>
        <v xml:space="preserve"> </v>
      </c>
      <c r="BO42" s="73" t="str">
        <f t="shared" ca="1" si="64"/>
        <v xml:space="preserve"> </v>
      </c>
      <c r="BP42" s="73" t="str">
        <f t="shared" ca="1" si="65"/>
        <v xml:space="preserve"> </v>
      </c>
      <c r="BQ42" s="73" t="str">
        <f t="shared" ca="1" si="66"/>
        <v xml:space="preserve"> </v>
      </c>
      <c r="BR42" s="73" t="str">
        <f t="shared" ca="1" si="67"/>
        <v xml:space="preserve"> </v>
      </c>
      <c r="BS42" s="73" t="str">
        <f t="shared" ca="1" si="68"/>
        <v xml:space="preserve"> </v>
      </c>
      <c r="BT42" s="73" t="str">
        <f t="shared" ca="1" si="69"/>
        <v xml:space="preserve"> </v>
      </c>
      <c r="BU42" s="73" t="str">
        <f t="shared" ca="1" si="70"/>
        <v xml:space="preserve"> </v>
      </c>
      <c r="BV42" s="73" t="str">
        <f t="shared" ca="1" si="71"/>
        <v xml:space="preserve"> </v>
      </c>
      <c r="BW42" s="216" t="s">
        <v>933</v>
      </c>
    </row>
  </sheetData>
  <sheetProtection password="EEE6" sheet="1" objects="1" scenarios="1"/>
  <autoFilter ref="A1:BW13">
    <filterColumn colId="2" showButton="0"/>
    <filterColumn colId="3" showButton="0"/>
    <filterColumn colId="4" showButton="0"/>
    <filterColumn colId="5" showButton="0"/>
    <filterColumn colId="6" showButton="0"/>
    <filterColumn colId="8" showButton="0"/>
    <filterColumn colId="9" showButton="0"/>
    <filterColumn colId="10" showButton="0"/>
    <filterColumn colId="11" showButton="0"/>
    <filterColumn colId="12" showButton="0"/>
    <filterColumn colId="14" showButton="0"/>
    <filterColumn colId="15" showButton="0"/>
    <filterColumn colId="16" showButton="0"/>
    <filterColumn colId="17" showButton="0"/>
    <filterColumn colId="18" showButton="0"/>
    <filterColumn colId="20" showButton="0"/>
    <filterColumn colId="21" showButton="0"/>
    <filterColumn colId="22" showButton="0"/>
    <filterColumn colId="23" showButton="0"/>
    <filterColumn colId="24" showButton="0"/>
    <filterColumn colId="26" showButton="0"/>
    <filterColumn colId="27" showButton="0"/>
    <filterColumn colId="28" showButton="0"/>
    <filterColumn colId="29" showButton="0"/>
    <filterColumn colId="30" showButton="0"/>
    <filterColumn colId="32" showButton="0"/>
    <filterColumn colId="33" showButton="0"/>
    <filterColumn colId="34" showButton="0"/>
    <filterColumn colId="35" showButton="0"/>
    <filterColumn colId="36" showButton="0"/>
    <filterColumn colId="38" showButton="0"/>
    <filterColumn colId="39" showButton="0"/>
    <filterColumn colId="40" showButton="0"/>
    <filterColumn colId="41" showButton="0"/>
    <filterColumn colId="42" showButton="0"/>
    <filterColumn colId="44" showButton="0"/>
    <filterColumn colId="45" showButton="0"/>
    <filterColumn colId="46" showButton="0"/>
    <filterColumn colId="47" showButton="0"/>
    <filterColumn colId="48" showButton="0"/>
    <filterColumn colId="50"/>
    <filterColumn colId="51"/>
    <filterColumn colId="52"/>
    <filterColumn colId="53"/>
    <filterColumn colId="61"/>
    <filterColumn colId="62"/>
    <filterColumn colId="64"/>
    <filterColumn colId="65"/>
    <filterColumn colId="68"/>
    <filterColumn colId="70"/>
    <filterColumn colId="71"/>
    <filterColumn colId="72"/>
  </autoFilter>
  <mergeCells count="14">
    <mergeCell ref="B1:B2"/>
    <mergeCell ref="A1:A2"/>
    <mergeCell ref="BW1:BW2"/>
    <mergeCell ref="I1:N1"/>
    <mergeCell ref="C1:H1"/>
    <mergeCell ref="AS1:AX1"/>
    <mergeCell ref="BG1:BH1"/>
    <mergeCell ref="BI1:BK1"/>
    <mergeCell ref="BO1:BQ1"/>
    <mergeCell ref="U1:V1"/>
    <mergeCell ref="O1:Q1"/>
    <mergeCell ref="BR1:BS1"/>
    <mergeCell ref="BT1:BV1"/>
    <mergeCell ref="AY1:BB1"/>
  </mergeCells>
  <phoneticPr fontId="6" type="noConversion"/>
  <pageMargins left="0.27" right="0.5" top="0.5" bottom="0.39" header="0.33" footer="0.21"/>
  <pageSetup paperSize="9" scale="38" orientation="landscape" r:id="rId1"/>
  <headerFooter alignWithMargins="0">
    <oddHeader>&amp;R&amp;"Arial,Italique"&amp;8&amp;D</oddHeader>
  </headerFooter>
  <legacyDrawing r:id="rId2"/>
</worksheet>
</file>

<file path=xl/worksheets/sheet7.xml><?xml version="1.0" encoding="utf-8"?>
<worksheet xmlns="http://schemas.openxmlformats.org/spreadsheetml/2006/main" xmlns:r="http://schemas.openxmlformats.org/officeDocument/2006/relationships">
  <sheetPr codeName="Feuil14">
    <pageSetUpPr fitToPage="1"/>
  </sheetPr>
  <dimension ref="A1:BW63"/>
  <sheetViews>
    <sheetView showGridLines="0" zoomScale="90" zoomScaleNormal="90" zoomScaleSheetLayoutView="100" workbookViewId="0">
      <selection activeCell="BZ5" sqref="BZ5"/>
    </sheetView>
  </sheetViews>
  <sheetFormatPr baseColWidth="10" defaultRowHeight="12.75"/>
  <cols>
    <col min="1" max="1" width="12.42578125" style="2" customWidth="1"/>
    <col min="2" max="2" width="34.140625" style="1" customWidth="1"/>
    <col min="3" max="3" width="10.140625" style="2" customWidth="1"/>
    <col min="4" max="4" width="6.7109375" style="2" customWidth="1"/>
    <col min="5" max="5" width="7.85546875" style="2" customWidth="1"/>
    <col min="6" max="6" width="6" style="2" customWidth="1"/>
    <col min="7" max="7" width="8.140625" style="2" customWidth="1"/>
    <col min="8" max="8" width="9.28515625" style="2" customWidth="1"/>
    <col min="9" max="9" width="10.140625" style="2" customWidth="1"/>
    <col min="10" max="10" width="5.42578125" style="2" customWidth="1"/>
    <col min="11" max="11" width="9" style="2" customWidth="1"/>
    <col min="12" max="12" width="7.140625" style="2" customWidth="1"/>
    <col min="13" max="13" width="11.28515625" style="2" customWidth="1"/>
    <col min="14" max="14" width="7.5703125" style="2" customWidth="1"/>
    <col min="15" max="16" width="10.5703125" style="2" hidden="1" customWidth="1"/>
    <col min="17" max="17" width="10.7109375" style="2" hidden="1" customWidth="1"/>
    <col min="18" max="20" width="10.5703125" style="2" hidden="1" customWidth="1"/>
    <col min="21" max="21" width="11.7109375" style="2" hidden="1" customWidth="1"/>
    <col min="22" max="29" width="10.5703125" style="2" hidden="1" customWidth="1"/>
    <col min="30" max="30" width="12.42578125" style="2" hidden="1" customWidth="1"/>
    <col min="31" max="31" width="11" style="2" hidden="1" customWidth="1"/>
    <col min="32" max="50" width="10.5703125" style="2" hidden="1" customWidth="1"/>
    <col min="51" max="54" width="16.7109375" style="4" hidden="1" customWidth="1"/>
    <col min="55" max="55" width="10.5703125" style="2" hidden="1" customWidth="1"/>
    <col min="56" max="56" width="6.7109375" style="2" hidden="1" customWidth="1"/>
    <col min="57" max="57" width="7.85546875" style="2" hidden="1" customWidth="1"/>
    <col min="58" max="58" width="8.42578125" style="2" hidden="1" customWidth="1"/>
    <col min="59" max="59" width="13.28515625" style="2" hidden="1" customWidth="1"/>
    <col min="60" max="60" width="12.7109375" style="2" hidden="1" customWidth="1"/>
    <col min="61" max="62" width="12.5703125" style="2" hidden="1" customWidth="1"/>
    <col min="63" max="63" width="13.5703125" style="2" hidden="1" customWidth="1"/>
    <col min="64" max="66" width="22.28515625" style="2" hidden="1" customWidth="1"/>
    <col min="67" max="67" width="12.5703125" style="2" hidden="1" customWidth="1"/>
    <col min="68" max="69" width="10.5703125" style="2" hidden="1" customWidth="1"/>
    <col min="70" max="71" width="19.28515625" style="2" hidden="1" customWidth="1"/>
    <col min="72" max="74" width="17.7109375" style="2" hidden="1" customWidth="1"/>
    <col min="75" max="75" width="38.5703125" style="16" hidden="1" customWidth="1"/>
  </cols>
  <sheetData>
    <row r="1" spans="1:75" s="3" customFormat="1" ht="18" customHeight="1">
      <c r="A1" s="280" t="s">
        <v>1</v>
      </c>
      <c r="B1" s="279" t="s">
        <v>2</v>
      </c>
      <c r="C1" s="284" t="s">
        <v>157</v>
      </c>
      <c r="D1" s="285"/>
      <c r="E1" s="285"/>
      <c r="F1" s="285"/>
      <c r="G1" s="285"/>
      <c r="H1" s="286"/>
      <c r="I1" s="283" t="s">
        <v>158</v>
      </c>
      <c r="J1" s="283"/>
      <c r="K1" s="283"/>
      <c r="L1" s="283"/>
      <c r="M1" s="283"/>
      <c r="N1" s="283"/>
      <c r="O1" s="299" t="s">
        <v>153</v>
      </c>
      <c r="P1" s="300"/>
      <c r="Q1" s="300"/>
      <c r="R1" s="36"/>
      <c r="S1" s="37"/>
      <c r="T1" s="38"/>
      <c r="U1" s="297"/>
      <c r="V1" s="298"/>
      <c r="W1" s="36"/>
      <c r="X1" s="36"/>
      <c r="Y1" s="37"/>
      <c r="Z1" s="39"/>
      <c r="AA1" s="40"/>
      <c r="AB1" s="36"/>
      <c r="AC1" s="36"/>
      <c r="AD1" s="37"/>
      <c r="AE1" s="37"/>
      <c r="AF1" s="39"/>
      <c r="AG1" s="41"/>
      <c r="AH1" s="36"/>
      <c r="AI1" s="37"/>
      <c r="AJ1" s="37"/>
      <c r="AK1" s="42"/>
      <c r="AL1" s="39"/>
      <c r="AM1" s="43"/>
      <c r="AN1" s="44"/>
      <c r="AO1" s="44"/>
      <c r="AP1" s="44"/>
      <c r="AQ1" s="44"/>
      <c r="AR1" s="45"/>
      <c r="AS1" s="287" t="s">
        <v>19</v>
      </c>
      <c r="AT1" s="288"/>
      <c r="AU1" s="288"/>
      <c r="AV1" s="288"/>
      <c r="AW1" s="288"/>
      <c r="AX1" s="289"/>
      <c r="AY1" s="284" t="s">
        <v>159</v>
      </c>
      <c r="AZ1" s="285"/>
      <c r="BA1" s="285"/>
      <c r="BB1" s="285"/>
      <c r="BC1" s="46" t="s">
        <v>0</v>
      </c>
      <c r="BD1" s="46"/>
      <c r="BE1" s="46"/>
      <c r="BF1" s="46"/>
      <c r="BG1" s="290" t="s">
        <v>131</v>
      </c>
      <c r="BH1" s="291"/>
      <c r="BI1" s="292" t="s">
        <v>137</v>
      </c>
      <c r="BJ1" s="292"/>
      <c r="BK1" s="293"/>
      <c r="BL1" s="47" t="s">
        <v>133</v>
      </c>
      <c r="BM1" s="47" t="s">
        <v>133</v>
      </c>
      <c r="BN1" s="47" t="s">
        <v>133</v>
      </c>
      <c r="BO1" s="294" t="s">
        <v>132</v>
      </c>
      <c r="BP1" s="295"/>
      <c r="BQ1" s="296"/>
      <c r="BR1" s="301" t="s">
        <v>148</v>
      </c>
      <c r="BS1" s="302"/>
      <c r="BT1" s="303" t="s">
        <v>149</v>
      </c>
      <c r="BU1" s="304"/>
      <c r="BV1" s="305"/>
      <c r="BW1" s="281" t="s">
        <v>936</v>
      </c>
    </row>
    <row r="2" spans="1:75" s="4" customFormat="1" ht="27.75" customHeight="1">
      <c r="A2" s="280"/>
      <c r="B2" s="279"/>
      <c r="C2" s="48" t="s">
        <v>8</v>
      </c>
      <c r="D2" s="48" t="s">
        <v>9</v>
      </c>
      <c r="E2" s="48" t="s">
        <v>10</v>
      </c>
      <c r="F2" s="48" t="s">
        <v>11</v>
      </c>
      <c r="G2" s="48" t="s">
        <v>12</v>
      </c>
      <c r="H2" s="48" t="s">
        <v>13</v>
      </c>
      <c r="I2" s="49" t="s">
        <v>14</v>
      </c>
      <c r="J2" s="49" t="s">
        <v>4</v>
      </c>
      <c r="K2" s="49" t="s">
        <v>5</v>
      </c>
      <c r="L2" s="49" t="s">
        <v>11</v>
      </c>
      <c r="M2" s="49" t="s">
        <v>21</v>
      </c>
      <c r="N2" s="49" t="s">
        <v>15</v>
      </c>
      <c r="O2" s="50" t="s">
        <v>16</v>
      </c>
      <c r="P2" s="50" t="s">
        <v>17</v>
      </c>
      <c r="Q2" s="50" t="s">
        <v>18</v>
      </c>
      <c r="R2" s="51" t="s">
        <v>39</v>
      </c>
      <c r="S2" s="52" t="s">
        <v>40</v>
      </c>
      <c r="T2" s="52" t="s">
        <v>26</v>
      </c>
      <c r="U2" s="53" t="s">
        <v>41</v>
      </c>
      <c r="V2" s="53" t="s">
        <v>22</v>
      </c>
      <c r="W2" s="51" t="s">
        <v>42</v>
      </c>
      <c r="X2" s="51" t="s">
        <v>23</v>
      </c>
      <c r="Y2" s="52" t="s">
        <v>43</v>
      </c>
      <c r="Z2" s="54" t="s">
        <v>44</v>
      </c>
      <c r="AA2" s="53" t="s">
        <v>45</v>
      </c>
      <c r="AB2" s="51" t="s">
        <v>46</v>
      </c>
      <c r="AC2" s="51" t="s">
        <v>47</v>
      </c>
      <c r="AD2" s="52" t="s">
        <v>48</v>
      </c>
      <c r="AE2" s="52" t="s">
        <v>49</v>
      </c>
      <c r="AF2" s="54" t="s">
        <v>50</v>
      </c>
      <c r="AG2" s="51" t="s">
        <v>24</v>
      </c>
      <c r="AH2" s="51" t="s">
        <v>25</v>
      </c>
      <c r="AI2" s="52" t="s">
        <v>51</v>
      </c>
      <c r="AJ2" s="52" t="s">
        <v>52</v>
      </c>
      <c r="AK2" s="54" t="s">
        <v>53</v>
      </c>
      <c r="AL2" s="54" t="s">
        <v>54</v>
      </c>
      <c r="AM2" s="55" t="s">
        <v>55</v>
      </c>
      <c r="AN2" s="55" t="s">
        <v>56</v>
      </c>
      <c r="AO2" s="55" t="s">
        <v>57</v>
      </c>
      <c r="AP2" s="55" t="s">
        <v>58</v>
      </c>
      <c r="AQ2" s="55" t="s">
        <v>27</v>
      </c>
      <c r="AR2" s="55" t="s">
        <v>59</v>
      </c>
      <c r="AS2" s="55" t="s">
        <v>60</v>
      </c>
      <c r="AT2" s="55" t="s">
        <v>28</v>
      </c>
      <c r="AU2" s="55" t="s">
        <v>61</v>
      </c>
      <c r="AV2" s="55" t="s">
        <v>62</v>
      </c>
      <c r="AW2" s="55" t="s">
        <v>29</v>
      </c>
      <c r="AX2" s="55" t="s">
        <v>30</v>
      </c>
      <c r="AY2" s="49" t="s">
        <v>35</v>
      </c>
      <c r="AZ2" s="56" t="s">
        <v>10</v>
      </c>
      <c r="BA2" s="57" t="s">
        <v>11</v>
      </c>
      <c r="BB2" s="58" t="s">
        <v>36</v>
      </c>
      <c r="BC2" s="48" t="s">
        <v>34</v>
      </c>
      <c r="BD2" s="48" t="s">
        <v>9</v>
      </c>
      <c r="BE2" s="48" t="s">
        <v>33</v>
      </c>
      <c r="BF2" s="48" t="s">
        <v>31</v>
      </c>
      <c r="BG2" s="59" t="s">
        <v>134</v>
      </c>
      <c r="BH2" s="59" t="s">
        <v>135</v>
      </c>
      <c r="BI2" s="60" t="s">
        <v>136</v>
      </c>
      <c r="BJ2" s="60" t="s">
        <v>138</v>
      </c>
      <c r="BK2" s="60" t="s">
        <v>139</v>
      </c>
      <c r="BL2" s="61" t="s">
        <v>140</v>
      </c>
      <c r="BM2" s="62" t="s">
        <v>141</v>
      </c>
      <c r="BN2" s="62" t="s">
        <v>142</v>
      </c>
      <c r="BO2" s="63" t="s">
        <v>143</v>
      </c>
      <c r="BP2" s="64" t="s">
        <v>144</v>
      </c>
      <c r="BQ2" s="64" t="s">
        <v>145</v>
      </c>
      <c r="BR2" s="65" t="s">
        <v>146</v>
      </c>
      <c r="BS2" s="65" t="s">
        <v>147</v>
      </c>
      <c r="BT2" s="66" t="s">
        <v>150</v>
      </c>
      <c r="BU2" s="66" t="s">
        <v>151</v>
      </c>
      <c r="BV2" s="66" t="s">
        <v>152</v>
      </c>
      <c r="BW2" s="282"/>
    </row>
    <row r="3" spans="1:75" ht="25.5" hidden="1" customHeight="1">
      <c r="A3" s="67"/>
      <c r="B3" s="68"/>
      <c r="C3" s="67"/>
      <c r="D3" s="67"/>
      <c r="E3" s="67"/>
      <c r="F3" s="67"/>
      <c r="G3" s="67"/>
      <c r="H3" s="67"/>
      <c r="I3" s="67"/>
      <c r="J3" s="67"/>
      <c r="K3" s="67"/>
      <c r="L3" s="67"/>
      <c r="M3" s="67"/>
      <c r="N3" s="67"/>
      <c r="O3" s="69">
        <v>1</v>
      </c>
      <c r="P3" s="69">
        <v>1</v>
      </c>
      <c r="Q3" s="69">
        <v>1</v>
      </c>
      <c r="R3" s="69">
        <v>1</v>
      </c>
      <c r="S3" s="69">
        <v>1</v>
      </c>
      <c r="T3" s="69">
        <v>1</v>
      </c>
      <c r="U3" s="69">
        <v>1</v>
      </c>
      <c r="V3" s="69">
        <v>1</v>
      </c>
      <c r="W3" s="69">
        <v>1</v>
      </c>
      <c r="X3" s="69">
        <v>1</v>
      </c>
      <c r="Y3" s="69">
        <v>1</v>
      </c>
      <c r="Z3" s="69">
        <v>1</v>
      </c>
      <c r="AA3" s="69">
        <v>1</v>
      </c>
      <c r="AB3" s="69">
        <v>1</v>
      </c>
      <c r="AC3" s="69">
        <v>1</v>
      </c>
      <c r="AD3" s="69">
        <v>1</v>
      </c>
      <c r="AE3" s="69">
        <v>1</v>
      </c>
      <c r="AF3" s="69">
        <v>1</v>
      </c>
      <c r="AG3" s="69">
        <v>1</v>
      </c>
      <c r="AH3" s="69">
        <v>1</v>
      </c>
      <c r="AI3" s="69">
        <v>1</v>
      </c>
      <c r="AJ3" s="69">
        <v>1</v>
      </c>
      <c r="AK3" s="69">
        <v>1</v>
      </c>
      <c r="AL3" s="69">
        <v>1</v>
      </c>
      <c r="AM3" s="69">
        <v>1</v>
      </c>
      <c r="AN3" s="69">
        <v>1</v>
      </c>
      <c r="AO3" s="69">
        <v>1</v>
      </c>
      <c r="AP3" s="69">
        <v>1</v>
      </c>
      <c r="AQ3" s="69">
        <v>1</v>
      </c>
      <c r="AR3" s="69">
        <v>1</v>
      </c>
      <c r="AS3" s="69">
        <v>1</v>
      </c>
      <c r="AT3" s="69">
        <v>1</v>
      </c>
      <c r="AU3" s="69">
        <v>1</v>
      </c>
      <c r="AV3" s="69">
        <v>1</v>
      </c>
      <c r="AW3" s="69">
        <v>1</v>
      </c>
      <c r="AX3" s="69">
        <v>1</v>
      </c>
      <c r="AY3" s="70"/>
      <c r="AZ3" s="70"/>
      <c r="BA3" s="70"/>
      <c r="BB3" s="70"/>
      <c r="BC3" s="67"/>
      <c r="BD3" s="67"/>
      <c r="BE3" s="67"/>
      <c r="BF3" s="67"/>
      <c r="BG3" s="69">
        <v>1</v>
      </c>
      <c r="BH3" s="69">
        <v>1</v>
      </c>
      <c r="BI3" s="69">
        <v>1</v>
      </c>
      <c r="BJ3" s="69"/>
      <c r="BK3" s="69"/>
      <c r="BL3" s="69">
        <v>1</v>
      </c>
      <c r="BM3" s="69"/>
      <c r="BN3" s="69"/>
      <c r="BO3" s="69">
        <v>1</v>
      </c>
      <c r="BP3" s="69">
        <v>1</v>
      </c>
      <c r="BQ3" s="69"/>
      <c r="BR3" s="69">
        <v>1</v>
      </c>
      <c r="BS3" s="69"/>
      <c r="BT3" s="69"/>
      <c r="BU3" s="69"/>
      <c r="BV3" s="69">
        <v>1</v>
      </c>
      <c r="BW3" s="71"/>
    </row>
    <row r="4" spans="1:75" ht="25.5" customHeight="1">
      <c r="A4" s="211" t="s">
        <v>854</v>
      </c>
      <c r="B4" s="72" t="str">
        <f>'Risk N°1'!B6:C6</f>
        <v>Ne pas réaliser la volumétrie des EIR (objectif COM 4)</v>
      </c>
      <c r="C4" s="73" t="str">
        <f ca="1">IF(COUNTIF(Conso!R2,"*Marginal*"),"x"," ")</f>
        <v xml:space="preserve"> </v>
      </c>
      <c r="D4" s="73" t="str">
        <f ca="1">IF(COUNTIF(Conso!R2,"*Faible*"),"x"," ")</f>
        <v>x</v>
      </c>
      <c r="E4" s="73" t="str">
        <f ca="1">IF(COUNTIF(Conso!R2,"*Modéré*"),"x"," ")</f>
        <v xml:space="preserve"> </v>
      </c>
      <c r="F4" s="73" t="str">
        <f ca="1">IF(COUNTIF(Conso!R2,"*Elevé*"),"x"," ")</f>
        <v xml:space="preserve"> </v>
      </c>
      <c r="G4" s="73" t="str">
        <f ca="1">IF(COUNTIF(Conso!R2,"*Critique*"),"x"," ")</f>
        <v xml:space="preserve"> </v>
      </c>
      <c r="H4" s="73" t="str">
        <f ca="1">IF(COUNTIF(Conso!R2,"*Catastrophique*"),"x"," ")</f>
        <v xml:space="preserve"> </v>
      </c>
      <c r="I4" s="73" t="str">
        <f ca="1">IF(COUNTIF(Conso!Q2,"*Exceptionnelle*"),"x"," ")</f>
        <v xml:space="preserve"> </v>
      </c>
      <c r="J4" s="73" t="str">
        <f ca="1">IF(COUNTIF(Conso!Q2,"*Rare*"),"x"," ")</f>
        <v>x</v>
      </c>
      <c r="K4" s="73" t="str">
        <f ca="1">IF(COUNTIF(Conso!Q2,"*Modérée*"),"x"," ")</f>
        <v xml:space="preserve"> </v>
      </c>
      <c r="L4" s="73" t="str">
        <f ca="1">IF(COUNTIF(Conso!Q2,"*Elevée*"),"x"," ")</f>
        <v xml:space="preserve"> </v>
      </c>
      <c r="M4" s="73" t="str">
        <f ca="1">IF(COUNTIF(Conso!Q2,"*Récurrente*"),"x"," ")</f>
        <v xml:space="preserve"> </v>
      </c>
      <c r="N4" s="73" t="str">
        <f ca="1">IF(COUNTIF(Conso!Q2,"*Permanente*"),"x"," ")</f>
        <v xml:space="preserve"> </v>
      </c>
      <c r="O4" s="74" t="str">
        <f ca="1">IF(AND(C4="x",I4="x"),"x"," ")</f>
        <v xml:space="preserve"> </v>
      </c>
      <c r="P4" s="74" t="str">
        <f ca="1">IF(AND(C4="x",J4="x"),"x"," ")</f>
        <v xml:space="preserve"> </v>
      </c>
      <c r="Q4" s="74" t="str">
        <f ca="1">IF(AND(C4="x",K4="x"),"x"," ")</f>
        <v xml:space="preserve"> </v>
      </c>
      <c r="R4" s="74" t="str">
        <f ca="1">IF(AND(C4="x",L4="x"),"x"," ")</f>
        <v xml:space="preserve"> </v>
      </c>
      <c r="S4" s="74" t="str">
        <f ca="1">IF(AND(C4="x",M4="x"),"x"," ")</f>
        <v xml:space="preserve"> </v>
      </c>
      <c r="T4" s="74" t="str">
        <f ca="1">IF(AND(C4="x",N4="x"),"x"," ")</f>
        <v xml:space="preserve"> </v>
      </c>
      <c r="U4" s="74" t="str">
        <f ca="1">IF(AND(D4="x",I4="x"),"x"," ")</f>
        <v xml:space="preserve"> </v>
      </c>
      <c r="V4" s="74" t="str">
        <f ca="1">IF(AND(D4="x",J4="x"),"x"," ")</f>
        <v>x</v>
      </c>
      <c r="W4" s="74" t="str">
        <f ca="1">IF(AND(D4="x",K4="x"),"x"," ")</f>
        <v xml:space="preserve"> </v>
      </c>
      <c r="X4" s="74" t="str">
        <f ca="1">IF(AND(D4="x",L4="x"),"x"," ")</f>
        <v xml:space="preserve"> </v>
      </c>
      <c r="Y4" s="74" t="str">
        <f ca="1">IF(AND(D4="x",M4="x"),"x"," ")</f>
        <v xml:space="preserve"> </v>
      </c>
      <c r="Z4" s="74" t="str">
        <f ca="1">IF(AND(D4="x",N4="x"),"x"," ")</f>
        <v xml:space="preserve"> </v>
      </c>
      <c r="AA4" s="74" t="str">
        <f ca="1">IF(AND(E4="x",I4="x"),"x"," ")</f>
        <v xml:space="preserve"> </v>
      </c>
      <c r="AB4" s="74" t="str">
        <f ca="1">IF(AND(E4="x",J4="x"),"x"," ")</f>
        <v xml:space="preserve"> </v>
      </c>
      <c r="AC4" s="74" t="str">
        <f ca="1">IF(AND(E4="x",K4="x"),"x"," ")</f>
        <v xml:space="preserve"> </v>
      </c>
      <c r="AD4" s="74" t="str">
        <f ca="1">IF(AND(E4="x",L4="x"),"x"," ")</f>
        <v xml:space="preserve"> </v>
      </c>
      <c r="AE4" s="74" t="str">
        <f ca="1">IF(AND(E4="x",M4="x"),"x"," ")</f>
        <v xml:space="preserve"> </v>
      </c>
      <c r="AF4" s="74" t="str">
        <f ca="1">IF(AND(E4="x",N4="x"),"x"," ")</f>
        <v xml:space="preserve"> </v>
      </c>
      <c r="AG4" s="74" t="str">
        <f ca="1">IF(AND(F4="x",I4="x"),"x"," ")</f>
        <v xml:space="preserve"> </v>
      </c>
      <c r="AH4" s="74" t="str">
        <f ca="1">IF(AND(F4="x",J4="x"),"x"," ")</f>
        <v xml:space="preserve"> </v>
      </c>
      <c r="AI4" s="74" t="str">
        <f ca="1">IF(AND(F4="x",K4="x"),"x"," ")</f>
        <v xml:space="preserve"> </v>
      </c>
      <c r="AJ4" s="74" t="str">
        <f ca="1">IF(AND(F4="x",L4="x"),"x"," ")</f>
        <v xml:space="preserve"> </v>
      </c>
      <c r="AK4" s="74" t="str">
        <f ca="1">IF(AND(F4="x",M4="x"),"x"," ")</f>
        <v xml:space="preserve"> </v>
      </c>
      <c r="AL4" s="74" t="str">
        <f ca="1">IF(AND(F4="x",N4="x"),"x"," ")</f>
        <v xml:space="preserve"> </v>
      </c>
      <c r="AM4" s="74" t="str">
        <f ca="1">IF(AND(G4="x",I4="x"),"x"," ")</f>
        <v xml:space="preserve"> </v>
      </c>
      <c r="AN4" s="74" t="str">
        <f ca="1">IF(AND(G4="x",J4="x"),"x"," ")</f>
        <v xml:space="preserve"> </v>
      </c>
      <c r="AO4" s="74" t="str">
        <f ca="1">IF(AND(G4="x",K4="x"),"x"," ")</f>
        <v xml:space="preserve"> </v>
      </c>
      <c r="AP4" s="74" t="str">
        <f ca="1">IF(AND(G4="x",L4="x"),"x"," ")</f>
        <v xml:space="preserve"> </v>
      </c>
      <c r="AQ4" s="74" t="str">
        <f ca="1">IF(AND(G4="x",M4="x"),"x"," ")</f>
        <v xml:space="preserve"> </v>
      </c>
      <c r="AR4" s="74" t="str">
        <f ca="1">IF(AND(G4="x",N4="x"),"x"," ")</f>
        <v xml:space="preserve"> </v>
      </c>
      <c r="AS4" s="74" t="str">
        <f ca="1">IF(AND(H4="x",I4="x"),"x"," ")</f>
        <v xml:space="preserve"> </v>
      </c>
      <c r="AT4" s="74" t="str">
        <f ca="1">IF(AND(H4="x",J4="x"),"x"," ")</f>
        <v xml:space="preserve"> </v>
      </c>
      <c r="AU4" s="74" t="str">
        <f ca="1">IF(AND(H4="x",K4="x"),"x"," ")</f>
        <v xml:space="preserve"> </v>
      </c>
      <c r="AV4" s="74" t="str">
        <f ca="1">IF(AND(H4="x",L4="x"),"x"," ")</f>
        <v xml:space="preserve"> </v>
      </c>
      <c r="AW4" s="74" t="str">
        <f ca="1">IF(AND(H4="x",M4="x"),"x"," ")</f>
        <v xml:space="preserve"> </v>
      </c>
      <c r="AX4" s="74" t="str">
        <f ca="1">IF(AND(H4="x",N4="x"),"x"," ")</f>
        <v xml:space="preserve"> </v>
      </c>
      <c r="AY4" s="75" t="str">
        <f ca="1">IF(OR(C4&amp;J4="xx",C4&amp;K4="xx",C4&amp;I4="xx",D4&amp;I4="xx",D4&amp;J4="xx",E4&amp;I4="xx"),"x"," ")</f>
        <v>x</v>
      </c>
      <c r="AZ4" s="73" t="str">
        <f ca="1">IF(OR(C4&amp;L4="xx",D4&amp;K4="xx",D4&amp;L4="xx",E4&amp;J4="xx",E4&amp;K4="xx",F4&amp;I4="xx",F4&amp;J4="xx"),"x"," ")</f>
        <v xml:space="preserve"> </v>
      </c>
      <c r="BA4" s="73" t="str">
        <f ca="1">IF(OR(C4&amp;N4="xx",C4&amp;M4="xx",D4&amp;M4="xx",E4&amp;M4="xx",E4&amp;L4="xx",F4&amp;L4="xx",F4&amp;K4="xx"),"x"," ")</f>
        <v xml:space="preserve"> </v>
      </c>
      <c r="BB4" s="73" t="str">
        <f ca="1">IF(OR(D4&amp;N4="xx",E4&amp;N4="xx",F4&amp;N4="xx",F4&amp;M4="xx",G4&amp;I4="xx",G4&amp;J4="xx",G4&amp;K4="xx",G4&amp;L4="xx",G4&amp;M4="xx",G4&amp;N4="xx"),"x"," ")</f>
        <v xml:space="preserve"> </v>
      </c>
      <c r="BC4" s="73" t="str">
        <f ca="1">IF(COUNTIF(Conso!P2,"*Insuffisant*"),"x"," ")</f>
        <v xml:space="preserve"> </v>
      </c>
      <c r="BD4" s="73" t="str">
        <f ca="1">IF(COUNTIF(Conso!P2,"*Faible*"),"x"," ")</f>
        <v xml:space="preserve"> </v>
      </c>
      <c r="BE4" s="73" t="str">
        <f ca="1">IF(COUNTIF(Conso!P2,"*Acceptable*"),"x"," ")</f>
        <v xml:space="preserve"> </v>
      </c>
      <c r="BF4" s="73" t="str">
        <f ca="1">IF(COUNTIF(Conso!P2,"*Maîtrisé*"),"x"," ")</f>
        <v>x</v>
      </c>
      <c r="BG4" s="73" t="str">
        <f t="shared" ref="BG4" ca="1" si="0">IF(AND(AY4="x",BC4="x"),"x"," ")</f>
        <v xml:space="preserve"> </v>
      </c>
      <c r="BH4" s="73" t="str">
        <f t="shared" ref="BH4" ca="1" si="1">IF(AND(AY4="x",BD4="x"),"x"," ")</f>
        <v xml:space="preserve"> </v>
      </c>
      <c r="BI4" s="73" t="str">
        <f t="shared" ref="BI4" ca="1" si="2">IF(AND(AY4="x",BE4="x"),"x"," ")</f>
        <v xml:space="preserve"> </v>
      </c>
      <c r="BJ4" s="73" t="str">
        <f t="shared" ref="BJ4" ca="1" si="3">IF(AND(AY4="x",BF4="x"),"x"," ")</f>
        <v>x</v>
      </c>
      <c r="BK4" s="73" t="str">
        <f t="shared" ref="BK4" ca="1" si="4">IF(AND(AZ4="x",BF4="x"),"x"," ")</f>
        <v xml:space="preserve"> </v>
      </c>
      <c r="BL4" s="73" t="str">
        <f t="shared" ref="BL4:BN4" ca="1" si="5">IF(AND(AZ4="x",BC4="x"),"x"," ")</f>
        <v xml:space="preserve"> </v>
      </c>
      <c r="BM4" s="73" t="str">
        <f t="shared" ca="1" si="5"/>
        <v xml:space="preserve"> </v>
      </c>
      <c r="BN4" s="73" t="str">
        <f t="shared" ca="1" si="5"/>
        <v xml:space="preserve"> </v>
      </c>
      <c r="BO4" s="73" t="str">
        <f t="shared" ref="BO4" ca="1" si="6">IF(AND(AZ4="x",BD4="x"),"x"," ")</f>
        <v xml:space="preserve"> </v>
      </c>
      <c r="BP4" s="73" t="str">
        <f t="shared" ref="BP4" ca="1" si="7">IF(AND(AZ4="x",BE4="x"),"x"," ")</f>
        <v xml:space="preserve"> </v>
      </c>
      <c r="BQ4" s="73" t="str">
        <f t="shared" ref="BQ4" ca="1" si="8">IF(AND(BA4="x",BE4="x"),"x"," ")</f>
        <v xml:space="preserve"> </v>
      </c>
      <c r="BR4" s="73" t="str">
        <f t="shared" ref="BR4" ca="1" si="9">IF(AND(BA4="x",BF4="x"),"x"," ")</f>
        <v xml:space="preserve"> </v>
      </c>
      <c r="BS4" s="73" t="str">
        <f t="shared" ref="BS4" ca="1" si="10">IF(AND(BB4="x",BF4="x"),"x"," ")</f>
        <v xml:space="preserve"> </v>
      </c>
      <c r="BT4" s="73" t="str">
        <f t="shared" ref="BT4" ca="1" si="11">IF(AND(BB4="x",BC4="x"),"x"," ")</f>
        <v xml:space="preserve"> </v>
      </c>
      <c r="BU4" s="73" t="str">
        <f t="shared" ref="BU4:BV4" ca="1" si="12">IF(AND(BA4="x",BC4="x"),"x"," ")</f>
        <v xml:space="preserve"> </v>
      </c>
      <c r="BV4" s="73" t="str">
        <f t="shared" ca="1" si="12"/>
        <v xml:space="preserve"> </v>
      </c>
      <c r="BW4" s="72" t="s">
        <v>895</v>
      </c>
    </row>
    <row r="5" spans="1:75" ht="25.5" customHeight="1">
      <c r="A5" s="211" t="s">
        <v>855</v>
      </c>
      <c r="B5" s="72" t="e">
        <f>#REF!</f>
        <v>#REF!</v>
      </c>
      <c r="C5" s="73" t="str">
        <f ca="1">IF(COUNTIF(Conso!R3,"*Marginal*"),"x"," ")</f>
        <v xml:space="preserve"> </v>
      </c>
      <c r="D5" s="73" t="str">
        <f ca="1">IF(COUNTIF(Conso!R3,"*Faible*"),"x"," ")</f>
        <v>x</v>
      </c>
      <c r="E5" s="73" t="str">
        <f ca="1">IF(COUNTIF(Conso!R3,"*Modéré*"),"x"," ")</f>
        <v xml:space="preserve"> </v>
      </c>
      <c r="F5" s="73" t="str">
        <f ca="1">IF(COUNTIF(Conso!R3,"*Elevé*"),"x"," ")</f>
        <v xml:space="preserve"> </v>
      </c>
      <c r="G5" s="73" t="str">
        <f ca="1">IF(COUNTIF(Conso!R3,"*Critique*"),"x"," ")</f>
        <v xml:space="preserve"> </v>
      </c>
      <c r="H5" s="73" t="str">
        <f ca="1">IF(COUNTIF(Conso!R3,"*Catastrophique*"),"x"," ")</f>
        <v xml:space="preserve"> </v>
      </c>
      <c r="I5" s="73" t="str">
        <f ca="1">IF(COUNTIF(Conso!Q3,"*Exceptionnelle*"),"x"," ")</f>
        <v xml:space="preserve"> </v>
      </c>
      <c r="J5" s="73" t="str">
        <f ca="1">IF(COUNTIF(Conso!Q3,"*Rare*"),"x"," ")</f>
        <v>x</v>
      </c>
      <c r="K5" s="73" t="str">
        <f ca="1">IF(COUNTIF(Conso!Q3,"*Modérée*"),"x"," ")</f>
        <v xml:space="preserve"> </v>
      </c>
      <c r="L5" s="73" t="str">
        <f ca="1">IF(COUNTIF(Conso!Q3,"*Elevée*"),"x"," ")</f>
        <v xml:space="preserve"> </v>
      </c>
      <c r="M5" s="73" t="str">
        <f ca="1">IF(COUNTIF(Conso!Q3,"*Récurrente*"),"x"," ")</f>
        <v xml:space="preserve"> </v>
      </c>
      <c r="N5" s="73" t="str">
        <f ca="1">IF(COUNTIF(Conso!Q3,"*Permanente*"),"x"," ")</f>
        <v xml:space="preserve"> </v>
      </c>
      <c r="O5" s="74" t="str">
        <f t="shared" ref="O5:O42" ca="1" si="13">IF(AND(C5="x",I5="x"),"x"," ")</f>
        <v xml:space="preserve"> </v>
      </c>
      <c r="P5" s="74" t="str">
        <f t="shared" ref="P5:P42" ca="1" si="14">IF(AND(C5="x",J5="x"),"x"," ")</f>
        <v xml:space="preserve"> </v>
      </c>
      <c r="Q5" s="74" t="str">
        <f t="shared" ref="Q5:Q42" ca="1" si="15">IF(AND(C5="x",K5="x"),"x"," ")</f>
        <v xml:space="preserve"> </v>
      </c>
      <c r="R5" s="74" t="str">
        <f t="shared" ref="R5:R42" ca="1" si="16">IF(AND(C5="x",L5="x"),"x"," ")</f>
        <v xml:space="preserve"> </v>
      </c>
      <c r="S5" s="74" t="str">
        <f t="shared" ref="S5:S42" ca="1" si="17">IF(AND(C5="x",M5="x"),"x"," ")</f>
        <v xml:space="preserve"> </v>
      </c>
      <c r="T5" s="74" t="str">
        <f t="shared" ref="T5:T42" ca="1" si="18">IF(AND(C5="x",N5="x"),"x"," ")</f>
        <v xml:space="preserve"> </v>
      </c>
      <c r="U5" s="74" t="str">
        <f t="shared" ref="U5:U42" ca="1" si="19">IF(AND(D5="x",I5="x"),"x"," ")</f>
        <v xml:space="preserve"> </v>
      </c>
      <c r="V5" s="74" t="str">
        <f t="shared" ref="V5:V42" ca="1" si="20">IF(AND(D5="x",J5="x"),"x"," ")</f>
        <v>x</v>
      </c>
      <c r="W5" s="74" t="str">
        <f t="shared" ref="W5:W42" ca="1" si="21">IF(AND(D5="x",K5="x"),"x"," ")</f>
        <v xml:space="preserve"> </v>
      </c>
      <c r="X5" s="74" t="str">
        <f t="shared" ref="X5:X42" ca="1" si="22">IF(AND(D5="x",L5="x"),"x"," ")</f>
        <v xml:space="preserve"> </v>
      </c>
      <c r="Y5" s="74" t="str">
        <f t="shared" ref="Y5:Y42" ca="1" si="23">IF(AND(D5="x",M5="x"),"x"," ")</f>
        <v xml:space="preserve"> </v>
      </c>
      <c r="Z5" s="74" t="str">
        <f t="shared" ref="Z5:Z42" ca="1" si="24">IF(AND(D5="x",N5="x"),"x"," ")</f>
        <v xml:space="preserve"> </v>
      </c>
      <c r="AA5" s="74" t="str">
        <f t="shared" ref="AA5:AA42" ca="1" si="25">IF(AND(E5="x",I5="x"),"x"," ")</f>
        <v xml:space="preserve"> </v>
      </c>
      <c r="AB5" s="74" t="str">
        <f t="shared" ref="AB5:AB42" ca="1" si="26">IF(AND(E5="x",J5="x"),"x"," ")</f>
        <v xml:space="preserve"> </v>
      </c>
      <c r="AC5" s="74" t="str">
        <f t="shared" ref="AC5:AC42" ca="1" si="27">IF(AND(E5="x",K5="x"),"x"," ")</f>
        <v xml:space="preserve"> </v>
      </c>
      <c r="AD5" s="74" t="str">
        <f t="shared" ref="AD5:AD42" ca="1" si="28">IF(AND(E5="x",L5="x"),"x"," ")</f>
        <v xml:space="preserve"> </v>
      </c>
      <c r="AE5" s="74" t="str">
        <f t="shared" ref="AE5:AE42" ca="1" si="29">IF(AND(E5="x",M5="x"),"x"," ")</f>
        <v xml:space="preserve"> </v>
      </c>
      <c r="AF5" s="74" t="str">
        <f t="shared" ref="AF5:AF42" ca="1" si="30">IF(AND(E5="x",N5="x"),"x"," ")</f>
        <v xml:space="preserve"> </v>
      </c>
      <c r="AG5" s="74" t="str">
        <f t="shared" ref="AG5:AG42" ca="1" si="31">IF(AND(F5="x",I5="x"),"x"," ")</f>
        <v xml:space="preserve"> </v>
      </c>
      <c r="AH5" s="74" t="str">
        <f t="shared" ref="AH5:AH42" ca="1" si="32">IF(AND(F5="x",J5="x"),"x"," ")</f>
        <v xml:space="preserve"> </v>
      </c>
      <c r="AI5" s="74" t="str">
        <f t="shared" ref="AI5:AI42" ca="1" si="33">IF(AND(F5="x",K5="x"),"x"," ")</f>
        <v xml:space="preserve"> </v>
      </c>
      <c r="AJ5" s="74" t="str">
        <f t="shared" ref="AJ5:AJ42" ca="1" si="34">IF(AND(F5="x",L5="x"),"x"," ")</f>
        <v xml:space="preserve"> </v>
      </c>
      <c r="AK5" s="74" t="str">
        <f t="shared" ref="AK5:AK42" ca="1" si="35">IF(AND(F5="x",M5="x"),"x"," ")</f>
        <v xml:space="preserve"> </v>
      </c>
      <c r="AL5" s="74" t="str">
        <f t="shared" ref="AL5:AL42" ca="1" si="36">IF(AND(F5="x",N5="x"),"x"," ")</f>
        <v xml:space="preserve"> </v>
      </c>
      <c r="AM5" s="74" t="str">
        <f t="shared" ref="AM5:AM42" ca="1" si="37">IF(AND(G5="x",I5="x"),"x"," ")</f>
        <v xml:space="preserve"> </v>
      </c>
      <c r="AN5" s="74" t="str">
        <f t="shared" ref="AN5:AN42" ca="1" si="38">IF(AND(G5="x",J5="x"),"x"," ")</f>
        <v xml:space="preserve"> </v>
      </c>
      <c r="AO5" s="74" t="str">
        <f t="shared" ref="AO5:AO42" ca="1" si="39">IF(AND(G5="x",K5="x"),"x"," ")</f>
        <v xml:space="preserve"> </v>
      </c>
      <c r="AP5" s="74" t="str">
        <f t="shared" ref="AP5:AP42" ca="1" si="40">IF(AND(G5="x",L5="x"),"x"," ")</f>
        <v xml:space="preserve"> </v>
      </c>
      <c r="AQ5" s="74" t="str">
        <f t="shared" ref="AQ5:AQ42" ca="1" si="41">IF(AND(G5="x",M5="x"),"x"," ")</f>
        <v xml:space="preserve"> </v>
      </c>
      <c r="AR5" s="74" t="str">
        <f t="shared" ref="AR5:AR42" ca="1" si="42">IF(AND(G5="x",N5="x"),"x"," ")</f>
        <v xml:space="preserve"> </v>
      </c>
      <c r="AS5" s="74" t="str">
        <f t="shared" ref="AS5:AS42" ca="1" si="43">IF(AND(H5="x",I5="x"),"x"," ")</f>
        <v xml:space="preserve"> </v>
      </c>
      <c r="AT5" s="74" t="str">
        <f t="shared" ref="AT5:AT42" ca="1" si="44">IF(AND(H5="x",J5="x"),"x"," ")</f>
        <v xml:space="preserve"> </v>
      </c>
      <c r="AU5" s="74" t="str">
        <f t="shared" ref="AU5:AU42" ca="1" si="45">IF(AND(H5="x",K5="x"),"x"," ")</f>
        <v xml:space="preserve"> </v>
      </c>
      <c r="AV5" s="74" t="str">
        <f t="shared" ref="AV5:AV42" ca="1" si="46">IF(AND(H5="x",L5="x"),"x"," ")</f>
        <v xml:space="preserve"> </v>
      </c>
      <c r="AW5" s="74" t="str">
        <f t="shared" ref="AW5:AW42" ca="1" si="47">IF(AND(H5="x",M5="x"),"x"," ")</f>
        <v xml:space="preserve"> </v>
      </c>
      <c r="AX5" s="74" t="str">
        <f t="shared" ref="AX5:AX42" ca="1" si="48">IF(AND(H5="x",N5="x"),"x"," ")</f>
        <v xml:space="preserve"> </v>
      </c>
      <c r="AY5" s="75" t="str">
        <f t="shared" ref="AY5:AY42" ca="1" si="49">IF(OR(C5&amp;J5="xx",C5&amp;K5="xx",C5&amp;I5="xx",D5&amp;I5="xx",D5&amp;J5="xx",E5&amp;I5="xx"),"x"," ")</f>
        <v>x</v>
      </c>
      <c r="AZ5" s="73" t="str">
        <f t="shared" ref="AZ5:AZ42" ca="1" si="50">IF(OR(C5&amp;L5="xx",D5&amp;K5="xx",D5&amp;L5="xx",E5&amp;J5="xx",E5&amp;K5="xx",F5&amp;I5="xx",F5&amp;J5="xx"),"x"," ")</f>
        <v xml:space="preserve"> </v>
      </c>
      <c r="BA5" s="73" t="str">
        <f t="shared" ref="BA5:BA42" ca="1" si="51">IF(OR(C5&amp;N5="xx",C5&amp;M5="xx",D5&amp;M5="xx",E5&amp;M5="xx",E5&amp;L5="xx",F5&amp;L5="xx",F5&amp;K5="xx"),"x"," ")</f>
        <v xml:space="preserve"> </v>
      </c>
      <c r="BB5" s="73" t="str">
        <f t="shared" ref="BB5:BB42" ca="1" si="52">IF(OR(D5&amp;N5="xx",E5&amp;N5="xx",F5&amp;N5="xx",F5&amp;M5="xx",G5&amp;I5="xx",G5&amp;J5="xx",G5&amp;K5="xx",G5&amp;L5="xx",G5&amp;M5="xx",G5&amp;N5="xx"),"x"," ")</f>
        <v xml:space="preserve"> </v>
      </c>
      <c r="BC5" s="73" t="str">
        <f ca="1">IF(COUNTIF(Conso!P3,"*Insuffisant*"),"x"," ")</f>
        <v xml:space="preserve"> </v>
      </c>
      <c r="BD5" s="73" t="str">
        <f ca="1">IF(COUNTIF(Conso!P3,"*Faible*"),"x"," ")</f>
        <v xml:space="preserve"> </v>
      </c>
      <c r="BE5" s="73" t="str">
        <f ca="1">IF(COUNTIF(Conso!P3,"*Acceptable*"),"x"," ")</f>
        <v xml:space="preserve"> </v>
      </c>
      <c r="BF5" s="73" t="str">
        <f ca="1">IF(COUNTIF(Conso!P3,"*Maîtrisé*"),"x"," ")</f>
        <v>x</v>
      </c>
      <c r="BG5" s="73" t="str">
        <f t="shared" ref="BG5:BG42" ca="1" si="53">IF(AND(AY5="x",BC5="x"),"x"," ")</f>
        <v xml:space="preserve"> </v>
      </c>
      <c r="BH5" s="73" t="str">
        <f t="shared" ref="BH5:BH42" ca="1" si="54">IF(AND(AY5="x",BD5="x"),"x"," ")</f>
        <v xml:space="preserve"> </v>
      </c>
      <c r="BI5" s="73" t="str">
        <f t="shared" ref="BI5:BI42" ca="1" si="55">IF(AND(AY5="x",BE5="x"),"x"," ")</f>
        <v xml:space="preserve"> </v>
      </c>
      <c r="BJ5" s="73" t="str">
        <f t="shared" ref="BJ5:BJ42" ca="1" si="56">IF(AND(AY5="x",BF5="x"),"x"," ")</f>
        <v>x</v>
      </c>
      <c r="BK5" s="73" t="str">
        <f t="shared" ref="BK5:BK42" ca="1" si="57">IF(AND(AZ5="x",BF5="x"),"x"," ")</f>
        <v xml:space="preserve"> </v>
      </c>
      <c r="BL5" s="73" t="str">
        <f t="shared" ref="BL5:BL42" ca="1" si="58">IF(AND(AZ5="x",BC5="x"),"x"," ")</f>
        <v xml:space="preserve"> </v>
      </c>
      <c r="BM5" s="73" t="str">
        <f t="shared" ref="BM5:BM42" ca="1" si="59">IF(AND(BA5="x",BD5="x"),"x"," ")</f>
        <v xml:space="preserve"> </v>
      </c>
      <c r="BN5" s="73" t="str">
        <f t="shared" ref="BN5:BN42" ca="1" si="60">IF(AND(BB5="x",BE5="x"),"x"," ")</f>
        <v xml:space="preserve"> </v>
      </c>
      <c r="BO5" s="73" t="str">
        <f t="shared" ref="BO5:BO42" ca="1" si="61">IF(AND(AZ5="x",BD5="x"),"x"," ")</f>
        <v xml:space="preserve"> </v>
      </c>
      <c r="BP5" s="73" t="str">
        <f t="shared" ref="BP5:BP42" ca="1" si="62">IF(AND(AZ5="x",BE5="x"),"x"," ")</f>
        <v xml:space="preserve"> </v>
      </c>
      <c r="BQ5" s="73" t="str">
        <f t="shared" ref="BQ5:BQ42" ca="1" si="63">IF(AND(BA5="x",BE5="x"),"x"," ")</f>
        <v xml:space="preserve"> </v>
      </c>
      <c r="BR5" s="73" t="str">
        <f t="shared" ref="BR5:BR42" ca="1" si="64">IF(AND(BA5="x",BF5="x"),"x"," ")</f>
        <v xml:space="preserve"> </v>
      </c>
      <c r="BS5" s="73" t="str">
        <f t="shared" ref="BS5:BS42" ca="1" si="65">IF(AND(BB5="x",BF5="x"),"x"," ")</f>
        <v xml:space="preserve"> </v>
      </c>
      <c r="BT5" s="73" t="str">
        <f t="shared" ref="BT5:BT42" ca="1" si="66">IF(AND(BB5="x",BC5="x"),"x"," ")</f>
        <v xml:space="preserve"> </v>
      </c>
      <c r="BU5" s="73" t="str">
        <f t="shared" ref="BU5:BU42" ca="1" si="67">IF(AND(BA5="x",BC5="x"),"x"," ")</f>
        <v xml:space="preserve"> </v>
      </c>
      <c r="BV5" s="73" t="str">
        <f t="shared" ref="BV5:BV42" ca="1" si="68">IF(AND(BB5="x",BD5="x"),"x"," ")</f>
        <v xml:space="preserve"> </v>
      </c>
      <c r="BW5" s="72" t="s">
        <v>896</v>
      </c>
    </row>
    <row r="6" spans="1:75" ht="30" customHeight="1">
      <c r="A6" s="211" t="s">
        <v>856</v>
      </c>
      <c r="B6" s="72" t="e">
        <f>#REF!</f>
        <v>#REF!</v>
      </c>
      <c r="C6" s="73" t="str">
        <f ca="1">IF(COUNTIF(Conso!R4,"*Marginal*"),"x"," ")</f>
        <v xml:space="preserve"> </v>
      </c>
      <c r="D6" s="73" t="str">
        <f ca="1">IF(COUNTIF(Conso!R4,"*Faible*"),"x"," ")</f>
        <v xml:space="preserve"> </v>
      </c>
      <c r="E6" s="73" t="str">
        <f ca="1">IF(COUNTIF(Conso!R4,"*Modéré*"),"x"," ")</f>
        <v xml:space="preserve"> </v>
      </c>
      <c r="F6" s="73" t="str">
        <f ca="1">IF(COUNTIF(Conso!R4,"*Elevé*"),"x"," ")</f>
        <v xml:space="preserve"> </v>
      </c>
      <c r="G6" s="73" t="str">
        <f ca="1">IF(COUNTIF(Conso!R4,"*Critique*"),"x"," ")</f>
        <v xml:space="preserve"> </v>
      </c>
      <c r="H6" s="73" t="str">
        <f ca="1">IF(COUNTIF(Conso!R4,"*Catastrophique*"),"x"," ")</f>
        <v xml:space="preserve"> </v>
      </c>
      <c r="I6" s="73" t="str">
        <f ca="1">IF(COUNTIF(Conso!Q4,"*Exceptionnelle*"),"x"," ")</f>
        <v xml:space="preserve"> </v>
      </c>
      <c r="J6" s="73" t="str">
        <f ca="1">IF(COUNTIF(Conso!Q4,"*Rare*"),"x"," ")</f>
        <v xml:space="preserve"> </v>
      </c>
      <c r="K6" s="73" t="str">
        <f ca="1">IF(COUNTIF(Conso!Q4,"*Modérée*"),"x"," ")</f>
        <v xml:space="preserve"> </v>
      </c>
      <c r="L6" s="73" t="str">
        <f ca="1">IF(COUNTIF(Conso!Q4,"*Elevée*"),"x"," ")</f>
        <v xml:space="preserve"> </v>
      </c>
      <c r="M6" s="73" t="str">
        <f ca="1">IF(COUNTIF(Conso!Q4,"*Récurrente*"),"x"," ")</f>
        <v xml:space="preserve"> </v>
      </c>
      <c r="N6" s="73" t="str">
        <f ca="1">IF(COUNTIF(Conso!Q4,"*Permanente*"),"x"," ")</f>
        <v xml:space="preserve"> </v>
      </c>
      <c r="O6" s="74" t="str">
        <f t="shared" ca="1" si="13"/>
        <v xml:space="preserve"> </v>
      </c>
      <c r="P6" s="74" t="str">
        <f t="shared" ca="1" si="14"/>
        <v xml:space="preserve"> </v>
      </c>
      <c r="Q6" s="74" t="str">
        <f t="shared" ca="1" si="15"/>
        <v xml:space="preserve"> </v>
      </c>
      <c r="R6" s="74" t="str">
        <f t="shared" ca="1" si="16"/>
        <v xml:space="preserve"> </v>
      </c>
      <c r="S6" s="74" t="str">
        <f t="shared" ca="1" si="17"/>
        <v xml:space="preserve"> </v>
      </c>
      <c r="T6" s="74" t="str">
        <f t="shared" ca="1" si="18"/>
        <v xml:space="preserve"> </v>
      </c>
      <c r="U6" s="74" t="str">
        <f t="shared" ca="1" si="19"/>
        <v xml:space="preserve"> </v>
      </c>
      <c r="V6" s="74" t="str">
        <f t="shared" ca="1" si="20"/>
        <v xml:space="preserve"> </v>
      </c>
      <c r="W6" s="74" t="str">
        <f t="shared" ca="1" si="21"/>
        <v xml:space="preserve"> </v>
      </c>
      <c r="X6" s="74" t="str">
        <f t="shared" ca="1" si="22"/>
        <v xml:space="preserve"> </v>
      </c>
      <c r="Y6" s="74" t="str">
        <f t="shared" ca="1" si="23"/>
        <v xml:space="preserve"> </v>
      </c>
      <c r="Z6" s="74" t="str">
        <f t="shared" ca="1" si="24"/>
        <v xml:space="preserve"> </v>
      </c>
      <c r="AA6" s="74" t="str">
        <f t="shared" ca="1" si="25"/>
        <v xml:space="preserve"> </v>
      </c>
      <c r="AB6" s="74" t="str">
        <f t="shared" ca="1" si="26"/>
        <v xml:space="preserve"> </v>
      </c>
      <c r="AC6" s="74" t="str">
        <f t="shared" ca="1" si="27"/>
        <v xml:space="preserve"> </v>
      </c>
      <c r="AD6" s="74" t="str">
        <f t="shared" ca="1" si="28"/>
        <v xml:space="preserve"> </v>
      </c>
      <c r="AE6" s="74" t="str">
        <f t="shared" ca="1" si="29"/>
        <v xml:space="preserve"> </v>
      </c>
      <c r="AF6" s="74" t="str">
        <f t="shared" ca="1" si="30"/>
        <v xml:space="preserve"> </v>
      </c>
      <c r="AG6" s="74" t="str">
        <f t="shared" ca="1" si="31"/>
        <v xml:space="preserve"> </v>
      </c>
      <c r="AH6" s="74" t="str">
        <f t="shared" ca="1" si="32"/>
        <v xml:space="preserve"> </v>
      </c>
      <c r="AI6" s="74" t="str">
        <f t="shared" ca="1" si="33"/>
        <v xml:space="preserve"> </v>
      </c>
      <c r="AJ6" s="74" t="str">
        <f t="shared" ca="1" si="34"/>
        <v xml:space="preserve"> </v>
      </c>
      <c r="AK6" s="74" t="str">
        <f t="shared" ca="1" si="35"/>
        <v xml:space="preserve"> </v>
      </c>
      <c r="AL6" s="74" t="str">
        <f t="shared" ca="1" si="36"/>
        <v xml:space="preserve"> </v>
      </c>
      <c r="AM6" s="74" t="str">
        <f t="shared" ca="1" si="37"/>
        <v xml:space="preserve"> </v>
      </c>
      <c r="AN6" s="74" t="str">
        <f t="shared" ca="1" si="38"/>
        <v xml:space="preserve"> </v>
      </c>
      <c r="AO6" s="74" t="str">
        <f t="shared" ca="1" si="39"/>
        <v xml:space="preserve"> </v>
      </c>
      <c r="AP6" s="74" t="str">
        <f t="shared" ca="1" si="40"/>
        <v xml:space="preserve"> </v>
      </c>
      <c r="AQ6" s="74" t="str">
        <f t="shared" ca="1" si="41"/>
        <v xml:space="preserve"> </v>
      </c>
      <c r="AR6" s="74" t="str">
        <f t="shared" ca="1" si="42"/>
        <v xml:space="preserve"> </v>
      </c>
      <c r="AS6" s="74" t="str">
        <f t="shared" ca="1" si="43"/>
        <v xml:space="preserve"> </v>
      </c>
      <c r="AT6" s="74" t="str">
        <f t="shared" ca="1" si="44"/>
        <v xml:space="preserve"> </v>
      </c>
      <c r="AU6" s="74" t="str">
        <f t="shared" ca="1" si="45"/>
        <v xml:space="preserve"> </v>
      </c>
      <c r="AV6" s="74" t="str">
        <f t="shared" ca="1" si="46"/>
        <v xml:space="preserve"> </v>
      </c>
      <c r="AW6" s="74" t="str">
        <f t="shared" ca="1" si="47"/>
        <v xml:space="preserve"> </v>
      </c>
      <c r="AX6" s="74" t="str">
        <f t="shared" ca="1" si="48"/>
        <v xml:space="preserve"> </v>
      </c>
      <c r="AY6" s="75" t="str">
        <f t="shared" ca="1" si="49"/>
        <v xml:space="preserve"> </v>
      </c>
      <c r="AZ6" s="73" t="str">
        <f t="shared" ca="1" si="50"/>
        <v xml:space="preserve"> </v>
      </c>
      <c r="BA6" s="73" t="str">
        <f t="shared" ca="1" si="51"/>
        <v xml:space="preserve"> </v>
      </c>
      <c r="BB6" s="73" t="str">
        <f t="shared" ca="1" si="52"/>
        <v xml:space="preserve"> </v>
      </c>
      <c r="BC6" s="73" t="str">
        <f ca="1">IF(COUNTIF(Conso!P4,"*Insuffisant*"),"x"," ")</f>
        <v xml:space="preserve"> </v>
      </c>
      <c r="BD6" s="73" t="str">
        <f ca="1">IF(COUNTIF(Conso!P4,"*Faible*"),"x"," ")</f>
        <v xml:space="preserve"> </v>
      </c>
      <c r="BE6" s="73" t="str">
        <f ca="1">IF(COUNTIF(Conso!P4,"*Acceptable*"),"x"," ")</f>
        <v xml:space="preserve"> </v>
      </c>
      <c r="BF6" s="73" t="str">
        <f ca="1">IF(COUNTIF(Conso!P4,"*Maîtrisé*"),"x"," ")</f>
        <v xml:space="preserve"> </v>
      </c>
      <c r="BG6" s="73" t="str">
        <f t="shared" ca="1" si="53"/>
        <v xml:space="preserve"> </v>
      </c>
      <c r="BH6" s="73" t="str">
        <f t="shared" ca="1" si="54"/>
        <v xml:space="preserve"> </v>
      </c>
      <c r="BI6" s="73" t="str">
        <f t="shared" ca="1" si="55"/>
        <v xml:space="preserve"> </v>
      </c>
      <c r="BJ6" s="73" t="str">
        <f t="shared" ca="1" si="56"/>
        <v xml:space="preserve"> </v>
      </c>
      <c r="BK6" s="73" t="str">
        <f t="shared" ca="1" si="57"/>
        <v xml:space="preserve"> </v>
      </c>
      <c r="BL6" s="73" t="str">
        <f t="shared" ca="1" si="58"/>
        <v xml:space="preserve"> </v>
      </c>
      <c r="BM6" s="73" t="str">
        <f t="shared" ca="1" si="59"/>
        <v xml:space="preserve"> </v>
      </c>
      <c r="BN6" s="73" t="str">
        <f t="shared" ca="1" si="60"/>
        <v xml:space="preserve"> </v>
      </c>
      <c r="BO6" s="73" t="str">
        <f t="shared" ca="1" si="61"/>
        <v xml:space="preserve"> </v>
      </c>
      <c r="BP6" s="73" t="str">
        <f t="shared" ca="1" si="62"/>
        <v xml:space="preserve"> </v>
      </c>
      <c r="BQ6" s="73" t="str">
        <f t="shared" ca="1" si="63"/>
        <v xml:space="preserve"> </v>
      </c>
      <c r="BR6" s="73" t="str">
        <f t="shared" ca="1" si="64"/>
        <v xml:space="preserve"> </v>
      </c>
      <c r="BS6" s="73" t="str">
        <f t="shared" ca="1" si="65"/>
        <v xml:space="preserve"> </v>
      </c>
      <c r="BT6" s="73" t="str">
        <f t="shared" ca="1" si="66"/>
        <v xml:space="preserve"> </v>
      </c>
      <c r="BU6" s="73" t="str">
        <f t="shared" ca="1" si="67"/>
        <v xml:space="preserve"> </v>
      </c>
      <c r="BV6" s="73" t="str">
        <f t="shared" ca="1" si="68"/>
        <v xml:space="preserve"> </v>
      </c>
      <c r="BW6" s="72" t="s">
        <v>897</v>
      </c>
    </row>
    <row r="7" spans="1:75" ht="36" customHeight="1">
      <c r="A7" s="211" t="s">
        <v>857</v>
      </c>
      <c r="B7" s="72" t="e">
        <f>#REF!</f>
        <v>#REF!</v>
      </c>
      <c r="C7" s="73" t="str">
        <f ca="1">IF(COUNTIF(Conso!R5,"*Marginal*"),"x"," ")</f>
        <v xml:space="preserve"> </v>
      </c>
      <c r="D7" s="73" t="str">
        <f ca="1">IF(COUNTIF(Conso!R5,"*Faible*"),"x"," ")</f>
        <v xml:space="preserve"> </v>
      </c>
      <c r="E7" s="73" t="str">
        <f ca="1">IF(COUNTIF(Conso!R5,"*Modéré*"),"x"," ")</f>
        <v xml:space="preserve"> </v>
      </c>
      <c r="F7" s="73" t="str">
        <f ca="1">IF(COUNTIF(Conso!R5,"*Elevé*"),"x"," ")</f>
        <v xml:space="preserve"> </v>
      </c>
      <c r="G7" s="73" t="str">
        <f ca="1">IF(COUNTIF(Conso!R5,"*Critique*"),"x"," ")</f>
        <v xml:space="preserve"> </v>
      </c>
      <c r="H7" s="73" t="str">
        <f ca="1">IF(COUNTIF(Conso!R5,"*Catastrophique*"),"x"," ")</f>
        <v xml:space="preserve"> </v>
      </c>
      <c r="I7" s="73" t="str">
        <f ca="1">IF(COUNTIF(Conso!Q5,"*Exceptionnelle*"),"x"," ")</f>
        <v xml:space="preserve"> </v>
      </c>
      <c r="J7" s="73" t="str">
        <f ca="1">IF(COUNTIF(Conso!Q5,"*Rare*"),"x"," ")</f>
        <v xml:space="preserve"> </v>
      </c>
      <c r="K7" s="73" t="str">
        <f ca="1">IF(COUNTIF(Conso!Q5,"*Modérée*"),"x"," ")</f>
        <v xml:space="preserve"> </v>
      </c>
      <c r="L7" s="73" t="str">
        <f ca="1">IF(COUNTIF(Conso!Q5,"*Elevée*"),"x"," ")</f>
        <v xml:space="preserve"> </v>
      </c>
      <c r="M7" s="73" t="str">
        <f ca="1">IF(COUNTIF(Conso!Q5,"*Récurrente*"),"x"," ")</f>
        <v xml:space="preserve"> </v>
      </c>
      <c r="N7" s="73" t="str">
        <f ca="1">IF(COUNTIF(Conso!Q5,"*Permanente*"),"x"," ")</f>
        <v xml:space="preserve"> </v>
      </c>
      <c r="O7" s="74" t="str">
        <f t="shared" ca="1" si="13"/>
        <v xml:space="preserve"> </v>
      </c>
      <c r="P7" s="74" t="str">
        <f t="shared" ca="1" si="14"/>
        <v xml:space="preserve"> </v>
      </c>
      <c r="Q7" s="74" t="str">
        <f t="shared" ca="1" si="15"/>
        <v xml:space="preserve"> </v>
      </c>
      <c r="R7" s="74" t="str">
        <f t="shared" ca="1" si="16"/>
        <v xml:space="preserve"> </v>
      </c>
      <c r="S7" s="74" t="str">
        <f t="shared" ca="1" si="17"/>
        <v xml:space="preserve"> </v>
      </c>
      <c r="T7" s="74" t="str">
        <f t="shared" ca="1" si="18"/>
        <v xml:space="preserve"> </v>
      </c>
      <c r="U7" s="74" t="str">
        <f t="shared" ca="1" si="19"/>
        <v xml:space="preserve"> </v>
      </c>
      <c r="V7" s="74" t="str">
        <f t="shared" ca="1" si="20"/>
        <v xml:space="preserve"> </v>
      </c>
      <c r="W7" s="74" t="str">
        <f t="shared" ca="1" si="21"/>
        <v xml:space="preserve"> </v>
      </c>
      <c r="X7" s="74" t="str">
        <f t="shared" ca="1" si="22"/>
        <v xml:space="preserve"> </v>
      </c>
      <c r="Y7" s="74" t="str">
        <f t="shared" ca="1" si="23"/>
        <v xml:space="preserve"> </v>
      </c>
      <c r="Z7" s="74" t="str">
        <f t="shared" ca="1" si="24"/>
        <v xml:space="preserve"> </v>
      </c>
      <c r="AA7" s="74" t="str">
        <f t="shared" ca="1" si="25"/>
        <v xml:space="preserve"> </v>
      </c>
      <c r="AB7" s="74" t="str">
        <f t="shared" ca="1" si="26"/>
        <v xml:space="preserve"> </v>
      </c>
      <c r="AC7" s="74" t="str">
        <f t="shared" ca="1" si="27"/>
        <v xml:space="preserve"> </v>
      </c>
      <c r="AD7" s="74" t="str">
        <f t="shared" ca="1" si="28"/>
        <v xml:space="preserve"> </v>
      </c>
      <c r="AE7" s="74" t="str">
        <f t="shared" ca="1" si="29"/>
        <v xml:space="preserve"> </v>
      </c>
      <c r="AF7" s="74" t="str">
        <f t="shared" ca="1" si="30"/>
        <v xml:space="preserve"> </v>
      </c>
      <c r="AG7" s="74" t="str">
        <f t="shared" ca="1" si="31"/>
        <v xml:space="preserve"> </v>
      </c>
      <c r="AH7" s="74" t="str">
        <f t="shared" ca="1" si="32"/>
        <v xml:space="preserve"> </v>
      </c>
      <c r="AI7" s="74" t="str">
        <f t="shared" ca="1" si="33"/>
        <v xml:space="preserve"> </v>
      </c>
      <c r="AJ7" s="74" t="str">
        <f t="shared" ca="1" si="34"/>
        <v xml:space="preserve"> </v>
      </c>
      <c r="AK7" s="74" t="str">
        <f t="shared" ca="1" si="35"/>
        <v xml:space="preserve"> </v>
      </c>
      <c r="AL7" s="74" t="str">
        <f t="shared" ca="1" si="36"/>
        <v xml:space="preserve"> </v>
      </c>
      <c r="AM7" s="74" t="str">
        <f t="shared" ca="1" si="37"/>
        <v xml:space="preserve"> </v>
      </c>
      <c r="AN7" s="74" t="str">
        <f t="shared" ca="1" si="38"/>
        <v xml:space="preserve"> </v>
      </c>
      <c r="AO7" s="74" t="str">
        <f t="shared" ca="1" si="39"/>
        <v xml:space="preserve"> </v>
      </c>
      <c r="AP7" s="74" t="str">
        <f t="shared" ca="1" si="40"/>
        <v xml:space="preserve"> </v>
      </c>
      <c r="AQ7" s="74" t="str">
        <f t="shared" ca="1" si="41"/>
        <v xml:space="preserve"> </v>
      </c>
      <c r="AR7" s="74" t="str">
        <f t="shared" ca="1" si="42"/>
        <v xml:space="preserve"> </v>
      </c>
      <c r="AS7" s="74" t="str">
        <f t="shared" ca="1" si="43"/>
        <v xml:space="preserve"> </v>
      </c>
      <c r="AT7" s="74" t="str">
        <f t="shared" ca="1" si="44"/>
        <v xml:space="preserve"> </v>
      </c>
      <c r="AU7" s="74" t="str">
        <f t="shared" ca="1" si="45"/>
        <v xml:space="preserve"> </v>
      </c>
      <c r="AV7" s="74" t="str">
        <f t="shared" ca="1" si="46"/>
        <v xml:space="preserve"> </v>
      </c>
      <c r="AW7" s="74" t="str">
        <f t="shared" ca="1" si="47"/>
        <v xml:space="preserve"> </v>
      </c>
      <c r="AX7" s="74" t="str">
        <f t="shared" ca="1" si="48"/>
        <v xml:space="preserve"> </v>
      </c>
      <c r="AY7" s="75" t="str">
        <f t="shared" ca="1" si="49"/>
        <v xml:space="preserve"> </v>
      </c>
      <c r="AZ7" s="73" t="str">
        <f t="shared" ca="1" si="50"/>
        <v xml:space="preserve"> </v>
      </c>
      <c r="BA7" s="73" t="str">
        <f t="shared" ca="1" si="51"/>
        <v xml:space="preserve"> </v>
      </c>
      <c r="BB7" s="73" t="str">
        <f t="shared" ca="1" si="52"/>
        <v xml:space="preserve"> </v>
      </c>
      <c r="BC7" s="73" t="str">
        <f ca="1">IF(COUNTIF(Conso!P5,"*Insuffisant*"),"x"," ")</f>
        <v xml:space="preserve"> </v>
      </c>
      <c r="BD7" s="73" t="str">
        <f ca="1">IF(COUNTIF(Conso!P5,"*Faible*"),"x"," ")</f>
        <v xml:space="preserve"> </v>
      </c>
      <c r="BE7" s="73" t="str">
        <f ca="1">IF(COUNTIF(Conso!P5,"*Acceptable*"),"x"," ")</f>
        <v xml:space="preserve"> </v>
      </c>
      <c r="BF7" s="73" t="str">
        <f ca="1">IF(COUNTIF(Conso!P5,"*Maîtrisé*"),"x"," ")</f>
        <v xml:space="preserve"> </v>
      </c>
      <c r="BG7" s="73" t="str">
        <f t="shared" ca="1" si="53"/>
        <v xml:space="preserve"> </v>
      </c>
      <c r="BH7" s="73" t="str">
        <f t="shared" ca="1" si="54"/>
        <v xml:space="preserve"> </v>
      </c>
      <c r="BI7" s="73" t="str">
        <f t="shared" ca="1" si="55"/>
        <v xml:space="preserve"> </v>
      </c>
      <c r="BJ7" s="73" t="str">
        <f t="shared" ca="1" si="56"/>
        <v xml:space="preserve"> </v>
      </c>
      <c r="BK7" s="73" t="str">
        <f t="shared" ca="1" si="57"/>
        <v xml:space="preserve"> </v>
      </c>
      <c r="BL7" s="73" t="str">
        <f t="shared" ca="1" si="58"/>
        <v xml:space="preserve"> </v>
      </c>
      <c r="BM7" s="73" t="str">
        <f t="shared" ca="1" si="59"/>
        <v xml:space="preserve"> </v>
      </c>
      <c r="BN7" s="73" t="str">
        <f t="shared" ca="1" si="60"/>
        <v xml:space="preserve"> </v>
      </c>
      <c r="BO7" s="73" t="str">
        <f t="shared" ca="1" si="61"/>
        <v xml:space="preserve"> </v>
      </c>
      <c r="BP7" s="73" t="str">
        <f t="shared" ca="1" si="62"/>
        <v xml:space="preserve"> </v>
      </c>
      <c r="BQ7" s="73" t="str">
        <f t="shared" ca="1" si="63"/>
        <v xml:space="preserve"> </v>
      </c>
      <c r="BR7" s="73" t="str">
        <f t="shared" ca="1" si="64"/>
        <v xml:space="preserve"> </v>
      </c>
      <c r="BS7" s="73" t="str">
        <f t="shared" ca="1" si="65"/>
        <v xml:space="preserve"> </v>
      </c>
      <c r="BT7" s="73" t="str">
        <f t="shared" ca="1" si="66"/>
        <v xml:space="preserve"> </v>
      </c>
      <c r="BU7" s="73" t="str">
        <f t="shared" ca="1" si="67"/>
        <v xml:space="preserve"> </v>
      </c>
      <c r="BV7" s="73" t="str">
        <f t="shared" ca="1" si="68"/>
        <v xml:space="preserve"> </v>
      </c>
      <c r="BW7" s="72" t="s">
        <v>898</v>
      </c>
    </row>
    <row r="8" spans="1:75" ht="25.5" customHeight="1">
      <c r="A8" s="211" t="s">
        <v>858</v>
      </c>
      <c r="B8" s="72" t="e">
        <f>#REF!</f>
        <v>#REF!</v>
      </c>
      <c r="C8" s="73" t="str">
        <f ca="1">IF(COUNTIF(Conso!R6,"*Marginal*"),"x"," ")</f>
        <v xml:space="preserve"> </v>
      </c>
      <c r="D8" s="73" t="str">
        <f ca="1">IF(COUNTIF(Conso!R6,"*Faible*"),"x"," ")</f>
        <v xml:space="preserve"> </v>
      </c>
      <c r="E8" s="73" t="str">
        <f ca="1">IF(COUNTIF(Conso!R6,"*Modéré*"),"x"," ")</f>
        <v xml:space="preserve"> </v>
      </c>
      <c r="F8" s="73" t="str">
        <f ca="1">IF(COUNTIF(Conso!R6,"*Elevé*"),"x"," ")</f>
        <v xml:space="preserve"> </v>
      </c>
      <c r="G8" s="73" t="str">
        <f ca="1">IF(COUNTIF(Conso!R6,"*Critique*"),"x"," ")</f>
        <v xml:space="preserve"> </v>
      </c>
      <c r="H8" s="73" t="str">
        <f ca="1">IF(COUNTIF(Conso!R6,"*Catastrophique*"),"x"," ")</f>
        <v xml:space="preserve"> </v>
      </c>
      <c r="I8" s="73" t="str">
        <f ca="1">IF(COUNTIF(Conso!Q6,"*Exceptionnelle*"),"x"," ")</f>
        <v xml:space="preserve"> </v>
      </c>
      <c r="J8" s="73" t="str">
        <f ca="1">IF(COUNTIF(Conso!Q6,"*Rare*"),"x"," ")</f>
        <v xml:space="preserve"> </v>
      </c>
      <c r="K8" s="73" t="str">
        <f ca="1">IF(COUNTIF(Conso!Q6,"*Modérée*"),"x"," ")</f>
        <v xml:space="preserve"> </v>
      </c>
      <c r="L8" s="73" t="str">
        <f ca="1">IF(COUNTIF(Conso!Q6,"*Elevée*"),"x"," ")</f>
        <v xml:space="preserve"> </v>
      </c>
      <c r="M8" s="73" t="str">
        <f ca="1">IF(COUNTIF(Conso!Q6,"*Récurrente*"),"x"," ")</f>
        <v xml:space="preserve"> </v>
      </c>
      <c r="N8" s="73" t="str">
        <f ca="1">IF(COUNTIF(Conso!Q6,"*Permanente*"),"x"," ")</f>
        <v xml:space="preserve"> </v>
      </c>
      <c r="O8" s="74" t="str">
        <f t="shared" ca="1" si="13"/>
        <v xml:space="preserve"> </v>
      </c>
      <c r="P8" s="74" t="str">
        <f t="shared" ca="1" si="14"/>
        <v xml:space="preserve"> </v>
      </c>
      <c r="Q8" s="74" t="str">
        <f t="shared" ca="1" si="15"/>
        <v xml:space="preserve"> </v>
      </c>
      <c r="R8" s="74" t="str">
        <f t="shared" ca="1" si="16"/>
        <v xml:space="preserve"> </v>
      </c>
      <c r="S8" s="74" t="str">
        <f t="shared" ca="1" si="17"/>
        <v xml:space="preserve"> </v>
      </c>
      <c r="T8" s="74" t="str">
        <f t="shared" ca="1" si="18"/>
        <v xml:space="preserve"> </v>
      </c>
      <c r="U8" s="74" t="str">
        <f t="shared" ca="1" si="19"/>
        <v xml:space="preserve"> </v>
      </c>
      <c r="V8" s="74" t="str">
        <f t="shared" ca="1" si="20"/>
        <v xml:space="preserve"> </v>
      </c>
      <c r="W8" s="74" t="str">
        <f t="shared" ca="1" si="21"/>
        <v xml:space="preserve"> </v>
      </c>
      <c r="X8" s="74" t="str">
        <f t="shared" ca="1" si="22"/>
        <v xml:space="preserve"> </v>
      </c>
      <c r="Y8" s="74" t="str">
        <f t="shared" ca="1" si="23"/>
        <v xml:space="preserve"> </v>
      </c>
      <c r="Z8" s="74" t="str">
        <f t="shared" ca="1" si="24"/>
        <v xml:space="preserve"> </v>
      </c>
      <c r="AA8" s="74" t="str">
        <f t="shared" ca="1" si="25"/>
        <v xml:space="preserve"> </v>
      </c>
      <c r="AB8" s="74" t="str">
        <f t="shared" ca="1" si="26"/>
        <v xml:space="preserve"> </v>
      </c>
      <c r="AC8" s="74" t="str">
        <f t="shared" ca="1" si="27"/>
        <v xml:space="preserve"> </v>
      </c>
      <c r="AD8" s="74" t="str">
        <f t="shared" ca="1" si="28"/>
        <v xml:space="preserve"> </v>
      </c>
      <c r="AE8" s="74" t="str">
        <f t="shared" ca="1" si="29"/>
        <v xml:space="preserve"> </v>
      </c>
      <c r="AF8" s="74" t="str">
        <f t="shared" ca="1" si="30"/>
        <v xml:space="preserve"> </v>
      </c>
      <c r="AG8" s="74" t="str">
        <f t="shared" ca="1" si="31"/>
        <v xml:space="preserve"> </v>
      </c>
      <c r="AH8" s="74" t="str">
        <f t="shared" ca="1" si="32"/>
        <v xml:space="preserve"> </v>
      </c>
      <c r="AI8" s="74" t="str">
        <f t="shared" ca="1" si="33"/>
        <v xml:space="preserve"> </v>
      </c>
      <c r="AJ8" s="74" t="str">
        <f t="shared" ca="1" si="34"/>
        <v xml:space="preserve"> </v>
      </c>
      <c r="AK8" s="74" t="str">
        <f t="shared" ca="1" si="35"/>
        <v xml:space="preserve"> </v>
      </c>
      <c r="AL8" s="74" t="str">
        <f t="shared" ca="1" si="36"/>
        <v xml:space="preserve"> </v>
      </c>
      <c r="AM8" s="74" t="str">
        <f t="shared" ca="1" si="37"/>
        <v xml:space="preserve"> </v>
      </c>
      <c r="AN8" s="74" t="str">
        <f t="shared" ca="1" si="38"/>
        <v xml:space="preserve"> </v>
      </c>
      <c r="AO8" s="74" t="str">
        <f t="shared" ca="1" si="39"/>
        <v xml:space="preserve"> </v>
      </c>
      <c r="AP8" s="74" t="str">
        <f t="shared" ca="1" si="40"/>
        <v xml:space="preserve"> </v>
      </c>
      <c r="AQ8" s="74" t="str">
        <f t="shared" ca="1" si="41"/>
        <v xml:space="preserve"> </v>
      </c>
      <c r="AR8" s="74" t="str">
        <f t="shared" ca="1" si="42"/>
        <v xml:space="preserve"> </v>
      </c>
      <c r="AS8" s="74" t="str">
        <f t="shared" ca="1" si="43"/>
        <v xml:space="preserve"> </v>
      </c>
      <c r="AT8" s="74" t="str">
        <f t="shared" ca="1" si="44"/>
        <v xml:space="preserve"> </v>
      </c>
      <c r="AU8" s="74" t="str">
        <f t="shared" ca="1" si="45"/>
        <v xml:space="preserve"> </v>
      </c>
      <c r="AV8" s="74" t="str">
        <f t="shared" ca="1" si="46"/>
        <v xml:space="preserve"> </v>
      </c>
      <c r="AW8" s="74" t="str">
        <f t="shared" ca="1" si="47"/>
        <v xml:space="preserve"> </v>
      </c>
      <c r="AX8" s="74" t="str">
        <f t="shared" ca="1" si="48"/>
        <v xml:space="preserve"> </v>
      </c>
      <c r="AY8" s="75" t="str">
        <f t="shared" ca="1" si="49"/>
        <v xml:space="preserve"> </v>
      </c>
      <c r="AZ8" s="73" t="str">
        <f t="shared" ca="1" si="50"/>
        <v xml:space="preserve"> </v>
      </c>
      <c r="BA8" s="73" t="str">
        <f t="shared" ca="1" si="51"/>
        <v xml:space="preserve"> </v>
      </c>
      <c r="BB8" s="73" t="str">
        <f t="shared" ca="1" si="52"/>
        <v xml:space="preserve"> </v>
      </c>
      <c r="BC8" s="73" t="str">
        <f ca="1">IF(COUNTIF(Conso!P6,"*Insuffisant*"),"x"," ")</f>
        <v xml:space="preserve"> </v>
      </c>
      <c r="BD8" s="73" t="str">
        <f ca="1">IF(COUNTIF(Conso!P6,"*Faible*"),"x"," ")</f>
        <v xml:space="preserve"> </v>
      </c>
      <c r="BE8" s="73" t="str">
        <f ca="1">IF(COUNTIF(Conso!P6,"*Acceptable*"),"x"," ")</f>
        <v xml:space="preserve"> </v>
      </c>
      <c r="BF8" s="73" t="str">
        <f ca="1">IF(COUNTIF(Conso!P6,"*Maîtrisé*"),"x"," ")</f>
        <v xml:space="preserve"> </v>
      </c>
      <c r="BG8" s="73" t="str">
        <f t="shared" ca="1" si="53"/>
        <v xml:space="preserve"> </v>
      </c>
      <c r="BH8" s="73" t="str">
        <f t="shared" ca="1" si="54"/>
        <v xml:space="preserve"> </v>
      </c>
      <c r="BI8" s="73" t="str">
        <f t="shared" ca="1" si="55"/>
        <v xml:space="preserve"> </v>
      </c>
      <c r="BJ8" s="73" t="str">
        <f t="shared" ca="1" si="56"/>
        <v xml:space="preserve"> </v>
      </c>
      <c r="BK8" s="73" t="str">
        <f t="shared" ca="1" si="57"/>
        <v xml:space="preserve"> </v>
      </c>
      <c r="BL8" s="73" t="str">
        <f t="shared" ca="1" si="58"/>
        <v xml:space="preserve"> </v>
      </c>
      <c r="BM8" s="73" t="str">
        <f t="shared" ca="1" si="59"/>
        <v xml:space="preserve"> </v>
      </c>
      <c r="BN8" s="73" t="str">
        <f t="shared" ca="1" si="60"/>
        <v xml:space="preserve"> </v>
      </c>
      <c r="BO8" s="73" t="str">
        <f t="shared" ca="1" si="61"/>
        <v xml:space="preserve"> </v>
      </c>
      <c r="BP8" s="73" t="str">
        <f t="shared" ca="1" si="62"/>
        <v xml:space="preserve"> </v>
      </c>
      <c r="BQ8" s="73" t="str">
        <f t="shared" ca="1" si="63"/>
        <v xml:space="preserve"> </v>
      </c>
      <c r="BR8" s="73" t="str">
        <f t="shared" ca="1" si="64"/>
        <v xml:space="preserve"> </v>
      </c>
      <c r="BS8" s="73" t="str">
        <f t="shared" ca="1" si="65"/>
        <v xml:space="preserve"> </v>
      </c>
      <c r="BT8" s="73" t="str">
        <f t="shared" ca="1" si="66"/>
        <v xml:space="preserve"> </v>
      </c>
      <c r="BU8" s="73" t="str">
        <f t="shared" ca="1" si="67"/>
        <v xml:space="preserve"> </v>
      </c>
      <c r="BV8" s="73" t="str">
        <f t="shared" ca="1" si="68"/>
        <v xml:space="preserve"> </v>
      </c>
      <c r="BW8" s="72" t="s">
        <v>899</v>
      </c>
    </row>
    <row r="9" spans="1:75" ht="25.5" customHeight="1">
      <c r="A9" s="211" t="s">
        <v>859</v>
      </c>
      <c r="B9" s="72" t="e">
        <f>#REF!</f>
        <v>#REF!</v>
      </c>
      <c r="C9" s="73" t="str">
        <f ca="1">IF(COUNTIF(Conso!R7,"*Marginal*"),"x"," ")</f>
        <v xml:space="preserve"> </v>
      </c>
      <c r="D9" s="73" t="str">
        <f ca="1">IF(COUNTIF(Conso!R7,"*Faible*"),"x"," ")</f>
        <v xml:space="preserve"> </v>
      </c>
      <c r="E9" s="73" t="str">
        <f ca="1">IF(COUNTIF(Conso!R7,"*Modéré*"),"x"," ")</f>
        <v xml:space="preserve"> </v>
      </c>
      <c r="F9" s="73" t="str">
        <f ca="1">IF(COUNTIF(Conso!R7,"*Elevé*"),"x"," ")</f>
        <v xml:space="preserve"> </v>
      </c>
      <c r="G9" s="73" t="str">
        <f ca="1">IF(COUNTIF(Conso!R7,"*Critique*"),"x"," ")</f>
        <v xml:space="preserve"> </v>
      </c>
      <c r="H9" s="73" t="str">
        <f ca="1">IF(COUNTIF(Conso!R7,"*Catastrophique*"),"x"," ")</f>
        <v xml:space="preserve"> </v>
      </c>
      <c r="I9" s="73" t="str">
        <f ca="1">IF(COUNTIF(Conso!Q7,"*Exceptionnelle*"),"x"," ")</f>
        <v xml:space="preserve"> </v>
      </c>
      <c r="J9" s="73" t="str">
        <f ca="1">IF(COUNTIF(Conso!Q7,"*Rare*"),"x"," ")</f>
        <v xml:space="preserve"> </v>
      </c>
      <c r="K9" s="73" t="str">
        <f ca="1">IF(COUNTIF(Conso!Q7,"*Modérée*"),"x"," ")</f>
        <v xml:space="preserve"> </v>
      </c>
      <c r="L9" s="73" t="str">
        <f ca="1">IF(COUNTIF(Conso!Q7,"*Elevée*"),"x"," ")</f>
        <v xml:space="preserve"> </v>
      </c>
      <c r="M9" s="73" t="str">
        <f ca="1">IF(COUNTIF(Conso!Q7,"*Récurrente*"),"x"," ")</f>
        <v xml:space="preserve"> </v>
      </c>
      <c r="N9" s="73" t="str">
        <f ca="1">IF(COUNTIF(Conso!Q7,"*Permanente*"),"x"," ")</f>
        <v xml:space="preserve"> </v>
      </c>
      <c r="O9" s="74" t="str">
        <f t="shared" ca="1" si="13"/>
        <v xml:space="preserve"> </v>
      </c>
      <c r="P9" s="74" t="str">
        <f t="shared" ca="1" si="14"/>
        <v xml:space="preserve"> </v>
      </c>
      <c r="Q9" s="74" t="str">
        <f t="shared" ca="1" si="15"/>
        <v xml:space="preserve"> </v>
      </c>
      <c r="R9" s="74" t="str">
        <f t="shared" ca="1" si="16"/>
        <v xml:space="preserve"> </v>
      </c>
      <c r="S9" s="74" t="str">
        <f t="shared" ca="1" si="17"/>
        <v xml:space="preserve"> </v>
      </c>
      <c r="T9" s="74" t="str">
        <f t="shared" ca="1" si="18"/>
        <v xml:space="preserve"> </v>
      </c>
      <c r="U9" s="74" t="str">
        <f t="shared" ca="1" si="19"/>
        <v xml:space="preserve"> </v>
      </c>
      <c r="V9" s="74" t="str">
        <f t="shared" ca="1" si="20"/>
        <v xml:space="preserve"> </v>
      </c>
      <c r="W9" s="74" t="str">
        <f t="shared" ca="1" si="21"/>
        <v xml:space="preserve"> </v>
      </c>
      <c r="X9" s="74" t="str">
        <f t="shared" ca="1" si="22"/>
        <v xml:space="preserve"> </v>
      </c>
      <c r="Y9" s="74" t="str">
        <f t="shared" ca="1" si="23"/>
        <v xml:space="preserve"> </v>
      </c>
      <c r="Z9" s="74" t="str">
        <f t="shared" ca="1" si="24"/>
        <v xml:space="preserve"> </v>
      </c>
      <c r="AA9" s="74" t="str">
        <f t="shared" ca="1" si="25"/>
        <v xml:space="preserve"> </v>
      </c>
      <c r="AB9" s="74" t="str">
        <f t="shared" ca="1" si="26"/>
        <v xml:space="preserve"> </v>
      </c>
      <c r="AC9" s="74" t="str">
        <f t="shared" ca="1" si="27"/>
        <v xml:space="preserve"> </v>
      </c>
      <c r="AD9" s="74" t="str">
        <f t="shared" ca="1" si="28"/>
        <v xml:space="preserve"> </v>
      </c>
      <c r="AE9" s="74" t="str">
        <f t="shared" ca="1" si="29"/>
        <v xml:space="preserve"> </v>
      </c>
      <c r="AF9" s="74" t="str">
        <f t="shared" ca="1" si="30"/>
        <v xml:space="preserve"> </v>
      </c>
      <c r="AG9" s="74" t="str">
        <f t="shared" ca="1" si="31"/>
        <v xml:space="preserve"> </v>
      </c>
      <c r="AH9" s="74" t="str">
        <f t="shared" ca="1" si="32"/>
        <v xml:space="preserve"> </v>
      </c>
      <c r="AI9" s="74" t="str">
        <f t="shared" ca="1" si="33"/>
        <v xml:space="preserve"> </v>
      </c>
      <c r="AJ9" s="74" t="str">
        <f t="shared" ca="1" si="34"/>
        <v xml:space="preserve"> </v>
      </c>
      <c r="AK9" s="74" t="str">
        <f t="shared" ca="1" si="35"/>
        <v xml:space="preserve"> </v>
      </c>
      <c r="AL9" s="74" t="str">
        <f t="shared" ca="1" si="36"/>
        <v xml:space="preserve"> </v>
      </c>
      <c r="AM9" s="74" t="str">
        <f t="shared" ca="1" si="37"/>
        <v xml:space="preserve"> </v>
      </c>
      <c r="AN9" s="74" t="str">
        <f t="shared" ca="1" si="38"/>
        <v xml:space="preserve"> </v>
      </c>
      <c r="AO9" s="74" t="str">
        <f t="shared" ca="1" si="39"/>
        <v xml:space="preserve"> </v>
      </c>
      <c r="AP9" s="74" t="str">
        <f t="shared" ca="1" si="40"/>
        <v xml:space="preserve"> </v>
      </c>
      <c r="AQ9" s="74" t="str">
        <f t="shared" ca="1" si="41"/>
        <v xml:space="preserve"> </v>
      </c>
      <c r="AR9" s="74" t="str">
        <f t="shared" ca="1" si="42"/>
        <v xml:space="preserve"> </v>
      </c>
      <c r="AS9" s="74" t="str">
        <f t="shared" ca="1" si="43"/>
        <v xml:space="preserve"> </v>
      </c>
      <c r="AT9" s="74" t="str">
        <f t="shared" ca="1" si="44"/>
        <v xml:space="preserve"> </v>
      </c>
      <c r="AU9" s="74" t="str">
        <f t="shared" ca="1" si="45"/>
        <v xml:space="preserve"> </v>
      </c>
      <c r="AV9" s="74" t="str">
        <f t="shared" ca="1" si="46"/>
        <v xml:space="preserve"> </v>
      </c>
      <c r="AW9" s="74" t="str">
        <f t="shared" ca="1" si="47"/>
        <v xml:space="preserve"> </v>
      </c>
      <c r="AX9" s="74" t="str">
        <f t="shared" ca="1" si="48"/>
        <v xml:space="preserve"> </v>
      </c>
      <c r="AY9" s="75" t="str">
        <f t="shared" ca="1" si="49"/>
        <v xml:space="preserve"> </v>
      </c>
      <c r="AZ9" s="73" t="str">
        <f t="shared" ca="1" si="50"/>
        <v xml:space="preserve"> </v>
      </c>
      <c r="BA9" s="73" t="str">
        <f t="shared" ca="1" si="51"/>
        <v xml:space="preserve"> </v>
      </c>
      <c r="BB9" s="73" t="str">
        <f t="shared" ca="1" si="52"/>
        <v xml:space="preserve"> </v>
      </c>
      <c r="BC9" s="73" t="str">
        <f ca="1">IF(COUNTIF(Conso!P7,"*Insuffisant*"),"x"," ")</f>
        <v xml:space="preserve"> </v>
      </c>
      <c r="BD9" s="73" t="str">
        <f ca="1">IF(COUNTIF(Conso!P7,"*Faible*"),"x"," ")</f>
        <v xml:space="preserve"> </v>
      </c>
      <c r="BE9" s="73" t="str">
        <f ca="1">IF(COUNTIF(Conso!P7,"*Acceptable*"),"x"," ")</f>
        <v xml:space="preserve"> </v>
      </c>
      <c r="BF9" s="73" t="str">
        <f ca="1">IF(COUNTIF(Conso!P7,"*Maîtrisé*"),"x"," ")</f>
        <v xml:space="preserve"> </v>
      </c>
      <c r="BG9" s="73" t="str">
        <f t="shared" ca="1" si="53"/>
        <v xml:space="preserve"> </v>
      </c>
      <c r="BH9" s="73" t="str">
        <f t="shared" ca="1" si="54"/>
        <v xml:space="preserve"> </v>
      </c>
      <c r="BI9" s="73" t="str">
        <f t="shared" ca="1" si="55"/>
        <v xml:space="preserve"> </v>
      </c>
      <c r="BJ9" s="73" t="str">
        <f t="shared" ca="1" si="56"/>
        <v xml:space="preserve"> </v>
      </c>
      <c r="BK9" s="73" t="str">
        <f t="shared" ca="1" si="57"/>
        <v xml:space="preserve"> </v>
      </c>
      <c r="BL9" s="73" t="str">
        <f t="shared" ca="1" si="58"/>
        <v xml:space="preserve"> </v>
      </c>
      <c r="BM9" s="73" t="str">
        <f t="shared" ca="1" si="59"/>
        <v xml:space="preserve"> </v>
      </c>
      <c r="BN9" s="73" t="str">
        <f t="shared" ca="1" si="60"/>
        <v xml:space="preserve"> </v>
      </c>
      <c r="BO9" s="73" t="str">
        <f t="shared" ca="1" si="61"/>
        <v xml:space="preserve"> </v>
      </c>
      <c r="BP9" s="73" t="str">
        <f t="shared" ca="1" si="62"/>
        <v xml:space="preserve"> </v>
      </c>
      <c r="BQ9" s="73" t="str">
        <f t="shared" ca="1" si="63"/>
        <v xml:space="preserve"> </v>
      </c>
      <c r="BR9" s="73" t="str">
        <f t="shared" ca="1" si="64"/>
        <v xml:space="preserve"> </v>
      </c>
      <c r="BS9" s="73" t="str">
        <f t="shared" ca="1" si="65"/>
        <v xml:space="preserve"> </v>
      </c>
      <c r="BT9" s="73" t="str">
        <f t="shared" ca="1" si="66"/>
        <v xml:space="preserve"> </v>
      </c>
      <c r="BU9" s="73" t="str">
        <f t="shared" ca="1" si="67"/>
        <v xml:space="preserve"> </v>
      </c>
      <c r="BV9" s="73" t="str">
        <f t="shared" ca="1" si="68"/>
        <v xml:space="preserve"> </v>
      </c>
      <c r="BW9" s="72" t="s">
        <v>900</v>
      </c>
    </row>
    <row r="10" spans="1:75" ht="33.75" customHeight="1">
      <c r="A10" s="211" t="s">
        <v>860</v>
      </c>
      <c r="B10" s="72" t="e">
        <f>#REF!</f>
        <v>#REF!</v>
      </c>
      <c r="C10" s="73" t="str">
        <f ca="1">IF(COUNTIF(Conso!R8,"*Marginal*"),"x"," ")</f>
        <v xml:space="preserve"> </v>
      </c>
      <c r="D10" s="73" t="str">
        <f ca="1">IF(COUNTIF(Conso!R8,"*Faible*"),"x"," ")</f>
        <v xml:space="preserve"> </v>
      </c>
      <c r="E10" s="73" t="str">
        <f ca="1">IF(COUNTIF(Conso!R8,"*Modéré*"),"x"," ")</f>
        <v xml:space="preserve"> </v>
      </c>
      <c r="F10" s="73" t="str">
        <f ca="1">IF(COUNTIF(Conso!R8,"*Elevé*"),"x"," ")</f>
        <v xml:space="preserve"> </v>
      </c>
      <c r="G10" s="73" t="str">
        <f ca="1">IF(COUNTIF(Conso!R8,"*Critique*"),"x"," ")</f>
        <v xml:space="preserve"> </v>
      </c>
      <c r="H10" s="73" t="str">
        <f ca="1">IF(COUNTIF(Conso!R8,"*Catastrophique*"),"x"," ")</f>
        <v xml:space="preserve"> </v>
      </c>
      <c r="I10" s="73" t="str">
        <f ca="1">IF(COUNTIF(Conso!Q8,"*Exceptionnelle*"),"x"," ")</f>
        <v xml:space="preserve"> </v>
      </c>
      <c r="J10" s="73" t="str">
        <f ca="1">IF(COUNTIF(Conso!Q8,"*Rare*"),"x"," ")</f>
        <v xml:space="preserve"> </v>
      </c>
      <c r="K10" s="73" t="str">
        <f ca="1">IF(COUNTIF(Conso!Q8,"*Modérée*"),"x"," ")</f>
        <v xml:space="preserve"> </v>
      </c>
      <c r="L10" s="73" t="str">
        <f ca="1">IF(COUNTIF(Conso!Q8,"*Elevée*"),"x"," ")</f>
        <v xml:space="preserve"> </v>
      </c>
      <c r="M10" s="73" t="str">
        <f ca="1">IF(COUNTIF(Conso!Q8,"*Récurrente*"),"x"," ")</f>
        <v xml:space="preserve"> </v>
      </c>
      <c r="N10" s="73" t="str">
        <f ca="1">IF(COUNTIF(Conso!Q8,"*Permanente*"),"x"," ")</f>
        <v xml:space="preserve"> </v>
      </c>
      <c r="O10" s="74" t="str">
        <f t="shared" ca="1" si="13"/>
        <v xml:space="preserve"> </v>
      </c>
      <c r="P10" s="74" t="str">
        <f t="shared" ca="1" si="14"/>
        <v xml:space="preserve"> </v>
      </c>
      <c r="Q10" s="74" t="str">
        <f t="shared" ca="1" si="15"/>
        <v xml:space="preserve"> </v>
      </c>
      <c r="R10" s="74" t="str">
        <f t="shared" ca="1" si="16"/>
        <v xml:space="preserve"> </v>
      </c>
      <c r="S10" s="74" t="str">
        <f t="shared" ca="1" si="17"/>
        <v xml:space="preserve"> </v>
      </c>
      <c r="T10" s="74" t="str">
        <f t="shared" ca="1" si="18"/>
        <v xml:space="preserve"> </v>
      </c>
      <c r="U10" s="74" t="str">
        <f t="shared" ca="1" si="19"/>
        <v xml:space="preserve"> </v>
      </c>
      <c r="V10" s="74" t="str">
        <f t="shared" ca="1" si="20"/>
        <v xml:space="preserve"> </v>
      </c>
      <c r="W10" s="74" t="str">
        <f t="shared" ca="1" si="21"/>
        <v xml:space="preserve"> </v>
      </c>
      <c r="X10" s="74" t="str">
        <f t="shared" ca="1" si="22"/>
        <v xml:space="preserve"> </v>
      </c>
      <c r="Y10" s="74" t="str">
        <f t="shared" ca="1" si="23"/>
        <v xml:space="preserve"> </v>
      </c>
      <c r="Z10" s="74" t="str">
        <f t="shared" ca="1" si="24"/>
        <v xml:space="preserve"> </v>
      </c>
      <c r="AA10" s="74" t="str">
        <f t="shared" ca="1" si="25"/>
        <v xml:space="preserve"> </v>
      </c>
      <c r="AB10" s="74" t="str">
        <f t="shared" ca="1" si="26"/>
        <v xml:space="preserve"> </v>
      </c>
      <c r="AC10" s="74" t="str">
        <f t="shared" ca="1" si="27"/>
        <v xml:space="preserve"> </v>
      </c>
      <c r="AD10" s="74" t="str">
        <f t="shared" ca="1" si="28"/>
        <v xml:space="preserve"> </v>
      </c>
      <c r="AE10" s="74" t="str">
        <f t="shared" ca="1" si="29"/>
        <v xml:space="preserve"> </v>
      </c>
      <c r="AF10" s="74" t="str">
        <f t="shared" ca="1" si="30"/>
        <v xml:space="preserve"> </v>
      </c>
      <c r="AG10" s="74" t="str">
        <f t="shared" ca="1" si="31"/>
        <v xml:space="preserve"> </v>
      </c>
      <c r="AH10" s="74" t="str">
        <f t="shared" ca="1" si="32"/>
        <v xml:space="preserve"> </v>
      </c>
      <c r="AI10" s="74" t="str">
        <f t="shared" ca="1" si="33"/>
        <v xml:space="preserve"> </v>
      </c>
      <c r="AJ10" s="74" t="str">
        <f t="shared" ca="1" si="34"/>
        <v xml:space="preserve"> </v>
      </c>
      <c r="AK10" s="74" t="str">
        <f t="shared" ca="1" si="35"/>
        <v xml:space="preserve"> </v>
      </c>
      <c r="AL10" s="74" t="str">
        <f t="shared" ca="1" si="36"/>
        <v xml:space="preserve"> </v>
      </c>
      <c r="AM10" s="74" t="str">
        <f t="shared" ca="1" si="37"/>
        <v xml:space="preserve"> </v>
      </c>
      <c r="AN10" s="74" t="str">
        <f t="shared" ca="1" si="38"/>
        <v xml:space="preserve"> </v>
      </c>
      <c r="AO10" s="74" t="str">
        <f t="shared" ca="1" si="39"/>
        <v xml:space="preserve"> </v>
      </c>
      <c r="AP10" s="74" t="str">
        <f t="shared" ca="1" si="40"/>
        <v xml:space="preserve"> </v>
      </c>
      <c r="AQ10" s="74" t="str">
        <f t="shared" ca="1" si="41"/>
        <v xml:space="preserve"> </v>
      </c>
      <c r="AR10" s="74" t="str">
        <f t="shared" ca="1" si="42"/>
        <v xml:space="preserve"> </v>
      </c>
      <c r="AS10" s="74" t="str">
        <f t="shared" ca="1" si="43"/>
        <v xml:space="preserve"> </v>
      </c>
      <c r="AT10" s="74" t="str">
        <f t="shared" ca="1" si="44"/>
        <v xml:space="preserve"> </v>
      </c>
      <c r="AU10" s="74" t="str">
        <f t="shared" ca="1" si="45"/>
        <v xml:space="preserve"> </v>
      </c>
      <c r="AV10" s="74" t="str">
        <f t="shared" ca="1" si="46"/>
        <v xml:space="preserve"> </v>
      </c>
      <c r="AW10" s="74" t="str">
        <f t="shared" ca="1" si="47"/>
        <v xml:space="preserve"> </v>
      </c>
      <c r="AX10" s="74" t="str">
        <f t="shared" ca="1" si="48"/>
        <v xml:space="preserve"> </v>
      </c>
      <c r="AY10" s="75" t="str">
        <f t="shared" ca="1" si="49"/>
        <v xml:space="preserve"> </v>
      </c>
      <c r="AZ10" s="73" t="str">
        <f t="shared" ca="1" si="50"/>
        <v xml:space="preserve"> </v>
      </c>
      <c r="BA10" s="73" t="str">
        <f t="shared" ca="1" si="51"/>
        <v xml:space="preserve"> </v>
      </c>
      <c r="BB10" s="73" t="str">
        <f t="shared" ca="1" si="52"/>
        <v xml:space="preserve"> </v>
      </c>
      <c r="BC10" s="73" t="str">
        <f ca="1">IF(COUNTIF(Conso!P8,"*Insuffisant*"),"x"," ")</f>
        <v xml:space="preserve"> </v>
      </c>
      <c r="BD10" s="73" t="str">
        <f ca="1">IF(COUNTIF(Conso!P8,"*Faible*"),"x"," ")</f>
        <v xml:space="preserve"> </v>
      </c>
      <c r="BE10" s="73" t="str">
        <f ca="1">IF(COUNTIF(Conso!P8,"*Acceptable*"),"x"," ")</f>
        <v xml:space="preserve"> </v>
      </c>
      <c r="BF10" s="73" t="str">
        <f ca="1">IF(COUNTIF(Conso!P8,"*Maîtrisé*"),"x"," ")</f>
        <v xml:space="preserve"> </v>
      </c>
      <c r="BG10" s="73" t="str">
        <f t="shared" ca="1" si="53"/>
        <v xml:space="preserve"> </v>
      </c>
      <c r="BH10" s="73" t="str">
        <f t="shared" ca="1" si="54"/>
        <v xml:space="preserve"> </v>
      </c>
      <c r="BI10" s="73" t="str">
        <f t="shared" ca="1" si="55"/>
        <v xml:space="preserve"> </v>
      </c>
      <c r="BJ10" s="73" t="str">
        <f t="shared" ca="1" si="56"/>
        <v xml:space="preserve"> </v>
      </c>
      <c r="BK10" s="73" t="str">
        <f t="shared" ca="1" si="57"/>
        <v xml:space="preserve"> </v>
      </c>
      <c r="BL10" s="73" t="str">
        <f t="shared" ca="1" si="58"/>
        <v xml:space="preserve"> </v>
      </c>
      <c r="BM10" s="73" t="str">
        <f t="shared" ca="1" si="59"/>
        <v xml:space="preserve"> </v>
      </c>
      <c r="BN10" s="73" t="str">
        <f t="shared" ca="1" si="60"/>
        <v xml:space="preserve"> </v>
      </c>
      <c r="BO10" s="73" t="str">
        <f t="shared" ca="1" si="61"/>
        <v xml:space="preserve"> </v>
      </c>
      <c r="BP10" s="73" t="str">
        <f t="shared" ca="1" si="62"/>
        <v xml:space="preserve"> </v>
      </c>
      <c r="BQ10" s="73" t="str">
        <f t="shared" ca="1" si="63"/>
        <v xml:space="preserve"> </v>
      </c>
      <c r="BR10" s="73" t="str">
        <f t="shared" ca="1" si="64"/>
        <v xml:space="preserve"> </v>
      </c>
      <c r="BS10" s="73" t="str">
        <f t="shared" ca="1" si="65"/>
        <v xml:space="preserve"> </v>
      </c>
      <c r="BT10" s="73" t="str">
        <f t="shared" ca="1" si="66"/>
        <v xml:space="preserve"> </v>
      </c>
      <c r="BU10" s="73" t="str">
        <f t="shared" ca="1" si="67"/>
        <v xml:space="preserve"> </v>
      </c>
      <c r="BV10" s="73" t="str">
        <f t="shared" ca="1" si="68"/>
        <v xml:space="preserve"> </v>
      </c>
      <c r="BW10" s="72" t="s">
        <v>901</v>
      </c>
    </row>
    <row r="11" spans="1:75" ht="43.5" customHeight="1">
      <c r="A11" s="211" t="s">
        <v>861</v>
      </c>
      <c r="B11" s="72" t="e">
        <f>#REF!</f>
        <v>#REF!</v>
      </c>
      <c r="C11" s="73" t="str">
        <f ca="1">IF(COUNTIF(Conso!R9,"*Marginal*"),"x"," ")</f>
        <v xml:space="preserve"> </v>
      </c>
      <c r="D11" s="73" t="str">
        <f ca="1">IF(COUNTIF(Conso!R9,"*Faible*"),"x"," ")</f>
        <v xml:space="preserve"> </v>
      </c>
      <c r="E11" s="73" t="str">
        <f ca="1">IF(COUNTIF(Conso!R9,"*Modéré*"),"x"," ")</f>
        <v xml:space="preserve"> </v>
      </c>
      <c r="F11" s="73" t="str">
        <f ca="1">IF(COUNTIF(Conso!R9,"*Elevé*"),"x"," ")</f>
        <v xml:space="preserve"> </v>
      </c>
      <c r="G11" s="73" t="str">
        <f ca="1">IF(COUNTIF(Conso!R9,"*Critique*"),"x"," ")</f>
        <v xml:space="preserve"> </v>
      </c>
      <c r="H11" s="73" t="str">
        <f ca="1">IF(COUNTIF(Conso!R9,"*Catastrophique*"),"x"," ")</f>
        <v xml:space="preserve"> </v>
      </c>
      <c r="I11" s="73" t="str">
        <f ca="1">IF(COUNTIF(Conso!Q9,"*Exceptionnelle*"),"x"," ")</f>
        <v xml:space="preserve"> </v>
      </c>
      <c r="J11" s="73" t="str">
        <f ca="1">IF(COUNTIF(Conso!Q9,"*Rare*"),"x"," ")</f>
        <v xml:space="preserve"> </v>
      </c>
      <c r="K11" s="73" t="str">
        <f ca="1">IF(COUNTIF(Conso!Q9,"*Modérée*"),"x"," ")</f>
        <v xml:space="preserve"> </v>
      </c>
      <c r="L11" s="73" t="str">
        <f ca="1">IF(COUNTIF(Conso!Q9,"*Elevée*"),"x"," ")</f>
        <v xml:space="preserve"> </v>
      </c>
      <c r="M11" s="73" t="str">
        <f ca="1">IF(COUNTIF(Conso!Q9,"*Récurrente*"),"x"," ")</f>
        <v xml:space="preserve"> </v>
      </c>
      <c r="N11" s="73" t="str">
        <f ca="1">IF(COUNTIF(Conso!Q9,"*Permanente*"),"x"," ")</f>
        <v xml:space="preserve"> </v>
      </c>
      <c r="O11" s="74" t="str">
        <f t="shared" ca="1" si="13"/>
        <v xml:space="preserve"> </v>
      </c>
      <c r="P11" s="74" t="str">
        <f t="shared" ca="1" si="14"/>
        <v xml:space="preserve"> </v>
      </c>
      <c r="Q11" s="74" t="str">
        <f t="shared" ca="1" si="15"/>
        <v xml:space="preserve"> </v>
      </c>
      <c r="R11" s="74" t="str">
        <f t="shared" ca="1" si="16"/>
        <v xml:space="preserve"> </v>
      </c>
      <c r="S11" s="74" t="str">
        <f t="shared" ca="1" si="17"/>
        <v xml:space="preserve"> </v>
      </c>
      <c r="T11" s="74" t="str">
        <f t="shared" ca="1" si="18"/>
        <v xml:space="preserve"> </v>
      </c>
      <c r="U11" s="74" t="str">
        <f t="shared" ca="1" si="19"/>
        <v xml:space="preserve"> </v>
      </c>
      <c r="V11" s="74" t="str">
        <f t="shared" ca="1" si="20"/>
        <v xml:space="preserve"> </v>
      </c>
      <c r="W11" s="74" t="str">
        <f t="shared" ca="1" si="21"/>
        <v xml:space="preserve"> </v>
      </c>
      <c r="X11" s="74" t="str">
        <f t="shared" ca="1" si="22"/>
        <v xml:space="preserve"> </v>
      </c>
      <c r="Y11" s="74" t="str">
        <f t="shared" ca="1" si="23"/>
        <v xml:space="preserve"> </v>
      </c>
      <c r="Z11" s="74" t="str">
        <f t="shared" ca="1" si="24"/>
        <v xml:space="preserve"> </v>
      </c>
      <c r="AA11" s="74" t="str">
        <f t="shared" ca="1" si="25"/>
        <v xml:space="preserve"> </v>
      </c>
      <c r="AB11" s="74" t="str">
        <f t="shared" ca="1" si="26"/>
        <v xml:space="preserve"> </v>
      </c>
      <c r="AC11" s="74" t="str">
        <f t="shared" ca="1" si="27"/>
        <v xml:space="preserve"> </v>
      </c>
      <c r="AD11" s="74" t="str">
        <f t="shared" ca="1" si="28"/>
        <v xml:space="preserve"> </v>
      </c>
      <c r="AE11" s="74" t="str">
        <f t="shared" ca="1" si="29"/>
        <v xml:space="preserve"> </v>
      </c>
      <c r="AF11" s="74" t="str">
        <f t="shared" ca="1" si="30"/>
        <v xml:space="preserve"> </v>
      </c>
      <c r="AG11" s="74" t="str">
        <f t="shared" ca="1" si="31"/>
        <v xml:space="preserve"> </v>
      </c>
      <c r="AH11" s="74" t="str">
        <f t="shared" ca="1" si="32"/>
        <v xml:space="preserve"> </v>
      </c>
      <c r="AI11" s="74" t="str">
        <f t="shared" ca="1" si="33"/>
        <v xml:space="preserve"> </v>
      </c>
      <c r="AJ11" s="74" t="str">
        <f t="shared" ca="1" si="34"/>
        <v xml:space="preserve"> </v>
      </c>
      <c r="AK11" s="74" t="str">
        <f t="shared" ca="1" si="35"/>
        <v xml:space="preserve"> </v>
      </c>
      <c r="AL11" s="74" t="str">
        <f t="shared" ca="1" si="36"/>
        <v xml:space="preserve"> </v>
      </c>
      <c r="AM11" s="74" t="str">
        <f t="shared" ca="1" si="37"/>
        <v xml:space="preserve"> </v>
      </c>
      <c r="AN11" s="74" t="str">
        <f t="shared" ca="1" si="38"/>
        <v xml:space="preserve"> </v>
      </c>
      <c r="AO11" s="74" t="str">
        <f t="shared" ca="1" si="39"/>
        <v xml:space="preserve"> </v>
      </c>
      <c r="AP11" s="74" t="str">
        <f t="shared" ca="1" si="40"/>
        <v xml:space="preserve"> </v>
      </c>
      <c r="AQ11" s="74" t="str">
        <f t="shared" ca="1" si="41"/>
        <v xml:space="preserve"> </v>
      </c>
      <c r="AR11" s="74" t="str">
        <f t="shared" ca="1" si="42"/>
        <v xml:space="preserve"> </v>
      </c>
      <c r="AS11" s="74" t="str">
        <f t="shared" ca="1" si="43"/>
        <v xml:space="preserve"> </v>
      </c>
      <c r="AT11" s="74" t="str">
        <f t="shared" ca="1" si="44"/>
        <v xml:space="preserve"> </v>
      </c>
      <c r="AU11" s="74" t="str">
        <f t="shared" ca="1" si="45"/>
        <v xml:space="preserve"> </v>
      </c>
      <c r="AV11" s="74" t="str">
        <f t="shared" ca="1" si="46"/>
        <v xml:space="preserve"> </v>
      </c>
      <c r="AW11" s="74" t="str">
        <f t="shared" ca="1" si="47"/>
        <v xml:space="preserve"> </v>
      </c>
      <c r="AX11" s="74" t="str">
        <f t="shared" ca="1" si="48"/>
        <v xml:space="preserve"> </v>
      </c>
      <c r="AY11" s="75" t="str">
        <f t="shared" ca="1" si="49"/>
        <v xml:space="preserve"> </v>
      </c>
      <c r="AZ11" s="73" t="str">
        <f t="shared" ca="1" si="50"/>
        <v xml:space="preserve"> </v>
      </c>
      <c r="BA11" s="73" t="str">
        <f t="shared" ca="1" si="51"/>
        <v xml:space="preserve"> </v>
      </c>
      <c r="BB11" s="73" t="str">
        <f t="shared" ca="1" si="52"/>
        <v xml:space="preserve"> </v>
      </c>
      <c r="BC11" s="73" t="str">
        <f ca="1">IF(COUNTIF(Conso!P9,"*Insuffisant*"),"x"," ")</f>
        <v xml:space="preserve"> </v>
      </c>
      <c r="BD11" s="73" t="str">
        <f ca="1">IF(COUNTIF(Conso!P9,"*Faible*"),"x"," ")</f>
        <v xml:space="preserve"> </v>
      </c>
      <c r="BE11" s="73" t="str">
        <f ca="1">IF(COUNTIF(Conso!P9,"*Acceptable*"),"x"," ")</f>
        <v xml:space="preserve"> </v>
      </c>
      <c r="BF11" s="73" t="str">
        <f ca="1">IF(COUNTIF(Conso!P9,"*Maîtrisé*"),"x"," ")</f>
        <v xml:space="preserve"> </v>
      </c>
      <c r="BG11" s="73" t="str">
        <f t="shared" ca="1" si="53"/>
        <v xml:space="preserve"> </v>
      </c>
      <c r="BH11" s="73" t="str">
        <f t="shared" ca="1" si="54"/>
        <v xml:space="preserve"> </v>
      </c>
      <c r="BI11" s="73" t="str">
        <f t="shared" ca="1" si="55"/>
        <v xml:space="preserve"> </v>
      </c>
      <c r="BJ11" s="73" t="str">
        <f t="shared" ca="1" si="56"/>
        <v xml:space="preserve"> </v>
      </c>
      <c r="BK11" s="73" t="str">
        <f t="shared" ca="1" si="57"/>
        <v xml:space="preserve"> </v>
      </c>
      <c r="BL11" s="73" t="str">
        <f t="shared" ca="1" si="58"/>
        <v xml:space="preserve"> </v>
      </c>
      <c r="BM11" s="73" t="str">
        <f t="shared" ca="1" si="59"/>
        <v xml:space="preserve"> </v>
      </c>
      <c r="BN11" s="73" t="str">
        <f t="shared" ca="1" si="60"/>
        <v xml:space="preserve"> </v>
      </c>
      <c r="BO11" s="73" t="str">
        <f t="shared" ca="1" si="61"/>
        <v xml:space="preserve"> </v>
      </c>
      <c r="BP11" s="73" t="str">
        <f t="shared" ca="1" si="62"/>
        <v xml:space="preserve"> </v>
      </c>
      <c r="BQ11" s="73" t="str">
        <f t="shared" ca="1" si="63"/>
        <v xml:space="preserve"> </v>
      </c>
      <c r="BR11" s="73" t="str">
        <f t="shared" ca="1" si="64"/>
        <v xml:space="preserve"> </v>
      </c>
      <c r="BS11" s="73" t="str">
        <f t="shared" ca="1" si="65"/>
        <v xml:space="preserve"> </v>
      </c>
      <c r="BT11" s="73" t="str">
        <f t="shared" ca="1" si="66"/>
        <v xml:space="preserve"> </v>
      </c>
      <c r="BU11" s="73" t="str">
        <f t="shared" ca="1" si="67"/>
        <v xml:space="preserve"> </v>
      </c>
      <c r="BV11" s="73" t="str">
        <f t="shared" ca="1" si="68"/>
        <v xml:space="preserve"> </v>
      </c>
      <c r="BW11" s="72" t="s">
        <v>902</v>
      </c>
    </row>
    <row r="12" spans="1:75" ht="37.5" customHeight="1">
      <c r="A12" s="211" t="s">
        <v>862</v>
      </c>
      <c r="B12" s="72" t="e">
        <f>#REF!</f>
        <v>#REF!</v>
      </c>
      <c r="C12" s="73" t="str">
        <f ca="1">IF(COUNTIF(Conso!R10,"*Marginal*"),"x"," ")</f>
        <v xml:space="preserve"> </v>
      </c>
      <c r="D12" s="73" t="str">
        <f ca="1">IF(COUNTIF(Conso!R10,"*Faible*"),"x"," ")</f>
        <v xml:space="preserve"> </v>
      </c>
      <c r="E12" s="73" t="str">
        <f ca="1">IF(COUNTIF(Conso!R10,"*Modéré*"),"x"," ")</f>
        <v xml:space="preserve"> </v>
      </c>
      <c r="F12" s="73" t="str">
        <f ca="1">IF(COUNTIF(Conso!R10,"*Elevé*"),"x"," ")</f>
        <v xml:space="preserve"> </v>
      </c>
      <c r="G12" s="73" t="str">
        <f ca="1">IF(COUNTIF(Conso!R10,"*Critique*"),"x"," ")</f>
        <v xml:space="preserve"> </v>
      </c>
      <c r="H12" s="73" t="str">
        <f ca="1">IF(COUNTIF(Conso!R10,"*Catastrophique*"),"x"," ")</f>
        <v xml:space="preserve"> </v>
      </c>
      <c r="I12" s="73" t="str">
        <f ca="1">IF(COUNTIF(Conso!Q10,"*Exceptionnelle*"),"x"," ")</f>
        <v xml:space="preserve"> </v>
      </c>
      <c r="J12" s="73" t="str">
        <f ca="1">IF(COUNTIF(Conso!Q10,"*Rare*"),"x"," ")</f>
        <v xml:space="preserve"> </v>
      </c>
      <c r="K12" s="73" t="str">
        <f ca="1">IF(COUNTIF(Conso!Q10,"*Modérée*"),"x"," ")</f>
        <v xml:space="preserve"> </v>
      </c>
      <c r="L12" s="73" t="str">
        <f ca="1">IF(COUNTIF(Conso!Q10,"*Elevée*"),"x"," ")</f>
        <v xml:space="preserve"> </v>
      </c>
      <c r="M12" s="73" t="str">
        <f ca="1">IF(COUNTIF(Conso!Q10,"*Récurrente*"),"x"," ")</f>
        <v xml:space="preserve"> </v>
      </c>
      <c r="N12" s="73" t="str">
        <f ca="1">IF(COUNTIF(Conso!Q10,"*Permanente*"),"x"," ")</f>
        <v xml:space="preserve"> </v>
      </c>
      <c r="O12" s="74" t="str">
        <f t="shared" ca="1" si="13"/>
        <v xml:space="preserve"> </v>
      </c>
      <c r="P12" s="74" t="str">
        <f t="shared" ca="1" si="14"/>
        <v xml:space="preserve"> </v>
      </c>
      <c r="Q12" s="74" t="str">
        <f t="shared" ca="1" si="15"/>
        <v xml:space="preserve"> </v>
      </c>
      <c r="R12" s="74" t="str">
        <f t="shared" ca="1" si="16"/>
        <v xml:space="preserve"> </v>
      </c>
      <c r="S12" s="74" t="str">
        <f t="shared" ca="1" si="17"/>
        <v xml:space="preserve"> </v>
      </c>
      <c r="T12" s="74" t="str">
        <f t="shared" ca="1" si="18"/>
        <v xml:space="preserve"> </v>
      </c>
      <c r="U12" s="74" t="str">
        <f t="shared" ca="1" si="19"/>
        <v xml:space="preserve"> </v>
      </c>
      <c r="V12" s="74" t="str">
        <f t="shared" ca="1" si="20"/>
        <v xml:space="preserve"> </v>
      </c>
      <c r="W12" s="74" t="str">
        <f t="shared" ca="1" si="21"/>
        <v xml:space="preserve"> </v>
      </c>
      <c r="X12" s="74" t="str">
        <f t="shared" ca="1" si="22"/>
        <v xml:space="preserve"> </v>
      </c>
      <c r="Y12" s="74" t="str">
        <f t="shared" ca="1" si="23"/>
        <v xml:space="preserve"> </v>
      </c>
      <c r="Z12" s="74" t="str">
        <f t="shared" ca="1" si="24"/>
        <v xml:space="preserve"> </v>
      </c>
      <c r="AA12" s="74" t="str">
        <f t="shared" ca="1" si="25"/>
        <v xml:space="preserve"> </v>
      </c>
      <c r="AB12" s="74" t="str">
        <f t="shared" ca="1" si="26"/>
        <v xml:space="preserve"> </v>
      </c>
      <c r="AC12" s="74" t="str">
        <f t="shared" ca="1" si="27"/>
        <v xml:space="preserve"> </v>
      </c>
      <c r="AD12" s="74" t="str">
        <f t="shared" ca="1" si="28"/>
        <v xml:space="preserve"> </v>
      </c>
      <c r="AE12" s="74" t="str">
        <f t="shared" ca="1" si="29"/>
        <v xml:space="preserve"> </v>
      </c>
      <c r="AF12" s="74" t="str">
        <f t="shared" ca="1" si="30"/>
        <v xml:space="preserve"> </v>
      </c>
      <c r="AG12" s="74" t="str">
        <f t="shared" ca="1" si="31"/>
        <v xml:space="preserve"> </v>
      </c>
      <c r="AH12" s="74" t="str">
        <f t="shared" ca="1" si="32"/>
        <v xml:space="preserve"> </v>
      </c>
      <c r="AI12" s="74" t="str">
        <f t="shared" ca="1" si="33"/>
        <v xml:space="preserve"> </v>
      </c>
      <c r="AJ12" s="74" t="str">
        <f t="shared" ca="1" si="34"/>
        <v xml:space="preserve"> </v>
      </c>
      <c r="AK12" s="74" t="str">
        <f t="shared" ca="1" si="35"/>
        <v xml:space="preserve"> </v>
      </c>
      <c r="AL12" s="74" t="str">
        <f t="shared" ca="1" si="36"/>
        <v xml:space="preserve"> </v>
      </c>
      <c r="AM12" s="74" t="str">
        <f t="shared" ca="1" si="37"/>
        <v xml:space="preserve"> </v>
      </c>
      <c r="AN12" s="74" t="str">
        <f t="shared" ca="1" si="38"/>
        <v xml:space="preserve"> </v>
      </c>
      <c r="AO12" s="74" t="str">
        <f t="shared" ca="1" si="39"/>
        <v xml:space="preserve"> </v>
      </c>
      <c r="AP12" s="74" t="str">
        <f t="shared" ca="1" si="40"/>
        <v xml:space="preserve"> </v>
      </c>
      <c r="AQ12" s="74" t="str">
        <f t="shared" ca="1" si="41"/>
        <v xml:space="preserve"> </v>
      </c>
      <c r="AR12" s="74" t="str">
        <f t="shared" ca="1" si="42"/>
        <v xml:space="preserve"> </v>
      </c>
      <c r="AS12" s="74" t="str">
        <f t="shared" ca="1" si="43"/>
        <v xml:space="preserve"> </v>
      </c>
      <c r="AT12" s="74" t="str">
        <f t="shared" ca="1" si="44"/>
        <v xml:space="preserve"> </v>
      </c>
      <c r="AU12" s="74" t="str">
        <f t="shared" ca="1" si="45"/>
        <v xml:space="preserve"> </v>
      </c>
      <c r="AV12" s="74" t="str">
        <f t="shared" ca="1" si="46"/>
        <v xml:space="preserve"> </v>
      </c>
      <c r="AW12" s="74" t="str">
        <f t="shared" ca="1" si="47"/>
        <v xml:space="preserve"> </v>
      </c>
      <c r="AX12" s="74" t="str">
        <f t="shared" ca="1" si="48"/>
        <v xml:space="preserve"> </v>
      </c>
      <c r="AY12" s="75" t="str">
        <f t="shared" ca="1" si="49"/>
        <v xml:space="preserve"> </v>
      </c>
      <c r="AZ12" s="73" t="str">
        <f t="shared" ca="1" si="50"/>
        <v xml:space="preserve"> </v>
      </c>
      <c r="BA12" s="73" t="str">
        <f t="shared" ca="1" si="51"/>
        <v xml:space="preserve"> </v>
      </c>
      <c r="BB12" s="73" t="str">
        <f t="shared" ca="1" si="52"/>
        <v xml:space="preserve"> </v>
      </c>
      <c r="BC12" s="73" t="str">
        <f ca="1">IF(COUNTIF(Conso!P10,"*Insuffisant*"),"x"," ")</f>
        <v xml:space="preserve"> </v>
      </c>
      <c r="BD12" s="73" t="str">
        <f ca="1">IF(COUNTIF(Conso!P10,"*Faible*"),"x"," ")</f>
        <v xml:space="preserve"> </v>
      </c>
      <c r="BE12" s="73" t="str">
        <f ca="1">IF(COUNTIF(Conso!P10,"*Acceptable*"),"x"," ")</f>
        <v xml:space="preserve"> </v>
      </c>
      <c r="BF12" s="73" t="str">
        <f ca="1">IF(COUNTIF(Conso!P10,"*Maîtrisé*"),"x"," ")</f>
        <v xml:space="preserve"> </v>
      </c>
      <c r="BG12" s="73" t="str">
        <f t="shared" ca="1" si="53"/>
        <v xml:space="preserve"> </v>
      </c>
      <c r="BH12" s="73" t="str">
        <f t="shared" ca="1" si="54"/>
        <v xml:space="preserve"> </v>
      </c>
      <c r="BI12" s="73" t="str">
        <f t="shared" ca="1" si="55"/>
        <v xml:space="preserve"> </v>
      </c>
      <c r="BJ12" s="73" t="str">
        <f t="shared" ca="1" si="56"/>
        <v xml:space="preserve"> </v>
      </c>
      <c r="BK12" s="73" t="str">
        <f t="shared" ca="1" si="57"/>
        <v xml:space="preserve"> </v>
      </c>
      <c r="BL12" s="73" t="str">
        <f t="shared" ca="1" si="58"/>
        <v xml:space="preserve"> </v>
      </c>
      <c r="BM12" s="73" t="str">
        <f t="shared" ca="1" si="59"/>
        <v xml:space="preserve"> </v>
      </c>
      <c r="BN12" s="73" t="str">
        <f t="shared" ca="1" si="60"/>
        <v xml:space="preserve"> </v>
      </c>
      <c r="BO12" s="73" t="str">
        <f t="shared" ca="1" si="61"/>
        <v xml:space="preserve"> </v>
      </c>
      <c r="BP12" s="73" t="str">
        <f t="shared" ca="1" si="62"/>
        <v xml:space="preserve"> </v>
      </c>
      <c r="BQ12" s="73" t="str">
        <f t="shared" ca="1" si="63"/>
        <v xml:space="preserve"> </v>
      </c>
      <c r="BR12" s="73" t="str">
        <f t="shared" ca="1" si="64"/>
        <v xml:space="preserve"> </v>
      </c>
      <c r="BS12" s="73" t="str">
        <f t="shared" ca="1" si="65"/>
        <v xml:space="preserve"> </v>
      </c>
      <c r="BT12" s="73" t="str">
        <f t="shared" ca="1" si="66"/>
        <v xml:space="preserve"> </v>
      </c>
      <c r="BU12" s="73" t="str">
        <f t="shared" ca="1" si="67"/>
        <v xml:space="preserve"> </v>
      </c>
      <c r="BV12" s="73" t="str">
        <f t="shared" ca="1" si="68"/>
        <v xml:space="preserve"> </v>
      </c>
      <c r="BW12" s="72" t="s">
        <v>903</v>
      </c>
    </row>
    <row r="13" spans="1:75" ht="37.5" customHeight="1">
      <c r="A13" s="211" t="s">
        <v>863</v>
      </c>
      <c r="B13" s="72" t="e">
        <f>#REF!</f>
        <v>#REF!</v>
      </c>
      <c r="C13" s="73" t="str">
        <f ca="1">IF(COUNTIF(Conso!R11,"*Marginal*"),"x"," ")</f>
        <v xml:space="preserve"> </v>
      </c>
      <c r="D13" s="73" t="str">
        <f ca="1">IF(COUNTIF(Conso!R11,"*Faible*"),"x"," ")</f>
        <v xml:space="preserve"> </v>
      </c>
      <c r="E13" s="73" t="str">
        <f ca="1">IF(COUNTIF(Conso!R11,"*Modéré*"),"x"," ")</f>
        <v xml:space="preserve"> </v>
      </c>
      <c r="F13" s="73" t="str">
        <f ca="1">IF(COUNTIF(Conso!R11,"*Elevé*"),"x"," ")</f>
        <v xml:space="preserve"> </v>
      </c>
      <c r="G13" s="73" t="str">
        <f ca="1">IF(COUNTIF(Conso!R11,"*Critique*"),"x"," ")</f>
        <v xml:space="preserve"> </v>
      </c>
      <c r="H13" s="73" t="str">
        <f ca="1">IF(COUNTIF(Conso!R11,"*Catastrophique*"),"x"," ")</f>
        <v xml:space="preserve"> </v>
      </c>
      <c r="I13" s="73" t="str">
        <f ca="1">IF(COUNTIF(Conso!Q11,"*Exceptionnelle*"),"x"," ")</f>
        <v xml:space="preserve"> </v>
      </c>
      <c r="J13" s="73" t="str">
        <f ca="1">IF(COUNTIF(Conso!Q11,"*Rare*"),"x"," ")</f>
        <v xml:space="preserve"> </v>
      </c>
      <c r="K13" s="73" t="str">
        <f ca="1">IF(COUNTIF(Conso!Q11,"*Modérée*"),"x"," ")</f>
        <v xml:space="preserve"> </v>
      </c>
      <c r="L13" s="73" t="str">
        <f ca="1">IF(COUNTIF(Conso!Q11,"*Elevée*"),"x"," ")</f>
        <v xml:space="preserve"> </v>
      </c>
      <c r="M13" s="73" t="str">
        <f ca="1">IF(COUNTIF(Conso!Q11,"*Récurrente*"),"x"," ")</f>
        <v xml:space="preserve"> </v>
      </c>
      <c r="N13" s="73" t="str">
        <f ca="1">IF(COUNTIF(Conso!Q11,"*Permanente*"),"x"," ")</f>
        <v xml:space="preserve"> </v>
      </c>
      <c r="O13" s="74" t="str">
        <f t="shared" ca="1" si="13"/>
        <v xml:space="preserve"> </v>
      </c>
      <c r="P13" s="74" t="str">
        <f t="shared" ca="1" si="14"/>
        <v xml:space="preserve"> </v>
      </c>
      <c r="Q13" s="74" t="str">
        <f t="shared" ca="1" si="15"/>
        <v xml:space="preserve"> </v>
      </c>
      <c r="R13" s="74" t="str">
        <f t="shared" ca="1" si="16"/>
        <v xml:space="preserve"> </v>
      </c>
      <c r="S13" s="74" t="str">
        <f t="shared" ca="1" si="17"/>
        <v xml:space="preserve"> </v>
      </c>
      <c r="T13" s="74" t="str">
        <f t="shared" ca="1" si="18"/>
        <v xml:space="preserve"> </v>
      </c>
      <c r="U13" s="74" t="str">
        <f t="shared" ca="1" si="19"/>
        <v xml:space="preserve"> </v>
      </c>
      <c r="V13" s="74" t="str">
        <f t="shared" ca="1" si="20"/>
        <v xml:space="preserve"> </v>
      </c>
      <c r="W13" s="74" t="str">
        <f t="shared" ca="1" si="21"/>
        <v xml:space="preserve"> </v>
      </c>
      <c r="X13" s="74" t="str">
        <f t="shared" ca="1" si="22"/>
        <v xml:space="preserve"> </v>
      </c>
      <c r="Y13" s="74" t="str">
        <f t="shared" ca="1" si="23"/>
        <v xml:space="preserve"> </v>
      </c>
      <c r="Z13" s="74" t="str">
        <f t="shared" ca="1" si="24"/>
        <v xml:space="preserve"> </v>
      </c>
      <c r="AA13" s="74" t="str">
        <f t="shared" ca="1" si="25"/>
        <v xml:space="preserve"> </v>
      </c>
      <c r="AB13" s="74" t="str">
        <f t="shared" ca="1" si="26"/>
        <v xml:space="preserve"> </v>
      </c>
      <c r="AC13" s="74" t="str">
        <f t="shared" ca="1" si="27"/>
        <v xml:space="preserve"> </v>
      </c>
      <c r="AD13" s="74" t="str">
        <f t="shared" ca="1" si="28"/>
        <v xml:space="preserve"> </v>
      </c>
      <c r="AE13" s="74" t="str">
        <f t="shared" ca="1" si="29"/>
        <v xml:space="preserve"> </v>
      </c>
      <c r="AF13" s="74" t="str">
        <f t="shared" ca="1" si="30"/>
        <v xml:space="preserve"> </v>
      </c>
      <c r="AG13" s="74" t="str">
        <f t="shared" ca="1" si="31"/>
        <v xml:space="preserve"> </v>
      </c>
      <c r="AH13" s="74" t="str">
        <f t="shared" ca="1" si="32"/>
        <v xml:space="preserve"> </v>
      </c>
      <c r="AI13" s="74" t="str">
        <f t="shared" ca="1" si="33"/>
        <v xml:space="preserve"> </v>
      </c>
      <c r="AJ13" s="74" t="str">
        <f t="shared" ca="1" si="34"/>
        <v xml:space="preserve"> </v>
      </c>
      <c r="AK13" s="74" t="str">
        <f t="shared" ca="1" si="35"/>
        <v xml:space="preserve"> </v>
      </c>
      <c r="AL13" s="74" t="str">
        <f t="shared" ca="1" si="36"/>
        <v xml:space="preserve"> </v>
      </c>
      <c r="AM13" s="74" t="str">
        <f t="shared" ca="1" si="37"/>
        <v xml:space="preserve"> </v>
      </c>
      <c r="AN13" s="74" t="str">
        <f t="shared" ca="1" si="38"/>
        <v xml:space="preserve"> </v>
      </c>
      <c r="AO13" s="74" t="str">
        <f t="shared" ca="1" si="39"/>
        <v xml:space="preserve"> </v>
      </c>
      <c r="AP13" s="74" t="str">
        <f t="shared" ca="1" si="40"/>
        <v xml:space="preserve"> </v>
      </c>
      <c r="AQ13" s="74" t="str">
        <f t="shared" ca="1" si="41"/>
        <v xml:space="preserve"> </v>
      </c>
      <c r="AR13" s="74" t="str">
        <f t="shared" ca="1" si="42"/>
        <v xml:space="preserve"> </v>
      </c>
      <c r="AS13" s="74" t="str">
        <f t="shared" ca="1" si="43"/>
        <v xml:space="preserve"> </v>
      </c>
      <c r="AT13" s="74" t="str">
        <f t="shared" ca="1" si="44"/>
        <v xml:space="preserve"> </v>
      </c>
      <c r="AU13" s="74" t="str">
        <f t="shared" ca="1" si="45"/>
        <v xml:space="preserve"> </v>
      </c>
      <c r="AV13" s="74" t="str">
        <f t="shared" ca="1" si="46"/>
        <v xml:space="preserve"> </v>
      </c>
      <c r="AW13" s="74" t="str">
        <f t="shared" ca="1" si="47"/>
        <v xml:space="preserve"> </v>
      </c>
      <c r="AX13" s="74" t="str">
        <f t="shared" ca="1" si="48"/>
        <v xml:space="preserve"> </v>
      </c>
      <c r="AY13" s="75" t="str">
        <f t="shared" ca="1" si="49"/>
        <v xml:space="preserve"> </v>
      </c>
      <c r="AZ13" s="73" t="str">
        <f t="shared" ca="1" si="50"/>
        <v xml:space="preserve"> </v>
      </c>
      <c r="BA13" s="73" t="str">
        <f t="shared" ca="1" si="51"/>
        <v xml:space="preserve"> </v>
      </c>
      <c r="BB13" s="73" t="str">
        <f t="shared" ca="1" si="52"/>
        <v xml:space="preserve"> </v>
      </c>
      <c r="BC13" s="73" t="str">
        <f ca="1">IF(COUNTIF(Conso!P11,"*Insuffisant*"),"x"," ")</f>
        <v xml:space="preserve"> </v>
      </c>
      <c r="BD13" s="73" t="str">
        <f ca="1">IF(COUNTIF(Conso!P11,"*Faible*"),"x"," ")</f>
        <v xml:space="preserve"> </v>
      </c>
      <c r="BE13" s="73" t="str">
        <f ca="1">IF(COUNTIF(Conso!P11,"*Acceptable*"),"x"," ")</f>
        <v xml:space="preserve"> </v>
      </c>
      <c r="BF13" s="73" t="str">
        <f ca="1">IF(COUNTIF(Conso!P11,"*Maîtrisé*"),"x"," ")</f>
        <v xml:space="preserve"> </v>
      </c>
      <c r="BG13" s="73" t="str">
        <f t="shared" ca="1" si="53"/>
        <v xml:space="preserve"> </v>
      </c>
      <c r="BH13" s="73" t="str">
        <f t="shared" ca="1" si="54"/>
        <v xml:space="preserve"> </v>
      </c>
      <c r="BI13" s="73" t="str">
        <f t="shared" ca="1" si="55"/>
        <v xml:space="preserve"> </v>
      </c>
      <c r="BJ13" s="73" t="str">
        <f t="shared" ca="1" si="56"/>
        <v xml:space="preserve"> </v>
      </c>
      <c r="BK13" s="73" t="str">
        <f t="shared" ca="1" si="57"/>
        <v xml:space="preserve"> </v>
      </c>
      <c r="BL13" s="73" t="str">
        <f t="shared" ca="1" si="58"/>
        <v xml:space="preserve"> </v>
      </c>
      <c r="BM13" s="73" t="str">
        <f t="shared" ca="1" si="59"/>
        <v xml:space="preserve"> </v>
      </c>
      <c r="BN13" s="73" t="str">
        <f t="shared" ca="1" si="60"/>
        <v xml:space="preserve"> </v>
      </c>
      <c r="BO13" s="73" t="str">
        <f t="shared" ca="1" si="61"/>
        <v xml:space="preserve"> </v>
      </c>
      <c r="BP13" s="73" t="str">
        <f t="shared" ca="1" si="62"/>
        <v xml:space="preserve"> </v>
      </c>
      <c r="BQ13" s="73" t="str">
        <f t="shared" ca="1" si="63"/>
        <v xml:space="preserve"> </v>
      </c>
      <c r="BR13" s="73" t="str">
        <f t="shared" ca="1" si="64"/>
        <v xml:space="preserve"> </v>
      </c>
      <c r="BS13" s="73" t="str">
        <f t="shared" ca="1" si="65"/>
        <v xml:space="preserve"> </v>
      </c>
      <c r="BT13" s="73" t="str">
        <f t="shared" ca="1" si="66"/>
        <v xml:space="preserve"> </v>
      </c>
      <c r="BU13" s="73" t="str">
        <f t="shared" ca="1" si="67"/>
        <v xml:space="preserve"> </v>
      </c>
      <c r="BV13" s="73" t="str">
        <f t="shared" ca="1" si="68"/>
        <v xml:space="preserve"> </v>
      </c>
      <c r="BW13" s="72" t="s">
        <v>904</v>
      </c>
    </row>
    <row r="14" spans="1:75" ht="37.5" customHeight="1">
      <c r="A14" s="211" t="s">
        <v>864</v>
      </c>
      <c r="B14" s="72" t="e">
        <f>#REF!</f>
        <v>#REF!</v>
      </c>
      <c r="C14" s="73" t="str">
        <f ca="1">IF(COUNTIF(Conso!R12,"*Marginal*"),"x"," ")</f>
        <v xml:space="preserve"> </v>
      </c>
      <c r="D14" s="73" t="str">
        <f ca="1">IF(COUNTIF(Conso!R12,"*Faible*"),"x"," ")</f>
        <v xml:space="preserve"> </v>
      </c>
      <c r="E14" s="73" t="str">
        <f ca="1">IF(COUNTIF(Conso!R12,"*Modéré*"),"x"," ")</f>
        <v xml:space="preserve"> </v>
      </c>
      <c r="F14" s="73" t="str">
        <f ca="1">IF(COUNTIF(Conso!R12,"*Elevé*"),"x"," ")</f>
        <v xml:space="preserve"> </v>
      </c>
      <c r="G14" s="73" t="str">
        <f ca="1">IF(COUNTIF(Conso!R12,"*Critique*"),"x"," ")</f>
        <v xml:space="preserve"> </v>
      </c>
      <c r="H14" s="73" t="str">
        <f ca="1">IF(COUNTIF(Conso!R12,"*Catastrophique*"),"x"," ")</f>
        <v xml:space="preserve"> </v>
      </c>
      <c r="I14" s="73" t="str">
        <f ca="1">IF(COUNTIF(Conso!Q12,"*Exceptionnelle*"),"x"," ")</f>
        <v xml:space="preserve"> </v>
      </c>
      <c r="J14" s="73" t="str">
        <f ca="1">IF(COUNTIF(Conso!Q12,"*Rare*"),"x"," ")</f>
        <v xml:space="preserve"> </v>
      </c>
      <c r="K14" s="73" t="str">
        <f ca="1">IF(COUNTIF(Conso!Q12,"*Modérée*"),"x"," ")</f>
        <v xml:space="preserve"> </v>
      </c>
      <c r="L14" s="73" t="str">
        <f ca="1">IF(COUNTIF(Conso!Q12,"*Elevée*"),"x"," ")</f>
        <v xml:space="preserve"> </v>
      </c>
      <c r="M14" s="73" t="str">
        <f ca="1">IF(COUNTIF(Conso!Q12,"*Récurrente*"),"x"," ")</f>
        <v xml:space="preserve"> </v>
      </c>
      <c r="N14" s="73" t="str">
        <f ca="1">IF(COUNTIF(Conso!Q12,"*Permanente*"),"x"," ")</f>
        <v xml:space="preserve"> </v>
      </c>
      <c r="O14" s="74" t="str">
        <f t="shared" ca="1" si="13"/>
        <v xml:space="preserve"> </v>
      </c>
      <c r="P14" s="74" t="str">
        <f t="shared" ca="1" si="14"/>
        <v xml:space="preserve"> </v>
      </c>
      <c r="Q14" s="74" t="str">
        <f t="shared" ca="1" si="15"/>
        <v xml:space="preserve"> </v>
      </c>
      <c r="R14" s="74" t="str">
        <f t="shared" ca="1" si="16"/>
        <v xml:space="preserve"> </v>
      </c>
      <c r="S14" s="74" t="str">
        <f t="shared" ca="1" si="17"/>
        <v xml:space="preserve"> </v>
      </c>
      <c r="T14" s="74" t="str">
        <f t="shared" ca="1" si="18"/>
        <v xml:space="preserve"> </v>
      </c>
      <c r="U14" s="74" t="str">
        <f t="shared" ca="1" si="19"/>
        <v xml:space="preserve"> </v>
      </c>
      <c r="V14" s="74" t="str">
        <f t="shared" ca="1" si="20"/>
        <v xml:space="preserve"> </v>
      </c>
      <c r="W14" s="74" t="str">
        <f t="shared" ca="1" si="21"/>
        <v xml:space="preserve"> </v>
      </c>
      <c r="X14" s="74" t="str">
        <f t="shared" ca="1" si="22"/>
        <v xml:space="preserve"> </v>
      </c>
      <c r="Y14" s="74" t="str">
        <f t="shared" ca="1" si="23"/>
        <v xml:space="preserve"> </v>
      </c>
      <c r="Z14" s="74" t="str">
        <f t="shared" ca="1" si="24"/>
        <v xml:space="preserve"> </v>
      </c>
      <c r="AA14" s="74" t="str">
        <f t="shared" ca="1" si="25"/>
        <v xml:space="preserve"> </v>
      </c>
      <c r="AB14" s="74" t="str">
        <f t="shared" ca="1" si="26"/>
        <v xml:space="preserve"> </v>
      </c>
      <c r="AC14" s="74" t="str">
        <f t="shared" ca="1" si="27"/>
        <v xml:space="preserve"> </v>
      </c>
      <c r="AD14" s="74" t="str">
        <f t="shared" ca="1" si="28"/>
        <v xml:space="preserve"> </v>
      </c>
      <c r="AE14" s="74" t="str">
        <f t="shared" ca="1" si="29"/>
        <v xml:space="preserve"> </v>
      </c>
      <c r="AF14" s="74" t="str">
        <f t="shared" ca="1" si="30"/>
        <v xml:space="preserve"> </v>
      </c>
      <c r="AG14" s="74" t="str">
        <f t="shared" ca="1" si="31"/>
        <v xml:space="preserve"> </v>
      </c>
      <c r="AH14" s="74" t="str">
        <f t="shared" ca="1" si="32"/>
        <v xml:space="preserve"> </v>
      </c>
      <c r="AI14" s="74" t="str">
        <f t="shared" ca="1" si="33"/>
        <v xml:space="preserve"> </v>
      </c>
      <c r="AJ14" s="74" t="str">
        <f t="shared" ca="1" si="34"/>
        <v xml:space="preserve"> </v>
      </c>
      <c r="AK14" s="74" t="str">
        <f t="shared" ca="1" si="35"/>
        <v xml:space="preserve"> </v>
      </c>
      <c r="AL14" s="74" t="str">
        <f t="shared" ca="1" si="36"/>
        <v xml:space="preserve"> </v>
      </c>
      <c r="AM14" s="74" t="str">
        <f t="shared" ca="1" si="37"/>
        <v xml:space="preserve"> </v>
      </c>
      <c r="AN14" s="74" t="str">
        <f t="shared" ca="1" si="38"/>
        <v xml:space="preserve"> </v>
      </c>
      <c r="AO14" s="74" t="str">
        <f t="shared" ca="1" si="39"/>
        <v xml:space="preserve"> </v>
      </c>
      <c r="AP14" s="74" t="str">
        <f t="shared" ca="1" si="40"/>
        <v xml:space="preserve"> </v>
      </c>
      <c r="AQ14" s="74" t="str">
        <f t="shared" ca="1" si="41"/>
        <v xml:space="preserve"> </v>
      </c>
      <c r="AR14" s="74" t="str">
        <f t="shared" ca="1" si="42"/>
        <v xml:space="preserve"> </v>
      </c>
      <c r="AS14" s="74" t="str">
        <f t="shared" ca="1" si="43"/>
        <v xml:space="preserve"> </v>
      </c>
      <c r="AT14" s="74" t="str">
        <f t="shared" ca="1" si="44"/>
        <v xml:space="preserve"> </v>
      </c>
      <c r="AU14" s="74" t="str">
        <f t="shared" ca="1" si="45"/>
        <v xml:space="preserve"> </v>
      </c>
      <c r="AV14" s="74" t="str">
        <f t="shared" ca="1" si="46"/>
        <v xml:space="preserve"> </v>
      </c>
      <c r="AW14" s="74" t="str">
        <f t="shared" ca="1" si="47"/>
        <v xml:space="preserve"> </v>
      </c>
      <c r="AX14" s="74" t="str">
        <f t="shared" ca="1" si="48"/>
        <v xml:space="preserve"> </v>
      </c>
      <c r="AY14" s="75" t="str">
        <f t="shared" ca="1" si="49"/>
        <v xml:space="preserve"> </v>
      </c>
      <c r="AZ14" s="73" t="str">
        <f t="shared" ca="1" si="50"/>
        <v xml:space="preserve"> </v>
      </c>
      <c r="BA14" s="73" t="str">
        <f t="shared" ca="1" si="51"/>
        <v xml:space="preserve"> </v>
      </c>
      <c r="BB14" s="73" t="str">
        <f t="shared" ca="1" si="52"/>
        <v xml:space="preserve"> </v>
      </c>
      <c r="BC14" s="73" t="str">
        <f ca="1">IF(COUNTIF(Conso!P12,"*Insuffisant*"),"x"," ")</f>
        <v xml:space="preserve"> </v>
      </c>
      <c r="BD14" s="73" t="str">
        <f ca="1">IF(COUNTIF(Conso!P12,"*Faible*"),"x"," ")</f>
        <v xml:space="preserve"> </v>
      </c>
      <c r="BE14" s="73" t="str">
        <f ca="1">IF(COUNTIF(Conso!P12,"*Acceptable*"),"x"," ")</f>
        <v xml:space="preserve"> </v>
      </c>
      <c r="BF14" s="73" t="str">
        <f ca="1">IF(COUNTIF(Conso!P12,"*Maîtrisé*"),"x"," ")</f>
        <v xml:space="preserve"> </v>
      </c>
      <c r="BG14" s="73" t="str">
        <f t="shared" ca="1" si="53"/>
        <v xml:space="preserve"> </v>
      </c>
      <c r="BH14" s="73" t="str">
        <f t="shared" ca="1" si="54"/>
        <v xml:space="preserve"> </v>
      </c>
      <c r="BI14" s="73" t="str">
        <f t="shared" ca="1" si="55"/>
        <v xml:space="preserve"> </v>
      </c>
      <c r="BJ14" s="73" t="str">
        <f t="shared" ca="1" si="56"/>
        <v xml:space="preserve"> </v>
      </c>
      <c r="BK14" s="73" t="str">
        <f t="shared" ca="1" si="57"/>
        <v xml:space="preserve"> </v>
      </c>
      <c r="BL14" s="73" t="str">
        <f t="shared" ca="1" si="58"/>
        <v xml:space="preserve"> </v>
      </c>
      <c r="BM14" s="73" t="str">
        <f t="shared" ca="1" si="59"/>
        <v xml:space="preserve"> </v>
      </c>
      <c r="BN14" s="73" t="str">
        <f t="shared" ca="1" si="60"/>
        <v xml:space="preserve"> </v>
      </c>
      <c r="BO14" s="73" t="str">
        <f t="shared" ca="1" si="61"/>
        <v xml:space="preserve"> </v>
      </c>
      <c r="BP14" s="73" t="str">
        <f t="shared" ca="1" si="62"/>
        <v xml:space="preserve"> </v>
      </c>
      <c r="BQ14" s="73" t="str">
        <f t="shared" ca="1" si="63"/>
        <v xml:space="preserve"> </v>
      </c>
      <c r="BR14" s="73" t="str">
        <f t="shared" ca="1" si="64"/>
        <v xml:space="preserve"> </v>
      </c>
      <c r="BS14" s="73" t="str">
        <f t="shared" ca="1" si="65"/>
        <v xml:space="preserve"> </v>
      </c>
      <c r="BT14" s="73" t="str">
        <f t="shared" ca="1" si="66"/>
        <v xml:space="preserve"> </v>
      </c>
      <c r="BU14" s="73" t="str">
        <f t="shared" ca="1" si="67"/>
        <v xml:space="preserve"> </v>
      </c>
      <c r="BV14" s="73" t="str">
        <f t="shared" ca="1" si="68"/>
        <v xml:space="preserve"> </v>
      </c>
      <c r="BW14" s="72" t="s">
        <v>905</v>
      </c>
    </row>
    <row r="15" spans="1:75" ht="37.5" customHeight="1">
      <c r="A15" s="211" t="s">
        <v>865</v>
      </c>
      <c r="B15" s="72" t="e">
        <f>#REF!</f>
        <v>#REF!</v>
      </c>
      <c r="C15" s="73" t="str">
        <f ca="1">IF(COUNTIF(Conso!R13,"*Marginal*"),"x"," ")</f>
        <v xml:space="preserve"> </v>
      </c>
      <c r="D15" s="73" t="str">
        <f ca="1">IF(COUNTIF(Conso!R13,"*Faible*"),"x"," ")</f>
        <v xml:space="preserve"> </v>
      </c>
      <c r="E15" s="73" t="str">
        <f ca="1">IF(COUNTIF(Conso!R13,"*Modéré*"),"x"," ")</f>
        <v xml:space="preserve"> </v>
      </c>
      <c r="F15" s="73" t="str">
        <f ca="1">IF(COUNTIF(Conso!R13,"*Elevé*"),"x"," ")</f>
        <v xml:space="preserve"> </v>
      </c>
      <c r="G15" s="73" t="str">
        <f ca="1">IF(COUNTIF(Conso!R13,"*Critique*"),"x"," ")</f>
        <v xml:space="preserve"> </v>
      </c>
      <c r="H15" s="73" t="str">
        <f ca="1">IF(COUNTIF(Conso!R13,"*Catastrophique*"),"x"," ")</f>
        <v xml:space="preserve"> </v>
      </c>
      <c r="I15" s="73" t="str">
        <f ca="1">IF(COUNTIF(Conso!Q13,"*Exceptionnelle*"),"x"," ")</f>
        <v xml:space="preserve"> </v>
      </c>
      <c r="J15" s="73" t="str">
        <f ca="1">IF(COUNTIF(Conso!Q13,"*Rare*"),"x"," ")</f>
        <v xml:space="preserve"> </v>
      </c>
      <c r="K15" s="73" t="str">
        <f ca="1">IF(COUNTIF(Conso!Q13,"*Modérée*"),"x"," ")</f>
        <v xml:space="preserve"> </v>
      </c>
      <c r="L15" s="73" t="str">
        <f ca="1">IF(COUNTIF(Conso!Q13,"*Elevée*"),"x"," ")</f>
        <v xml:space="preserve"> </v>
      </c>
      <c r="M15" s="73" t="str">
        <f ca="1">IF(COUNTIF(Conso!Q13,"*Récurrente*"),"x"," ")</f>
        <v xml:space="preserve"> </v>
      </c>
      <c r="N15" s="73" t="str">
        <f ca="1">IF(COUNTIF(Conso!Q13,"*Permanente*"),"x"," ")</f>
        <v xml:space="preserve"> </v>
      </c>
      <c r="O15" s="74" t="str">
        <f t="shared" ca="1" si="13"/>
        <v xml:space="preserve"> </v>
      </c>
      <c r="P15" s="74" t="str">
        <f t="shared" ca="1" si="14"/>
        <v xml:space="preserve"> </v>
      </c>
      <c r="Q15" s="74" t="str">
        <f t="shared" ca="1" si="15"/>
        <v xml:space="preserve"> </v>
      </c>
      <c r="R15" s="74" t="str">
        <f t="shared" ca="1" si="16"/>
        <v xml:space="preserve"> </v>
      </c>
      <c r="S15" s="74" t="str">
        <f t="shared" ca="1" si="17"/>
        <v xml:space="preserve"> </v>
      </c>
      <c r="T15" s="74" t="str">
        <f t="shared" ca="1" si="18"/>
        <v xml:space="preserve"> </v>
      </c>
      <c r="U15" s="74" t="str">
        <f t="shared" ca="1" si="19"/>
        <v xml:space="preserve"> </v>
      </c>
      <c r="V15" s="74" t="str">
        <f t="shared" ca="1" si="20"/>
        <v xml:space="preserve"> </v>
      </c>
      <c r="W15" s="74" t="str">
        <f t="shared" ca="1" si="21"/>
        <v xml:space="preserve"> </v>
      </c>
      <c r="X15" s="74" t="str">
        <f t="shared" ca="1" si="22"/>
        <v xml:space="preserve"> </v>
      </c>
      <c r="Y15" s="74" t="str">
        <f t="shared" ca="1" si="23"/>
        <v xml:space="preserve"> </v>
      </c>
      <c r="Z15" s="74" t="str">
        <f t="shared" ca="1" si="24"/>
        <v xml:space="preserve"> </v>
      </c>
      <c r="AA15" s="74" t="str">
        <f t="shared" ca="1" si="25"/>
        <v xml:space="preserve"> </v>
      </c>
      <c r="AB15" s="74" t="str">
        <f t="shared" ca="1" si="26"/>
        <v xml:space="preserve"> </v>
      </c>
      <c r="AC15" s="74" t="str">
        <f t="shared" ca="1" si="27"/>
        <v xml:space="preserve"> </v>
      </c>
      <c r="AD15" s="74" t="str">
        <f t="shared" ca="1" si="28"/>
        <v xml:space="preserve"> </v>
      </c>
      <c r="AE15" s="74" t="str">
        <f t="shared" ca="1" si="29"/>
        <v xml:space="preserve"> </v>
      </c>
      <c r="AF15" s="74" t="str">
        <f t="shared" ca="1" si="30"/>
        <v xml:space="preserve"> </v>
      </c>
      <c r="AG15" s="74" t="str">
        <f t="shared" ca="1" si="31"/>
        <v xml:space="preserve"> </v>
      </c>
      <c r="AH15" s="74" t="str">
        <f t="shared" ca="1" si="32"/>
        <v xml:space="preserve"> </v>
      </c>
      <c r="AI15" s="74" t="str">
        <f t="shared" ca="1" si="33"/>
        <v xml:space="preserve"> </v>
      </c>
      <c r="AJ15" s="74" t="str">
        <f t="shared" ca="1" si="34"/>
        <v xml:space="preserve"> </v>
      </c>
      <c r="AK15" s="74" t="str">
        <f t="shared" ca="1" si="35"/>
        <v xml:space="preserve"> </v>
      </c>
      <c r="AL15" s="74" t="str">
        <f t="shared" ca="1" si="36"/>
        <v xml:space="preserve"> </v>
      </c>
      <c r="AM15" s="74" t="str">
        <f t="shared" ca="1" si="37"/>
        <v xml:space="preserve"> </v>
      </c>
      <c r="AN15" s="74" t="str">
        <f t="shared" ca="1" si="38"/>
        <v xml:space="preserve"> </v>
      </c>
      <c r="AO15" s="74" t="str">
        <f t="shared" ca="1" si="39"/>
        <v xml:space="preserve"> </v>
      </c>
      <c r="AP15" s="74" t="str">
        <f t="shared" ca="1" si="40"/>
        <v xml:space="preserve"> </v>
      </c>
      <c r="AQ15" s="74" t="str">
        <f t="shared" ca="1" si="41"/>
        <v xml:space="preserve"> </v>
      </c>
      <c r="AR15" s="74" t="str">
        <f t="shared" ca="1" si="42"/>
        <v xml:space="preserve"> </v>
      </c>
      <c r="AS15" s="74" t="str">
        <f t="shared" ca="1" si="43"/>
        <v xml:space="preserve"> </v>
      </c>
      <c r="AT15" s="74" t="str">
        <f t="shared" ca="1" si="44"/>
        <v xml:space="preserve"> </v>
      </c>
      <c r="AU15" s="74" t="str">
        <f t="shared" ca="1" si="45"/>
        <v xml:space="preserve"> </v>
      </c>
      <c r="AV15" s="74" t="str">
        <f t="shared" ca="1" si="46"/>
        <v xml:space="preserve"> </v>
      </c>
      <c r="AW15" s="74" t="str">
        <f t="shared" ca="1" si="47"/>
        <v xml:space="preserve"> </v>
      </c>
      <c r="AX15" s="74" t="str">
        <f t="shared" ca="1" si="48"/>
        <v xml:space="preserve"> </v>
      </c>
      <c r="AY15" s="75" t="str">
        <f t="shared" ca="1" si="49"/>
        <v xml:space="preserve"> </v>
      </c>
      <c r="AZ15" s="73" t="str">
        <f t="shared" ca="1" si="50"/>
        <v xml:space="preserve"> </v>
      </c>
      <c r="BA15" s="73" t="str">
        <f t="shared" ca="1" si="51"/>
        <v xml:space="preserve"> </v>
      </c>
      <c r="BB15" s="73" t="str">
        <f t="shared" ca="1" si="52"/>
        <v xml:space="preserve"> </v>
      </c>
      <c r="BC15" s="73" t="str">
        <f ca="1">IF(COUNTIF(Conso!P13,"*Insuffisant*"),"x"," ")</f>
        <v xml:space="preserve"> </v>
      </c>
      <c r="BD15" s="73" t="str">
        <f ca="1">IF(COUNTIF(Conso!P13,"*Faible*"),"x"," ")</f>
        <v xml:space="preserve"> </v>
      </c>
      <c r="BE15" s="73" t="str">
        <f ca="1">IF(COUNTIF(Conso!P13,"*Acceptable*"),"x"," ")</f>
        <v xml:space="preserve"> </v>
      </c>
      <c r="BF15" s="73" t="str">
        <f ca="1">IF(COUNTIF(Conso!P13,"*Maîtrisé*"),"x"," ")</f>
        <v xml:space="preserve"> </v>
      </c>
      <c r="BG15" s="73" t="str">
        <f t="shared" ca="1" si="53"/>
        <v xml:space="preserve"> </v>
      </c>
      <c r="BH15" s="73" t="str">
        <f t="shared" ca="1" si="54"/>
        <v xml:space="preserve"> </v>
      </c>
      <c r="BI15" s="73" t="str">
        <f t="shared" ca="1" si="55"/>
        <v xml:space="preserve"> </v>
      </c>
      <c r="BJ15" s="73" t="str">
        <f t="shared" ca="1" si="56"/>
        <v xml:space="preserve"> </v>
      </c>
      <c r="BK15" s="73" t="str">
        <f t="shared" ca="1" si="57"/>
        <v xml:space="preserve"> </v>
      </c>
      <c r="BL15" s="73" t="str">
        <f t="shared" ca="1" si="58"/>
        <v xml:space="preserve"> </v>
      </c>
      <c r="BM15" s="73" t="str">
        <f t="shared" ca="1" si="59"/>
        <v xml:space="preserve"> </v>
      </c>
      <c r="BN15" s="73" t="str">
        <f t="shared" ca="1" si="60"/>
        <v xml:space="preserve"> </v>
      </c>
      <c r="BO15" s="73" t="str">
        <f t="shared" ca="1" si="61"/>
        <v xml:space="preserve"> </v>
      </c>
      <c r="BP15" s="73" t="str">
        <f t="shared" ca="1" si="62"/>
        <v xml:space="preserve"> </v>
      </c>
      <c r="BQ15" s="73" t="str">
        <f t="shared" ca="1" si="63"/>
        <v xml:space="preserve"> </v>
      </c>
      <c r="BR15" s="73" t="str">
        <f t="shared" ca="1" si="64"/>
        <v xml:space="preserve"> </v>
      </c>
      <c r="BS15" s="73" t="str">
        <f t="shared" ca="1" si="65"/>
        <v xml:space="preserve"> </v>
      </c>
      <c r="BT15" s="73" t="str">
        <f t="shared" ca="1" si="66"/>
        <v xml:space="preserve"> </v>
      </c>
      <c r="BU15" s="73" t="str">
        <f t="shared" ca="1" si="67"/>
        <v xml:space="preserve"> </v>
      </c>
      <c r="BV15" s="73" t="str">
        <f t="shared" ca="1" si="68"/>
        <v xml:space="preserve"> </v>
      </c>
      <c r="BW15" s="72" t="s">
        <v>906</v>
      </c>
    </row>
    <row r="16" spans="1:75" ht="37.5" customHeight="1">
      <c r="A16" s="211" t="s">
        <v>866</v>
      </c>
      <c r="B16" s="72" t="e">
        <f>#REF!</f>
        <v>#REF!</v>
      </c>
      <c r="C16" s="73" t="str">
        <f ca="1">IF(COUNTIF(Conso!R14,"*Marginal*"),"x"," ")</f>
        <v xml:space="preserve"> </v>
      </c>
      <c r="D16" s="73" t="str">
        <f ca="1">IF(COUNTIF(Conso!R14,"*Faible*"),"x"," ")</f>
        <v xml:space="preserve"> </v>
      </c>
      <c r="E16" s="73" t="str">
        <f ca="1">IF(COUNTIF(Conso!R14,"*Modéré*"),"x"," ")</f>
        <v xml:space="preserve"> </v>
      </c>
      <c r="F16" s="73" t="str">
        <f ca="1">IF(COUNTIF(Conso!R14,"*Elevé*"),"x"," ")</f>
        <v xml:space="preserve"> </v>
      </c>
      <c r="G16" s="73" t="str">
        <f ca="1">IF(COUNTIF(Conso!R14,"*Critique*"),"x"," ")</f>
        <v xml:space="preserve"> </v>
      </c>
      <c r="H16" s="73" t="str">
        <f ca="1">IF(COUNTIF(Conso!R14,"*Catastrophique*"),"x"," ")</f>
        <v xml:space="preserve"> </v>
      </c>
      <c r="I16" s="73" t="str">
        <f ca="1">IF(COUNTIF(Conso!Q14,"*Exceptionnelle*"),"x"," ")</f>
        <v xml:space="preserve"> </v>
      </c>
      <c r="J16" s="73" t="str">
        <f ca="1">IF(COUNTIF(Conso!Q14,"*Rare*"),"x"," ")</f>
        <v xml:space="preserve"> </v>
      </c>
      <c r="K16" s="73" t="str">
        <f ca="1">IF(COUNTIF(Conso!Q14,"*Modérée*"),"x"," ")</f>
        <v xml:space="preserve"> </v>
      </c>
      <c r="L16" s="73" t="str">
        <f ca="1">IF(COUNTIF(Conso!Q14,"*Elevée*"),"x"," ")</f>
        <v xml:space="preserve"> </v>
      </c>
      <c r="M16" s="73" t="str">
        <f ca="1">IF(COUNTIF(Conso!Q14,"*Récurrente*"),"x"," ")</f>
        <v xml:space="preserve"> </v>
      </c>
      <c r="N16" s="73" t="str">
        <f ca="1">IF(COUNTIF(Conso!Q14,"*Permanente*"),"x"," ")</f>
        <v xml:space="preserve"> </v>
      </c>
      <c r="O16" s="74" t="str">
        <f t="shared" ca="1" si="13"/>
        <v xml:space="preserve"> </v>
      </c>
      <c r="P16" s="74" t="str">
        <f t="shared" ca="1" si="14"/>
        <v xml:space="preserve"> </v>
      </c>
      <c r="Q16" s="74" t="str">
        <f t="shared" ca="1" si="15"/>
        <v xml:space="preserve"> </v>
      </c>
      <c r="R16" s="74" t="str">
        <f t="shared" ca="1" si="16"/>
        <v xml:space="preserve"> </v>
      </c>
      <c r="S16" s="74" t="str">
        <f t="shared" ca="1" si="17"/>
        <v xml:space="preserve"> </v>
      </c>
      <c r="T16" s="74" t="str">
        <f t="shared" ca="1" si="18"/>
        <v xml:space="preserve"> </v>
      </c>
      <c r="U16" s="74" t="str">
        <f t="shared" ca="1" si="19"/>
        <v xml:space="preserve"> </v>
      </c>
      <c r="V16" s="74" t="str">
        <f t="shared" ca="1" si="20"/>
        <v xml:space="preserve"> </v>
      </c>
      <c r="W16" s="74" t="str">
        <f t="shared" ca="1" si="21"/>
        <v xml:space="preserve"> </v>
      </c>
      <c r="X16" s="74" t="str">
        <f t="shared" ca="1" si="22"/>
        <v xml:space="preserve"> </v>
      </c>
      <c r="Y16" s="74" t="str">
        <f t="shared" ca="1" si="23"/>
        <v xml:space="preserve"> </v>
      </c>
      <c r="Z16" s="74" t="str">
        <f t="shared" ca="1" si="24"/>
        <v xml:space="preserve"> </v>
      </c>
      <c r="AA16" s="74" t="str">
        <f t="shared" ca="1" si="25"/>
        <v xml:space="preserve"> </v>
      </c>
      <c r="AB16" s="74" t="str">
        <f t="shared" ca="1" si="26"/>
        <v xml:space="preserve"> </v>
      </c>
      <c r="AC16" s="74" t="str">
        <f t="shared" ca="1" si="27"/>
        <v xml:space="preserve"> </v>
      </c>
      <c r="AD16" s="74" t="str">
        <f t="shared" ca="1" si="28"/>
        <v xml:space="preserve"> </v>
      </c>
      <c r="AE16" s="74" t="str">
        <f t="shared" ca="1" si="29"/>
        <v xml:space="preserve"> </v>
      </c>
      <c r="AF16" s="74" t="str">
        <f t="shared" ca="1" si="30"/>
        <v xml:space="preserve"> </v>
      </c>
      <c r="AG16" s="74" t="str">
        <f t="shared" ca="1" si="31"/>
        <v xml:space="preserve"> </v>
      </c>
      <c r="AH16" s="74" t="str">
        <f t="shared" ca="1" si="32"/>
        <v xml:space="preserve"> </v>
      </c>
      <c r="AI16" s="74" t="str">
        <f t="shared" ca="1" si="33"/>
        <v xml:space="preserve"> </v>
      </c>
      <c r="AJ16" s="74" t="str">
        <f t="shared" ca="1" si="34"/>
        <v xml:space="preserve"> </v>
      </c>
      <c r="AK16" s="74" t="str">
        <f t="shared" ca="1" si="35"/>
        <v xml:space="preserve"> </v>
      </c>
      <c r="AL16" s="74" t="str">
        <f t="shared" ca="1" si="36"/>
        <v xml:space="preserve"> </v>
      </c>
      <c r="AM16" s="74" t="str">
        <f t="shared" ca="1" si="37"/>
        <v xml:space="preserve"> </v>
      </c>
      <c r="AN16" s="74" t="str">
        <f t="shared" ca="1" si="38"/>
        <v xml:space="preserve"> </v>
      </c>
      <c r="AO16" s="74" t="str">
        <f t="shared" ca="1" si="39"/>
        <v xml:space="preserve"> </v>
      </c>
      <c r="AP16" s="74" t="str">
        <f t="shared" ca="1" si="40"/>
        <v xml:space="preserve"> </v>
      </c>
      <c r="AQ16" s="74" t="str">
        <f t="shared" ca="1" si="41"/>
        <v xml:space="preserve"> </v>
      </c>
      <c r="AR16" s="74" t="str">
        <f t="shared" ca="1" si="42"/>
        <v xml:space="preserve"> </v>
      </c>
      <c r="AS16" s="74" t="str">
        <f t="shared" ca="1" si="43"/>
        <v xml:space="preserve"> </v>
      </c>
      <c r="AT16" s="74" t="str">
        <f t="shared" ca="1" si="44"/>
        <v xml:space="preserve"> </v>
      </c>
      <c r="AU16" s="74" t="str">
        <f t="shared" ca="1" si="45"/>
        <v xml:space="preserve"> </v>
      </c>
      <c r="AV16" s="74" t="str">
        <f t="shared" ca="1" si="46"/>
        <v xml:space="preserve"> </v>
      </c>
      <c r="AW16" s="74" t="str">
        <f t="shared" ca="1" si="47"/>
        <v xml:space="preserve"> </v>
      </c>
      <c r="AX16" s="74" t="str">
        <f t="shared" ca="1" si="48"/>
        <v xml:space="preserve"> </v>
      </c>
      <c r="AY16" s="75" t="str">
        <f t="shared" ca="1" si="49"/>
        <v xml:space="preserve"> </v>
      </c>
      <c r="AZ16" s="73" t="str">
        <f t="shared" ca="1" si="50"/>
        <v xml:space="preserve"> </v>
      </c>
      <c r="BA16" s="73" t="str">
        <f t="shared" ca="1" si="51"/>
        <v xml:space="preserve"> </v>
      </c>
      <c r="BB16" s="73" t="str">
        <f t="shared" ca="1" si="52"/>
        <v xml:space="preserve"> </v>
      </c>
      <c r="BC16" s="73" t="str">
        <f ca="1">IF(COUNTIF(Conso!P14,"*Insuffisant*"),"x"," ")</f>
        <v xml:space="preserve"> </v>
      </c>
      <c r="BD16" s="73" t="str">
        <f ca="1">IF(COUNTIF(Conso!P14,"*Faible*"),"x"," ")</f>
        <v xml:space="preserve"> </v>
      </c>
      <c r="BE16" s="73" t="str">
        <f ca="1">IF(COUNTIF(Conso!P14,"*Acceptable*"),"x"," ")</f>
        <v xml:space="preserve"> </v>
      </c>
      <c r="BF16" s="73" t="str">
        <f ca="1">IF(COUNTIF(Conso!P14,"*Maîtrisé*"),"x"," ")</f>
        <v xml:space="preserve"> </v>
      </c>
      <c r="BG16" s="73" t="str">
        <f t="shared" ca="1" si="53"/>
        <v xml:space="preserve"> </v>
      </c>
      <c r="BH16" s="73" t="str">
        <f t="shared" ca="1" si="54"/>
        <v xml:space="preserve"> </v>
      </c>
      <c r="BI16" s="73" t="str">
        <f t="shared" ca="1" si="55"/>
        <v xml:space="preserve"> </v>
      </c>
      <c r="BJ16" s="73" t="str">
        <f t="shared" ca="1" si="56"/>
        <v xml:space="preserve"> </v>
      </c>
      <c r="BK16" s="73" t="str">
        <f t="shared" ca="1" si="57"/>
        <v xml:space="preserve"> </v>
      </c>
      <c r="BL16" s="73" t="str">
        <f t="shared" ca="1" si="58"/>
        <v xml:space="preserve"> </v>
      </c>
      <c r="BM16" s="73" t="str">
        <f t="shared" ca="1" si="59"/>
        <v xml:space="preserve"> </v>
      </c>
      <c r="BN16" s="73" t="str">
        <f t="shared" ca="1" si="60"/>
        <v xml:space="preserve"> </v>
      </c>
      <c r="BO16" s="73" t="str">
        <f t="shared" ca="1" si="61"/>
        <v xml:space="preserve"> </v>
      </c>
      <c r="BP16" s="73" t="str">
        <f t="shared" ca="1" si="62"/>
        <v xml:space="preserve"> </v>
      </c>
      <c r="BQ16" s="73" t="str">
        <f t="shared" ca="1" si="63"/>
        <v xml:space="preserve"> </v>
      </c>
      <c r="BR16" s="73" t="str">
        <f t="shared" ca="1" si="64"/>
        <v xml:space="preserve"> </v>
      </c>
      <c r="BS16" s="73" t="str">
        <f t="shared" ca="1" si="65"/>
        <v xml:space="preserve"> </v>
      </c>
      <c r="BT16" s="73" t="str">
        <f t="shared" ca="1" si="66"/>
        <v xml:space="preserve"> </v>
      </c>
      <c r="BU16" s="73" t="str">
        <f t="shared" ca="1" si="67"/>
        <v xml:space="preserve"> </v>
      </c>
      <c r="BV16" s="73" t="str">
        <f t="shared" ca="1" si="68"/>
        <v xml:space="preserve"> </v>
      </c>
      <c r="BW16" s="72" t="s">
        <v>907</v>
      </c>
    </row>
    <row r="17" spans="1:75" ht="37.5" customHeight="1">
      <c r="A17" s="211" t="s">
        <v>867</v>
      </c>
      <c r="B17" s="72" t="e">
        <f>#REF!</f>
        <v>#REF!</v>
      </c>
      <c r="C17" s="73" t="str">
        <f ca="1">IF(COUNTIF(Conso!R15,"*Marginal*"),"x"," ")</f>
        <v xml:space="preserve"> </v>
      </c>
      <c r="D17" s="73" t="str">
        <f ca="1">IF(COUNTIF(Conso!R15,"*Faible*"),"x"," ")</f>
        <v xml:space="preserve"> </v>
      </c>
      <c r="E17" s="73" t="str">
        <f ca="1">IF(COUNTIF(Conso!R15,"*Modéré*"),"x"," ")</f>
        <v xml:space="preserve"> </v>
      </c>
      <c r="F17" s="73" t="str">
        <f ca="1">IF(COUNTIF(Conso!R15,"*Elevé*"),"x"," ")</f>
        <v xml:space="preserve"> </v>
      </c>
      <c r="G17" s="73" t="str">
        <f ca="1">IF(COUNTIF(Conso!R15,"*Critique*"),"x"," ")</f>
        <v xml:space="preserve"> </v>
      </c>
      <c r="H17" s="73" t="str">
        <f ca="1">IF(COUNTIF(Conso!R15,"*Catastrophique*"),"x"," ")</f>
        <v xml:space="preserve"> </v>
      </c>
      <c r="I17" s="73" t="str">
        <f ca="1">IF(COUNTIF(Conso!Q15,"*Exceptionnelle*"),"x"," ")</f>
        <v xml:space="preserve"> </v>
      </c>
      <c r="J17" s="73" t="str">
        <f ca="1">IF(COUNTIF(Conso!Q15,"*Rare*"),"x"," ")</f>
        <v xml:space="preserve"> </v>
      </c>
      <c r="K17" s="73" t="str">
        <f ca="1">IF(COUNTIF(Conso!Q15,"*Modérée*"),"x"," ")</f>
        <v xml:space="preserve"> </v>
      </c>
      <c r="L17" s="73" t="str">
        <f ca="1">IF(COUNTIF(Conso!Q15,"*Elevée*"),"x"," ")</f>
        <v xml:space="preserve"> </v>
      </c>
      <c r="M17" s="73" t="str">
        <f ca="1">IF(COUNTIF(Conso!Q15,"*Récurrente*"),"x"," ")</f>
        <v xml:space="preserve"> </v>
      </c>
      <c r="N17" s="73" t="str">
        <f ca="1">IF(COUNTIF(Conso!Q15,"*Permanente*"),"x"," ")</f>
        <v xml:space="preserve"> </v>
      </c>
      <c r="O17" s="74" t="str">
        <f t="shared" ca="1" si="13"/>
        <v xml:space="preserve"> </v>
      </c>
      <c r="P17" s="74" t="str">
        <f t="shared" ca="1" si="14"/>
        <v xml:space="preserve"> </v>
      </c>
      <c r="Q17" s="74" t="str">
        <f t="shared" ca="1" si="15"/>
        <v xml:space="preserve"> </v>
      </c>
      <c r="R17" s="74" t="str">
        <f t="shared" ca="1" si="16"/>
        <v xml:space="preserve"> </v>
      </c>
      <c r="S17" s="74" t="str">
        <f t="shared" ca="1" si="17"/>
        <v xml:space="preserve"> </v>
      </c>
      <c r="T17" s="74" t="str">
        <f t="shared" ca="1" si="18"/>
        <v xml:space="preserve"> </v>
      </c>
      <c r="U17" s="74" t="str">
        <f t="shared" ca="1" si="19"/>
        <v xml:space="preserve"> </v>
      </c>
      <c r="V17" s="74" t="str">
        <f t="shared" ca="1" si="20"/>
        <v xml:space="preserve"> </v>
      </c>
      <c r="W17" s="74" t="str">
        <f t="shared" ca="1" si="21"/>
        <v xml:space="preserve"> </v>
      </c>
      <c r="X17" s="74" t="str">
        <f t="shared" ca="1" si="22"/>
        <v xml:space="preserve"> </v>
      </c>
      <c r="Y17" s="74" t="str">
        <f t="shared" ca="1" si="23"/>
        <v xml:space="preserve"> </v>
      </c>
      <c r="Z17" s="74" t="str">
        <f t="shared" ca="1" si="24"/>
        <v xml:space="preserve"> </v>
      </c>
      <c r="AA17" s="74" t="str">
        <f t="shared" ca="1" si="25"/>
        <v xml:space="preserve"> </v>
      </c>
      <c r="AB17" s="74" t="str">
        <f t="shared" ca="1" si="26"/>
        <v xml:space="preserve"> </v>
      </c>
      <c r="AC17" s="74" t="str">
        <f t="shared" ca="1" si="27"/>
        <v xml:space="preserve"> </v>
      </c>
      <c r="AD17" s="74" t="str">
        <f t="shared" ca="1" si="28"/>
        <v xml:space="preserve"> </v>
      </c>
      <c r="AE17" s="74" t="str">
        <f t="shared" ca="1" si="29"/>
        <v xml:space="preserve"> </v>
      </c>
      <c r="AF17" s="74" t="str">
        <f t="shared" ca="1" si="30"/>
        <v xml:space="preserve"> </v>
      </c>
      <c r="AG17" s="74" t="str">
        <f t="shared" ca="1" si="31"/>
        <v xml:space="preserve"> </v>
      </c>
      <c r="AH17" s="74" t="str">
        <f t="shared" ca="1" si="32"/>
        <v xml:space="preserve"> </v>
      </c>
      <c r="AI17" s="74" t="str">
        <f t="shared" ca="1" si="33"/>
        <v xml:space="preserve"> </v>
      </c>
      <c r="AJ17" s="74" t="str">
        <f t="shared" ca="1" si="34"/>
        <v xml:space="preserve"> </v>
      </c>
      <c r="AK17" s="74" t="str">
        <f t="shared" ca="1" si="35"/>
        <v xml:space="preserve"> </v>
      </c>
      <c r="AL17" s="74" t="str">
        <f t="shared" ca="1" si="36"/>
        <v xml:space="preserve"> </v>
      </c>
      <c r="AM17" s="74" t="str">
        <f t="shared" ca="1" si="37"/>
        <v xml:space="preserve"> </v>
      </c>
      <c r="AN17" s="74" t="str">
        <f t="shared" ca="1" si="38"/>
        <v xml:space="preserve"> </v>
      </c>
      <c r="AO17" s="74" t="str">
        <f t="shared" ca="1" si="39"/>
        <v xml:space="preserve"> </v>
      </c>
      <c r="AP17" s="74" t="str">
        <f t="shared" ca="1" si="40"/>
        <v xml:space="preserve"> </v>
      </c>
      <c r="AQ17" s="74" t="str">
        <f t="shared" ca="1" si="41"/>
        <v xml:space="preserve"> </v>
      </c>
      <c r="AR17" s="74" t="str">
        <f t="shared" ca="1" si="42"/>
        <v xml:space="preserve"> </v>
      </c>
      <c r="AS17" s="74" t="str">
        <f t="shared" ca="1" si="43"/>
        <v xml:space="preserve"> </v>
      </c>
      <c r="AT17" s="74" t="str">
        <f t="shared" ca="1" si="44"/>
        <v xml:space="preserve"> </v>
      </c>
      <c r="AU17" s="74" t="str">
        <f t="shared" ca="1" si="45"/>
        <v xml:space="preserve"> </v>
      </c>
      <c r="AV17" s="74" t="str">
        <f t="shared" ca="1" si="46"/>
        <v xml:space="preserve"> </v>
      </c>
      <c r="AW17" s="74" t="str">
        <f t="shared" ca="1" si="47"/>
        <v xml:space="preserve"> </v>
      </c>
      <c r="AX17" s="74" t="str">
        <f t="shared" ca="1" si="48"/>
        <v xml:space="preserve"> </v>
      </c>
      <c r="AY17" s="75" t="str">
        <f t="shared" ca="1" si="49"/>
        <v xml:space="preserve"> </v>
      </c>
      <c r="AZ17" s="73" t="str">
        <f t="shared" ca="1" si="50"/>
        <v xml:space="preserve"> </v>
      </c>
      <c r="BA17" s="73" t="str">
        <f t="shared" ca="1" si="51"/>
        <v xml:space="preserve"> </v>
      </c>
      <c r="BB17" s="73" t="str">
        <f t="shared" ca="1" si="52"/>
        <v xml:space="preserve"> </v>
      </c>
      <c r="BC17" s="73" t="str">
        <f ca="1">IF(COUNTIF(Conso!P15,"*Insuffisant*"),"x"," ")</f>
        <v xml:space="preserve"> </v>
      </c>
      <c r="BD17" s="73" t="str">
        <f ca="1">IF(COUNTIF(Conso!P15,"*Faible*"),"x"," ")</f>
        <v xml:space="preserve"> </v>
      </c>
      <c r="BE17" s="73" t="str">
        <f ca="1">IF(COUNTIF(Conso!P15,"*Acceptable*"),"x"," ")</f>
        <v xml:space="preserve"> </v>
      </c>
      <c r="BF17" s="73" t="str">
        <f ca="1">IF(COUNTIF(Conso!P15,"*Maîtrisé*"),"x"," ")</f>
        <v xml:space="preserve"> </v>
      </c>
      <c r="BG17" s="73" t="str">
        <f t="shared" ca="1" si="53"/>
        <v xml:space="preserve"> </v>
      </c>
      <c r="BH17" s="73" t="str">
        <f t="shared" ca="1" si="54"/>
        <v xml:space="preserve"> </v>
      </c>
      <c r="BI17" s="73" t="str">
        <f t="shared" ca="1" si="55"/>
        <v xml:space="preserve"> </v>
      </c>
      <c r="BJ17" s="73" t="str">
        <f t="shared" ca="1" si="56"/>
        <v xml:space="preserve"> </v>
      </c>
      <c r="BK17" s="73" t="str">
        <f t="shared" ca="1" si="57"/>
        <v xml:space="preserve"> </v>
      </c>
      <c r="BL17" s="73" t="str">
        <f t="shared" ca="1" si="58"/>
        <v xml:space="preserve"> </v>
      </c>
      <c r="BM17" s="73" t="str">
        <f t="shared" ca="1" si="59"/>
        <v xml:space="preserve"> </v>
      </c>
      <c r="BN17" s="73" t="str">
        <f t="shared" ca="1" si="60"/>
        <v xml:space="preserve"> </v>
      </c>
      <c r="BO17" s="73" t="str">
        <f t="shared" ca="1" si="61"/>
        <v xml:space="preserve"> </v>
      </c>
      <c r="BP17" s="73" t="str">
        <f t="shared" ca="1" si="62"/>
        <v xml:space="preserve"> </v>
      </c>
      <c r="BQ17" s="73" t="str">
        <f t="shared" ca="1" si="63"/>
        <v xml:space="preserve"> </v>
      </c>
      <c r="BR17" s="73" t="str">
        <f t="shared" ca="1" si="64"/>
        <v xml:space="preserve"> </v>
      </c>
      <c r="BS17" s="73" t="str">
        <f t="shared" ca="1" si="65"/>
        <v xml:space="preserve"> </v>
      </c>
      <c r="BT17" s="73" t="str">
        <f t="shared" ca="1" si="66"/>
        <v xml:space="preserve"> </v>
      </c>
      <c r="BU17" s="73" t="str">
        <f t="shared" ca="1" si="67"/>
        <v xml:space="preserve"> </v>
      </c>
      <c r="BV17" s="73" t="str">
        <f t="shared" ca="1" si="68"/>
        <v xml:space="preserve"> </v>
      </c>
      <c r="BW17" s="72" t="s">
        <v>908</v>
      </c>
    </row>
    <row r="18" spans="1:75" ht="37.5" customHeight="1">
      <c r="A18" s="211" t="s">
        <v>868</v>
      </c>
      <c r="B18" s="72" t="e">
        <f>#REF!</f>
        <v>#REF!</v>
      </c>
      <c r="C18" s="73" t="str">
        <f ca="1">IF(COUNTIF(Conso!R16,"*Marginal*"),"x"," ")</f>
        <v xml:space="preserve"> </v>
      </c>
      <c r="D18" s="73" t="str">
        <f ca="1">IF(COUNTIF(Conso!R16,"*Faible*"),"x"," ")</f>
        <v xml:space="preserve"> </v>
      </c>
      <c r="E18" s="73" t="str">
        <f ca="1">IF(COUNTIF(Conso!R16,"*Modéré*"),"x"," ")</f>
        <v xml:space="preserve"> </v>
      </c>
      <c r="F18" s="73" t="str">
        <f ca="1">IF(COUNTIF(Conso!R16,"*Elevé*"),"x"," ")</f>
        <v xml:space="preserve"> </v>
      </c>
      <c r="G18" s="73" t="str">
        <f ca="1">IF(COUNTIF(Conso!R16,"*Critique*"),"x"," ")</f>
        <v xml:space="preserve"> </v>
      </c>
      <c r="H18" s="73" t="str">
        <f ca="1">IF(COUNTIF(Conso!R16,"*Catastrophique*"),"x"," ")</f>
        <v xml:space="preserve"> </v>
      </c>
      <c r="I18" s="73" t="str">
        <f ca="1">IF(COUNTIF(Conso!Q16,"*Exceptionnelle*"),"x"," ")</f>
        <v xml:space="preserve"> </v>
      </c>
      <c r="J18" s="73" t="str">
        <f ca="1">IF(COUNTIF(Conso!Q16,"*Rare*"),"x"," ")</f>
        <v xml:space="preserve"> </v>
      </c>
      <c r="K18" s="73" t="str">
        <f ca="1">IF(COUNTIF(Conso!Q16,"*Modérée*"),"x"," ")</f>
        <v xml:space="preserve"> </v>
      </c>
      <c r="L18" s="73" t="str">
        <f ca="1">IF(COUNTIF(Conso!Q16,"*Elevée*"),"x"," ")</f>
        <v xml:space="preserve"> </v>
      </c>
      <c r="M18" s="73" t="str">
        <f ca="1">IF(COUNTIF(Conso!Q16,"*Récurrente*"),"x"," ")</f>
        <v xml:space="preserve"> </v>
      </c>
      <c r="N18" s="73" t="str">
        <f ca="1">IF(COUNTIF(Conso!Q16,"*Permanente*"),"x"," ")</f>
        <v xml:space="preserve"> </v>
      </c>
      <c r="O18" s="74" t="str">
        <f t="shared" ca="1" si="13"/>
        <v xml:space="preserve"> </v>
      </c>
      <c r="P18" s="74" t="str">
        <f t="shared" ca="1" si="14"/>
        <v xml:space="preserve"> </v>
      </c>
      <c r="Q18" s="74" t="str">
        <f t="shared" ca="1" si="15"/>
        <v xml:space="preserve"> </v>
      </c>
      <c r="R18" s="74" t="str">
        <f t="shared" ca="1" si="16"/>
        <v xml:space="preserve"> </v>
      </c>
      <c r="S18" s="74" t="str">
        <f t="shared" ca="1" si="17"/>
        <v xml:space="preserve"> </v>
      </c>
      <c r="T18" s="74" t="str">
        <f t="shared" ca="1" si="18"/>
        <v xml:space="preserve"> </v>
      </c>
      <c r="U18" s="74" t="str">
        <f t="shared" ca="1" si="19"/>
        <v xml:space="preserve"> </v>
      </c>
      <c r="V18" s="74" t="str">
        <f t="shared" ca="1" si="20"/>
        <v xml:space="preserve"> </v>
      </c>
      <c r="W18" s="74" t="str">
        <f t="shared" ca="1" si="21"/>
        <v xml:space="preserve"> </v>
      </c>
      <c r="X18" s="74" t="str">
        <f t="shared" ca="1" si="22"/>
        <v xml:space="preserve"> </v>
      </c>
      <c r="Y18" s="74" t="str">
        <f t="shared" ca="1" si="23"/>
        <v xml:space="preserve"> </v>
      </c>
      <c r="Z18" s="74" t="str">
        <f t="shared" ca="1" si="24"/>
        <v xml:space="preserve"> </v>
      </c>
      <c r="AA18" s="74" t="str">
        <f t="shared" ca="1" si="25"/>
        <v xml:space="preserve"> </v>
      </c>
      <c r="AB18" s="74" t="str">
        <f t="shared" ca="1" si="26"/>
        <v xml:space="preserve"> </v>
      </c>
      <c r="AC18" s="74" t="str">
        <f t="shared" ca="1" si="27"/>
        <v xml:space="preserve"> </v>
      </c>
      <c r="AD18" s="74" t="str">
        <f t="shared" ca="1" si="28"/>
        <v xml:space="preserve"> </v>
      </c>
      <c r="AE18" s="74" t="str">
        <f t="shared" ca="1" si="29"/>
        <v xml:space="preserve"> </v>
      </c>
      <c r="AF18" s="74" t="str">
        <f t="shared" ca="1" si="30"/>
        <v xml:space="preserve"> </v>
      </c>
      <c r="AG18" s="74" t="str">
        <f t="shared" ca="1" si="31"/>
        <v xml:space="preserve"> </v>
      </c>
      <c r="AH18" s="74" t="str">
        <f t="shared" ca="1" si="32"/>
        <v xml:space="preserve"> </v>
      </c>
      <c r="AI18" s="74" t="str">
        <f t="shared" ca="1" si="33"/>
        <v xml:space="preserve"> </v>
      </c>
      <c r="AJ18" s="74" t="str">
        <f t="shared" ca="1" si="34"/>
        <v xml:space="preserve"> </v>
      </c>
      <c r="AK18" s="74" t="str">
        <f t="shared" ca="1" si="35"/>
        <v xml:space="preserve"> </v>
      </c>
      <c r="AL18" s="74" t="str">
        <f t="shared" ca="1" si="36"/>
        <v xml:space="preserve"> </v>
      </c>
      <c r="AM18" s="74" t="str">
        <f t="shared" ca="1" si="37"/>
        <v xml:space="preserve"> </v>
      </c>
      <c r="AN18" s="74" t="str">
        <f t="shared" ca="1" si="38"/>
        <v xml:space="preserve"> </v>
      </c>
      <c r="AO18" s="74" t="str">
        <f t="shared" ca="1" si="39"/>
        <v xml:space="preserve"> </v>
      </c>
      <c r="AP18" s="74" t="str">
        <f t="shared" ca="1" si="40"/>
        <v xml:space="preserve"> </v>
      </c>
      <c r="AQ18" s="74" t="str">
        <f t="shared" ca="1" si="41"/>
        <v xml:space="preserve"> </v>
      </c>
      <c r="AR18" s="74" t="str">
        <f t="shared" ca="1" si="42"/>
        <v xml:space="preserve"> </v>
      </c>
      <c r="AS18" s="74" t="str">
        <f t="shared" ca="1" si="43"/>
        <v xml:space="preserve"> </v>
      </c>
      <c r="AT18" s="74" t="str">
        <f t="shared" ca="1" si="44"/>
        <v xml:space="preserve"> </v>
      </c>
      <c r="AU18" s="74" t="str">
        <f t="shared" ca="1" si="45"/>
        <v xml:space="preserve"> </v>
      </c>
      <c r="AV18" s="74" t="str">
        <f t="shared" ca="1" si="46"/>
        <v xml:space="preserve"> </v>
      </c>
      <c r="AW18" s="74" t="str">
        <f t="shared" ca="1" si="47"/>
        <v xml:space="preserve"> </v>
      </c>
      <c r="AX18" s="74" t="str">
        <f t="shared" ca="1" si="48"/>
        <v xml:space="preserve"> </v>
      </c>
      <c r="AY18" s="75" t="str">
        <f t="shared" ca="1" si="49"/>
        <v xml:space="preserve"> </v>
      </c>
      <c r="AZ18" s="73" t="str">
        <f t="shared" ca="1" si="50"/>
        <v xml:space="preserve"> </v>
      </c>
      <c r="BA18" s="73" t="str">
        <f t="shared" ca="1" si="51"/>
        <v xml:space="preserve"> </v>
      </c>
      <c r="BB18" s="73" t="str">
        <f t="shared" ca="1" si="52"/>
        <v xml:space="preserve"> </v>
      </c>
      <c r="BC18" s="73" t="str">
        <f ca="1">IF(COUNTIF(Conso!P16,"*Insuffisant*"),"x"," ")</f>
        <v xml:space="preserve"> </v>
      </c>
      <c r="BD18" s="73" t="str">
        <f ca="1">IF(COUNTIF(Conso!P16,"*Faible*"),"x"," ")</f>
        <v xml:space="preserve"> </v>
      </c>
      <c r="BE18" s="73" t="str">
        <f ca="1">IF(COUNTIF(Conso!P16,"*Acceptable*"),"x"," ")</f>
        <v xml:space="preserve"> </v>
      </c>
      <c r="BF18" s="73" t="str">
        <f ca="1">IF(COUNTIF(Conso!P16,"*Maîtrisé*"),"x"," ")</f>
        <v xml:space="preserve"> </v>
      </c>
      <c r="BG18" s="73" t="str">
        <f t="shared" ca="1" si="53"/>
        <v xml:space="preserve"> </v>
      </c>
      <c r="BH18" s="73" t="str">
        <f t="shared" ca="1" si="54"/>
        <v xml:space="preserve"> </v>
      </c>
      <c r="BI18" s="73" t="str">
        <f t="shared" ca="1" si="55"/>
        <v xml:space="preserve"> </v>
      </c>
      <c r="BJ18" s="73" t="str">
        <f t="shared" ca="1" si="56"/>
        <v xml:space="preserve"> </v>
      </c>
      <c r="BK18" s="73" t="str">
        <f t="shared" ca="1" si="57"/>
        <v xml:space="preserve"> </v>
      </c>
      <c r="BL18" s="73" t="str">
        <f t="shared" ca="1" si="58"/>
        <v xml:space="preserve"> </v>
      </c>
      <c r="BM18" s="73" t="str">
        <f t="shared" ca="1" si="59"/>
        <v xml:space="preserve"> </v>
      </c>
      <c r="BN18" s="73" t="str">
        <f t="shared" ca="1" si="60"/>
        <v xml:space="preserve"> </v>
      </c>
      <c r="BO18" s="73" t="str">
        <f t="shared" ca="1" si="61"/>
        <v xml:space="preserve"> </v>
      </c>
      <c r="BP18" s="73" t="str">
        <f t="shared" ca="1" si="62"/>
        <v xml:space="preserve"> </v>
      </c>
      <c r="BQ18" s="73" t="str">
        <f t="shared" ca="1" si="63"/>
        <v xml:space="preserve"> </v>
      </c>
      <c r="BR18" s="73" t="str">
        <f t="shared" ca="1" si="64"/>
        <v xml:space="preserve"> </v>
      </c>
      <c r="BS18" s="73" t="str">
        <f t="shared" ca="1" si="65"/>
        <v xml:space="preserve"> </v>
      </c>
      <c r="BT18" s="73" t="str">
        <f t="shared" ca="1" si="66"/>
        <v xml:space="preserve"> </v>
      </c>
      <c r="BU18" s="73" t="str">
        <f t="shared" ca="1" si="67"/>
        <v xml:space="preserve"> </v>
      </c>
      <c r="BV18" s="73" t="str">
        <f t="shared" ca="1" si="68"/>
        <v xml:space="preserve"> </v>
      </c>
      <c r="BW18" s="72" t="s">
        <v>909</v>
      </c>
    </row>
    <row r="19" spans="1:75" ht="37.5" customHeight="1">
      <c r="A19" s="211" t="s">
        <v>869</v>
      </c>
      <c r="B19" s="72" t="e">
        <f>#REF!</f>
        <v>#REF!</v>
      </c>
      <c r="C19" s="73" t="str">
        <f ca="1">IF(COUNTIF(Conso!R17,"*Marginal*"),"x"," ")</f>
        <v xml:space="preserve"> </v>
      </c>
      <c r="D19" s="73" t="str">
        <f ca="1">IF(COUNTIF(Conso!R17,"*Faible*"),"x"," ")</f>
        <v xml:space="preserve"> </v>
      </c>
      <c r="E19" s="73" t="str">
        <f ca="1">IF(COUNTIF(Conso!R17,"*Modéré*"),"x"," ")</f>
        <v xml:space="preserve"> </v>
      </c>
      <c r="F19" s="73" t="str">
        <f ca="1">IF(COUNTIF(Conso!R17,"*Elevé*"),"x"," ")</f>
        <v xml:space="preserve"> </v>
      </c>
      <c r="G19" s="73" t="str">
        <f ca="1">IF(COUNTIF(Conso!R17,"*Critique*"),"x"," ")</f>
        <v xml:space="preserve"> </v>
      </c>
      <c r="H19" s="73" t="str">
        <f ca="1">IF(COUNTIF(Conso!R17,"*Catastrophique*"),"x"," ")</f>
        <v xml:space="preserve"> </v>
      </c>
      <c r="I19" s="73" t="str">
        <f ca="1">IF(COUNTIF(Conso!Q17,"*Exceptionnelle*"),"x"," ")</f>
        <v xml:space="preserve"> </v>
      </c>
      <c r="J19" s="73" t="str">
        <f ca="1">IF(COUNTIF(Conso!Q17,"*Rare*"),"x"," ")</f>
        <v xml:space="preserve"> </v>
      </c>
      <c r="K19" s="73" t="str">
        <f ca="1">IF(COUNTIF(Conso!Q17,"*Modérée*"),"x"," ")</f>
        <v xml:space="preserve"> </v>
      </c>
      <c r="L19" s="73" t="str">
        <f ca="1">IF(COUNTIF(Conso!Q17,"*Elevée*"),"x"," ")</f>
        <v xml:space="preserve"> </v>
      </c>
      <c r="M19" s="73" t="str">
        <f ca="1">IF(COUNTIF(Conso!Q17,"*Récurrente*"),"x"," ")</f>
        <v xml:space="preserve"> </v>
      </c>
      <c r="N19" s="73" t="str">
        <f ca="1">IF(COUNTIF(Conso!Q17,"*Permanente*"),"x"," ")</f>
        <v xml:space="preserve"> </v>
      </c>
      <c r="O19" s="74" t="str">
        <f t="shared" ca="1" si="13"/>
        <v xml:space="preserve"> </v>
      </c>
      <c r="P19" s="74" t="str">
        <f t="shared" ca="1" si="14"/>
        <v xml:space="preserve"> </v>
      </c>
      <c r="Q19" s="74" t="str">
        <f t="shared" ca="1" si="15"/>
        <v xml:space="preserve"> </v>
      </c>
      <c r="R19" s="74" t="str">
        <f t="shared" ca="1" si="16"/>
        <v xml:space="preserve"> </v>
      </c>
      <c r="S19" s="74" t="str">
        <f t="shared" ca="1" si="17"/>
        <v xml:space="preserve"> </v>
      </c>
      <c r="T19" s="74" t="str">
        <f t="shared" ca="1" si="18"/>
        <v xml:space="preserve"> </v>
      </c>
      <c r="U19" s="74" t="str">
        <f t="shared" ca="1" si="19"/>
        <v xml:space="preserve"> </v>
      </c>
      <c r="V19" s="74" t="str">
        <f t="shared" ca="1" si="20"/>
        <v xml:space="preserve"> </v>
      </c>
      <c r="W19" s="74" t="str">
        <f t="shared" ca="1" si="21"/>
        <v xml:space="preserve"> </v>
      </c>
      <c r="X19" s="74" t="str">
        <f t="shared" ca="1" si="22"/>
        <v xml:space="preserve"> </v>
      </c>
      <c r="Y19" s="74" t="str">
        <f t="shared" ca="1" si="23"/>
        <v xml:space="preserve"> </v>
      </c>
      <c r="Z19" s="74" t="str">
        <f t="shared" ca="1" si="24"/>
        <v xml:space="preserve"> </v>
      </c>
      <c r="AA19" s="74" t="str">
        <f t="shared" ca="1" si="25"/>
        <v xml:space="preserve"> </v>
      </c>
      <c r="AB19" s="74" t="str">
        <f t="shared" ca="1" si="26"/>
        <v xml:space="preserve"> </v>
      </c>
      <c r="AC19" s="74" t="str">
        <f t="shared" ca="1" si="27"/>
        <v xml:space="preserve"> </v>
      </c>
      <c r="AD19" s="74" t="str">
        <f t="shared" ca="1" si="28"/>
        <v xml:space="preserve"> </v>
      </c>
      <c r="AE19" s="74" t="str">
        <f t="shared" ca="1" si="29"/>
        <v xml:space="preserve"> </v>
      </c>
      <c r="AF19" s="74" t="str">
        <f t="shared" ca="1" si="30"/>
        <v xml:space="preserve"> </v>
      </c>
      <c r="AG19" s="74" t="str">
        <f t="shared" ca="1" si="31"/>
        <v xml:space="preserve"> </v>
      </c>
      <c r="AH19" s="74" t="str">
        <f t="shared" ca="1" si="32"/>
        <v xml:space="preserve"> </v>
      </c>
      <c r="AI19" s="74" t="str">
        <f t="shared" ca="1" si="33"/>
        <v xml:space="preserve"> </v>
      </c>
      <c r="AJ19" s="74" t="str">
        <f t="shared" ca="1" si="34"/>
        <v xml:space="preserve"> </v>
      </c>
      <c r="AK19" s="74" t="str">
        <f t="shared" ca="1" si="35"/>
        <v xml:space="preserve"> </v>
      </c>
      <c r="AL19" s="74" t="str">
        <f t="shared" ca="1" si="36"/>
        <v xml:space="preserve"> </v>
      </c>
      <c r="AM19" s="74" t="str">
        <f t="shared" ca="1" si="37"/>
        <v xml:space="preserve"> </v>
      </c>
      <c r="AN19" s="74" t="str">
        <f t="shared" ca="1" si="38"/>
        <v xml:space="preserve"> </v>
      </c>
      <c r="AO19" s="74" t="str">
        <f t="shared" ca="1" si="39"/>
        <v xml:space="preserve"> </v>
      </c>
      <c r="AP19" s="74" t="str">
        <f t="shared" ca="1" si="40"/>
        <v xml:space="preserve"> </v>
      </c>
      <c r="AQ19" s="74" t="str">
        <f t="shared" ca="1" si="41"/>
        <v xml:space="preserve"> </v>
      </c>
      <c r="AR19" s="74" t="str">
        <f t="shared" ca="1" si="42"/>
        <v xml:space="preserve"> </v>
      </c>
      <c r="AS19" s="74" t="str">
        <f t="shared" ca="1" si="43"/>
        <v xml:space="preserve"> </v>
      </c>
      <c r="AT19" s="74" t="str">
        <f t="shared" ca="1" si="44"/>
        <v xml:space="preserve"> </v>
      </c>
      <c r="AU19" s="74" t="str">
        <f t="shared" ca="1" si="45"/>
        <v xml:space="preserve"> </v>
      </c>
      <c r="AV19" s="74" t="str">
        <f t="shared" ca="1" si="46"/>
        <v xml:space="preserve"> </v>
      </c>
      <c r="AW19" s="74" t="str">
        <f t="shared" ca="1" si="47"/>
        <v xml:space="preserve"> </v>
      </c>
      <c r="AX19" s="74" t="str">
        <f t="shared" ca="1" si="48"/>
        <v xml:space="preserve"> </v>
      </c>
      <c r="AY19" s="75" t="str">
        <f t="shared" ca="1" si="49"/>
        <v xml:space="preserve"> </v>
      </c>
      <c r="AZ19" s="73" t="str">
        <f t="shared" ca="1" si="50"/>
        <v xml:space="preserve"> </v>
      </c>
      <c r="BA19" s="73" t="str">
        <f t="shared" ca="1" si="51"/>
        <v xml:space="preserve"> </v>
      </c>
      <c r="BB19" s="73" t="str">
        <f t="shared" ca="1" si="52"/>
        <v xml:space="preserve"> </v>
      </c>
      <c r="BC19" s="73" t="str">
        <f ca="1">IF(COUNTIF(Conso!P17,"*Insuffisant*"),"x"," ")</f>
        <v xml:space="preserve"> </v>
      </c>
      <c r="BD19" s="73" t="str">
        <f ca="1">IF(COUNTIF(Conso!P17,"*Faible*"),"x"," ")</f>
        <v xml:space="preserve"> </v>
      </c>
      <c r="BE19" s="73" t="str">
        <f ca="1">IF(COUNTIF(Conso!P17,"*Acceptable*"),"x"," ")</f>
        <v xml:space="preserve"> </v>
      </c>
      <c r="BF19" s="73" t="str">
        <f ca="1">IF(COUNTIF(Conso!P17,"*Maîtrisé*"),"x"," ")</f>
        <v xml:space="preserve"> </v>
      </c>
      <c r="BG19" s="73" t="str">
        <f t="shared" ca="1" si="53"/>
        <v xml:space="preserve"> </v>
      </c>
      <c r="BH19" s="73" t="str">
        <f t="shared" ca="1" si="54"/>
        <v xml:space="preserve"> </v>
      </c>
      <c r="BI19" s="73" t="str">
        <f t="shared" ca="1" si="55"/>
        <v xml:space="preserve"> </v>
      </c>
      <c r="BJ19" s="73" t="str">
        <f t="shared" ca="1" si="56"/>
        <v xml:space="preserve"> </v>
      </c>
      <c r="BK19" s="73" t="str">
        <f t="shared" ca="1" si="57"/>
        <v xml:space="preserve"> </v>
      </c>
      <c r="BL19" s="73" t="str">
        <f t="shared" ca="1" si="58"/>
        <v xml:space="preserve"> </v>
      </c>
      <c r="BM19" s="73" t="str">
        <f t="shared" ca="1" si="59"/>
        <v xml:space="preserve"> </v>
      </c>
      <c r="BN19" s="73" t="str">
        <f t="shared" ca="1" si="60"/>
        <v xml:space="preserve"> </v>
      </c>
      <c r="BO19" s="73" t="str">
        <f t="shared" ca="1" si="61"/>
        <v xml:space="preserve"> </v>
      </c>
      <c r="BP19" s="73" t="str">
        <f t="shared" ca="1" si="62"/>
        <v xml:space="preserve"> </v>
      </c>
      <c r="BQ19" s="73" t="str">
        <f t="shared" ca="1" si="63"/>
        <v xml:space="preserve"> </v>
      </c>
      <c r="BR19" s="73" t="str">
        <f t="shared" ca="1" si="64"/>
        <v xml:space="preserve"> </v>
      </c>
      <c r="BS19" s="73" t="str">
        <f t="shared" ca="1" si="65"/>
        <v xml:space="preserve"> </v>
      </c>
      <c r="BT19" s="73" t="str">
        <f t="shared" ca="1" si="66"/>
        <v xml:space="preserve"> </v>
      </c>
      <c r="BU19" s="73" t="str">
        <f t="shared" ca="1" si="67"/>
        <v xml:space="preserve"> </v>
      </c>
      <c r="BV19" s="73" t="str">
        <f t="shared" ca="1" si="68"/>
        <v xml:space="preserve"> </v>
      </c>
      <c r="BW19" s="72" t="s">
        <v>910</v>
      </c>
    </row>
    <row r="20" spans="1:75" ht="37.5" customHeight="1">
      <c r="A20" s="211" t="s">
        <v>870</v>
      </c>
      <c r="B20" s="72" t="e">
        <f>#REF!</f>
        <v>#REF!</v>
      </c>
      <c r="C20" s="73" t="str">
        <f ca="1">IF(COUNTIF(Conso!R18,"*Marginal*"),"x"," ")</f>
        <v xml:space="preserve"> </v>
      </c>
      <c r="D20" s="73" t="str">
        <f ca="1">IF(COUNTIF(Conso!R18,"*Faible*"),"x"," ")</f>
        <v xml:space="preserve"> </v>
      </c>
      <c r="E20" s="73" t="str">
        <f ca="1">IF(COUNTIF(Conso!R18,"*Modéré*"),"x"," ")</f>
        <v xml:space="preserve"> </v>
      </c>
      <c r="F20" s="73" t="str">
        <f ca="1">IF(COUNTIF(Conso!R18,"*Elevé*"),"x"," ")</f>
        <v xml:space="preserve"> </v>
      </c>
      <c r="G20" s="73" t="str">
        <f ca="1">IF(COUNTIF(Conso!R18,"*Critique*"),"x"," ")</f>
        <v xml:space="preserve"> </v>
      </c>
      <c r="H20" s="73" t="str">
        <f ca="1">IF(COUNTIF(Conso!R18,"*Catastrophique*"),"x"," ")</f>
        <v xml:space="preserve"> </v>
      </c>
      <c r="I20" s="73" t="str">
        <f ca="1">IF(COUNTIF(Conso!Q18,"*Exceptionnelle*"),"x"," ")</f>
        <v xml:space="preserve"> </v>
      </c>
      <c r="J20" s="73" t="str">
        <f ca="1">IF(COUNTIF(Conso!Q18,"*Rare*"),"x"," ")</f>
        <v xml:space="preserve"> </v>
      </c>
      <c r="K20" s="73" t="str">
        <f ca="1">IF(COUNTIF(Conso!Q18,"*Modérée*"),"x"," ")</f>
        <v xml:space="preserve"> </v>
      </c>
      <c r="L20" s="73" t="str">
        <f ca="1">IF(COUNTIF(Conso!Q18,"*Elevée*"),"x"," ")</f>
        <v xml:space="preserve"> </v>
      </c>
      <c r="M20" s="73" t="str">
        <f ca="1">IF(COUNTIF(Conso!Q18,"*Récurrente*"),"x"," ")</f>
        <v xml:space="preserve"> </v>
      </c>
      <c r="N20" s="73" t="str">
        <f ca="1">IF(COUNTIF(Conso!Q18,"*Permanente*"),"x"," ")</f>
        <v xml:space="preserve"> </v>
      </c>
      <c r="O20" s="74" t="str">
        <f t="shared" ca="1" si="13"/>
        <v xml:space="preserve"> </v>
      </c>
      <c r="P20" s="74" t="str">
        <f t="shared" ca="1" si="14"/>
        <v xml:space="preserve"> </v>
      </c>
      <c r="Q20" s="74" t="str">
        <f t="shared" ca="1" si="15"/>
        <v xml:space="preserve"> </v>
      </c>
      <c r="R20" s="74" t="str">
        <f t="shared" ca="1" si="16"/>
        <v xml:space="preserve"> </v>
      </c>
      <c r="S20" s="74" t="str">
        <f t="shared" ca="1" si="17"/>
        <v xml:space="preserve"> </v>
      </c>
      <c r="T20" s="74" t="str">
        <f t="shared" ca="1" si="18"/>
        <v xml:space="preserve"> </v>
      </c>
      <c r="U20" s="74" t="str">
        <f t="shared" ca="1" si="19"/>
        <v xml:space="preserve"> </v>
      </c>
      <c r="V20" s="74" t="str">
        <f t="shared" ca="1" si="20"/>
        <v xml:space="preserve"> </v>
      </c>
      <c r="W20" s="74" t="str">
        <f t="shared" ca="1" si="21"/>
        <v xml:space="preserve"> </v>
      </c>
      <c r="X20" s="74" t="str">
        <f t="shared" ca="1" si="22"/>
        <v xml:space="preserve"> </v>
      </c>
      <c r="Y20" s="74" t="str">
        <f t="shared" ca="1" si="23"/>
        <v xml:space="preserve"> </v>
      </c>
      <c r="Z20" s="74" t="str">
        <f t="shared" ca="1" si="24"/>
        <v xml:space="preserve"> </v>
      </c>
      <c r="AA20" s="74" t="str">
        <f t="shared" ca="1" si="25"/>
        <v xml:space="preserve"> </v>
      </c>
      <c r="AB20" s="74" t="str">
        <f t="shared" ca="1" si="26"/>
        <v xml:space="preserve"> </v>
      </c>
      <c r="AC20" s="74" t="str">
        <f t="shared" ca="1" si="27"/>
        <v xml:space="preserve"> </v>
      </c>
      <c r="AD20" s="74" t="str">
        <f t="shared" ca="1" si="28"/>
        <v xml:space="preserve"> </v>
      </c>
      <c r="AE20" s="74" t="str">
        <f t="shared" ca="1" si="29"/>
        <v xml:space="preserve"> </v>
      </c>
      <c r="AF20" s="74" t="str">
        <f t="shared" ca="1" si="30"/>
        <v xml:space="preserve"> </v>
      </c>
      <c r="AG20" s="74" t="str">
        <f t="shared" ca="1" si="31"/>
        <v xml:space="preserve"> </v>
      </c>
      <c r="AH20" s="74" t="str">
        <f t="shared" ca="1" si="32"/>
        <v xml:space="preserve"> </v>
      </c>
      <c r="AI20" s="74" t="str">
        <f t="shared" ca="1" si="33"/>
        <v xml:space="preserve"> </v>
      </c>
      <c r="AJ20" s="74" t="str">
        <f t="shared" ca="1" si="34"/>
        <v xml:space="preserve"> </v>
      </c>
      <c r="AK20" s="74" t="str">
        <f t="shared" ca="1" si="35"/>
        <v xml:space="preserve"> </v>
      </c>
      <c r="AL20" s="74" t="str">
        <f t="shared" ca="1" si="36"/>
        <v xml:space="preserve"> </v>
      </c>
      <c r="AM20" s="74" t="str">
        <f t="shared" ca="1" si="37"/>
        <v xml:space="preserve"> </v>
      </c>
      <c r="AN20" s="74" t="str">
        <f t="shared" ca="1" si="38"/>
        <v xml:space="preserve"> </v>
      </c>
      <c r="AO20" s="74" t="str">
        <f t="shared" ca="1" si="39"/>
        <v xml:space="preserve"> </v>
      </c>
      <c r="AP20" s="74" t="str">
        <f t="shared" ca="1" si="40"/>
        <v xml:space="preserve"> </v>
      </c>
      <c r="AQ20" s="74" t="str">
        <f t="shared" ca="1" si="41"/>
        <v xml:space="preserve"> </v>
      </c>
      <c r="AR20" s="74" t="str">
        <f t="shared" ca="1" si="42"/>
        <v xml:space="preserve"> </v>
      </c>
      <c r="AS20" s="74" t="str">
        <f t="shared" ca="1" si="43"/>
        <v xml:space="preserve"> </v>
      </c>
      <c r="AT20" s="74" t="str">
        <f t="shared" ca="1" si="44"/>
        <v xml:space="preserve"> </v>
      </c>
      <c r="AU20" s="74" t="str">
        <f t="shared" ca="1" si="45"/>
        <v xml:space="preserve"> </v>
      </c>
      <c r="AV20" s="74" t="str">
        <f t="shared" ca="1" si="46"/>
        <v xml:space="preserve"> </v>
      </c>
      <c r="AW20" s="74" t="str">
        <f t="shared" ca="1" si="47"/>
        <v xml:space="preserve"> </v>
      </c>
      <c r="AX20" s="74" t="str">
        <f t="shared" ca="1" si="48"/>
        <v xml:space="preserve"> </v>
      </c>
      <c r="AY20" s="75" t="str">
        <f t="shared" ca="1" si="49"/>
        <v xml:space="preserve"> </v>
      </c>
      <c r="AZ20" s="73" t="str">
        <f t="shared" ca="1" si="50"/>
        <v xml:space="preserve"> </v>
      </c>
      <c r="BA20" s="73" t="str">
        <f t="shared" ca="1" si="51"/>
        <v xml:space="preserve"> </v>
      </c>
      <c r="BB20" s="73" t="str">
        <f t="shared" ca="1" si="52"/>
        <v xml:space="preserve"> </v>
      </c>
      <c r="BC20" s="73" t="str">
        <f ca="1">IF(COUNTIF(Conso!P18,"*Insuffisant*"),"x"," ")</f>
        <v xml:space="preserve"> </v>
      </c>
      <c r="BD20" s="73" t="str">
        <f ca="1">IF(COUNTIF(Conso!P18,"*Faible*"),"x"," ")</f>
        <v xml:space="preserve"> </v>
      </c>
      <c r="BE20" s="73" t="str">
        <f ca="1">IF(COUNTIF(Conso!P18,"*Acceptable*"),"x"," ")</f>
        <v xml:space="preserve"> </v>
      </c>
      <c r="BF20" s="73" t="str">
        <f ca="1">IF(COUNTIF(Conso!P18,"*Maîtrisé*"),"x"," ")</f>
        <v xml:space="preserve"> </v>
      </c>
      <c r="BG20" s="73" t="str">
        <f t="shared" ca="1" si="53"/>
        <v xml:space="preserve"> </v>
      </c>
      <c r="BH20" s="73" t="str">
        <f t="shared" ca="1" si="54"/>
        <v xml:space="preserve"> </v>
      </c>
      <c r="BI20" s="73" t="str">
        <f t="shared" ca="1" si="55"/>
        <v xml:space="preserve"> </v>
      </c>
      <c r="BJ20" s="73" t="str">
        <f t="shared" ca="1" si="56"/>
        <v xml:space="preserve"> </v>
      </c>
      <c r="BK20" s="73" t="str">
        <f t="shared" ca="1" si="57"/>
        <v xml:space="preserve"> </v>
      </c>
      <c r="BL20" s="73" t="str">
        <f t="shared" ca="1" si="58"/>
        <v xml:space="preserve"> </v>
      </c>
      <c r="BM20" s="73" t="str">
        <f t="shared" ca="1" si="59"/>
        <v xml:space="preserve"> </v>
      </c>
      <c r="BN20" s="73" t="str">
        <f t="shared" ca="1" si="60"/>
        <v xml:space="preserve"> </v>
      </c>
      <c r="BO20" s="73" t="str">
        <f t="shared" ca="1" si="61"/>
        <v xml:space="preserve"> </v>
      </c>
      <c r="BP20" s="73" t="str">
        <f t="shared" ca="1" si="62"/>
        <v xml:space="preserve"> </v>
      </c>
      <c r="BQ20" s="73" t="str">
        <f t="shared" ca="1" si="63"/>
        <v xml:space="preserve"> </v>
      </c>
      <c r="BR20" s="73" t="str">
        <f t="shared" ca="1" si="64"/>
        <v xml:space="preserve"> </v>
      </c>
      <c r="BS20" s="73" t="str">
        <f t="shared" ca="1" si="65"/>
        <v xml:space="preserve"> </v>
      </c>
      <c r="BT20" s="73" t="str">
        <f t="shared" ca="1" si="66"/>
        <v xml:space="preserve"> </v>
      </c>
      <c r="BU20" s="73" t="str">
        <f t="shared" ca="1" si="67"/>
        <v xml:space="preserve"> </v>
      </c>
      <c r="BV20" s="73" t="str">
        <f t="shared" ca="1" si="68"/>
        <v xml:space="preserve"> </v>
      </c>
      <c r="BW20" s="72" t="s">
        <v>911</v>
      </c>
    </row>
    <row r="21" spans="1:75" ht="37.5" customHeight="1">
      <c r="A21" s="211" t="s">
        <v>871</v>
      </c>
      <c r="B21" s="72" t="e">
        <f>#REF!</f>
        <v>#REF!</v>
      </c>
      <c r="C21" s="73" t="str">
        <f ca="1">IF(COUNTIF(Conso!R19,"*Marginal*"),"x"," ")</f>
        <v xml:space="preserve"> </v>
      </c>
      <c r="D21" s="73" t="str">
        <f ca="1">IF(COUNTIF(Conso!R19,"*Faible*"),"x"," ")</f>
        <v xml:space="preserve"> </v>
      </c>
      <c r="E21" s="73" t="str">
        <f ca="1">IF(COUNTIF(Conso!R19,"*Modéré*"),"x"," ")</f>
        <v xml:space="preserve"> </v>
      </c>
      <c r="F21" s="73" t="str">
        <f ca="1">IF(COUNTIF(Conso!R19,"*Elevé*"),"x"," ")</f>
        <v xml:space="preserve"> </v>
      </c>
      <c r="G21" s="73" t="str">
        <f ca="1">IF(COUNTIF(Conso!R19,"*Critique*"),"x"," ")</f>
        <v xml:space="preserve"> </v>
      </c>
      <c r="H21" s="73" t="str">
        <f ca="1">IF(COUNTIF(Conso!R19,"*Catastrophique*"),"x"," ")</f>
        <v xml:space="preserve"> </v>
      </c>
      <c r="I21" s="73" t="str">
        <f ca="1">IF(COUNTIF(Conso!Q19,"*Exceptionnelle*"),"x"," ")</f>
        <v xml:space="preserve"> </v>
      </c>
      <c r="J21" s="73" t="str">
        <f ca="1">IF(COUNTIF(Conso!Q19,"*Rare*"),"x"," ")</f>
        <v xml:space="preserve"> </v>
      </c>
      <c r="K21" s="73" t="str">
        <f ca="1">IF(COUNTIF(Conso!Q19,"*Modérée*"),"x"," ")</f>
        <v xml:space="preserve"> </v>
      </c>
      <c r="L21" s="73" t="str">
        <f ca="1">IF(COUNTIF(Conso!Q19,"*Elevée*"),"x"," ")</f>
        <v xml:space="preserve"> </v>
      </c>
      <c r="M21" s="73" t="str">
        <f ca="1">IF(COUNTIF(Conso!Q19,"*Récurrente*"),"x"," ")</f>
        <v xml:space="preserve"> </v>
      </c>
      <c r="N21" s="73" t="str">
        <f ca="1">IF(COUNTIF(Conso!Q19,"*Permanente*"),"x"," ")</f>
        <v xml:space="preserve"> </v>
      </c>
      <c r="O21" s="74" t="str">
        <f t="shared" ca="1" si="13"/>
        <v xml:space="preserve"> </v>
      </c>
      <c r="P21" s="74" t="str">
        <f t="shared" ca="1" si="14"/>
        <v xml:space="preserve"> </v>
      </c>
      <c r="Q21" s="74" t="str">
        <f t="shared" ca="1" si="15"/>
        <v xml:space="preserve"> </v>
      </c>
      <c r="R21" s="74" t="str">
        <f t="shared" ca="1" si="16"/>
        <v xml:space="preserve"> </v>
      </c>
      <c r="S21" s="74" t="str">
        <f t="shared" ca="1" si="17"/>
        <v xml:space="preserve"> </v>
      </c>
      <c r="T21" s="74" t="str">
        <f t="shared" ca="1" si="18"/>
        <v xml:space="preserve"> </v>
      </c>
      <c r="U21" s="74" t="str">
        <f t="shared" ca="1" si="19"/>
        <v xml:space="preserve"> </v>
      </c>
      <c r="V21" s="74" t="str">
        <f t="shared" ca="1" si="20"/>
        <v xml:space="preserve"> </v>
      </c>
      <c r="W21" s="74" t="str">
        <f t="shared" ca="1" si="21"/>
        <v xml:space="preserve"> </v>
      </c>
      <c r="X21" s="74" t="str">
        <f t="shared" ca="1" si="22"/>
        <v xml:space="preserve"> </v>
      </c>
      <c r="Y21" s="74" t="str">
        <f t="shared" ca="1" si="23"/>
        <v xml:space="preserve"> </v>
      </c>
      <c r="Z21" s="74" t="str">
        <f t="shared" ca="1" si="24"/>
        <v xml:space="preserve"> </v>
      </c>
      <c r="AA21" s="74" t="str">
        <f t="shared" ca="1" si="25"/>
        <v xml:space="preserve"> </v>
      </c>
      <c r="AB21" s="74" t="str">
        <f t="shared" ca="1" si="26"/>
        <v xml:space="preserve"> </v>
      </c>
      <c r="AC21" s="74" t="str">
        <f t="shared" ca="1" si="27"/>
        <v xml:space="preserve"> </v>
      </c>
      <c r="AD21" s="74" t="str">
        <f t="shared" ca="1" si="28"/>
        <v xml:space="preserve"> </v>
      </c>
      <c r="AE21" s="74" t="str">
        <f t="shared" ca="1" si="29"/>
        <v xml:space="preserve"> </v>
      </c>
      <c r="AF21" s="74" t="str">
        <f t="shared" ca="1" si="30"/>
        <v xml:space="preserve"> </v>
      </c>
      <c r="AG21" s="74" t="str">
        <f t="shared" ca="1" si="31"/>
        <v xml:space="preserve"> </v>
      </c>
      <c r="AH21" s="74" t="str">
        <f t="shared" ca="1" si="32"/>
        <v xml:space="preserve"> </v>
      </c>
      <c r="AI21" s="74" t="str">
        <f t="shared" ca="1" si="33"/>
        <v xml:space="preserve"> </v>
      </c>
      <c r="AJ21" s="74" t="str">
        <f t="shared" ca="1" si="34"/>
        <v xml:space="preserve"> </v>
      </c>
      <c r="AK21" s="74" t="str">
        <f t="shared" ca="1" si="35"/>
        <v xml:space="preserve"> </v>
      </c>
      <c r="AL21" s="74" t="str">
        <f t="shared" ca="1" si="36"/>
        <v xml:space="preserve"> </v>
      </c>
      <c r="AM21" s="74" t="str">
        <f t="shared" ca="1" si="37"/>
        <v xml:space="preserve"> </v>
      </c>
      <c r="AN21" s="74" t="str">
        <f t="shared" ca="1" si="38"/>
        <v xml:space="preserve"> </v>
      </c>
      <c r="AO21" s="74" t="str">
        <f t="shared" ca="1" si="39"/>
        <v xml:space="preserve"> </v>
      </c>
      <c r="AP21" s="74" t="str">
        <f t="shared" ca="1" si="40"/>
        <v xml:space="preserve"> </v>
      </c>
      <c r="AQ21" s="74" t="str">
        <f t="shared" ca="1" si="41"/>
        <v xml:space="preserve"> </v>
      </c>
      <c r="AR21" s="74" t="str">
        <f t="shared" ca="1" si="42"/>
        <v xml:space="preserve"> </v>
      </c>
      <c r="AS21" s="74" t="str">
        <f t="shared" ca="1" si="43"/>
        <v xml:space="preserve"> </v>
      </c>
      <c r="AT21" s="74" t="str">
        <f t="shared" ca="1" si="44"/>
        <v xml:space="preserve"> </v>
      </c>
      <c r="AU21" s="74" t="str">
        <f t="shared" ca="1" si="45"/>
        <v xml:space="preserve"> </v>
      </c>
      <c r="AV21" s="74" t="str">
        <f t="shared" ca="1" si="46"/>
        <v xml:space="preserve"> </v>
      </c>
      <c r="AW21" s="74" t="str">
        <f t="shared" ca="1" si="47"/>
        <v xml:space="preserve"> </v>
      </c>
      <c r="AX21" s="74" t="str">
        <f t="shared" ca="1" si="48"/>
        <v xml:space="preserve"> </v>
      </c>
      <c r="AY21" s="75" t="str">
        <f t="shared" ca="1" si="49"/>
        <v xml:space="preserve"> </v>
      </c>
      <c r="AZ21" s="73" t="str">
        <f t="shared" ca="1" si="50"/>
        <v xml:space="preserve"> </v>
      </c>
      <c r="BA21" s="73" t="str">
        <f t="shared" ca="1" si="51"/>
        <v xml:space="preserve"> </v>
      </c>
      <c r="BB21" s="73" t="str">
        <f t="shared" ca="1" si="52"/>
        <v xml:space="preserve"> </v>
      </c>
      <c r="BC21" s="73" t="str">
        <f ca="1">IF(COUNTIF(Conso!P19,"*Insuffisant*"),"x"," ")</f>
        <v xml:space="preserve"> </v>
      </c>
      <c r="BD21" s="73" t="str">
        <f ca="1">IF(COUNTIF(Conso!P19,"*Faible*"),"x"," ")</f>
        <v xml:space="preserve"> </v>
      </c>
      <c r="BE21" s="73" t="str">
        <f ca="1">IF(COUNTIF(Conso!P19,"*Acceptable*"),"x"," ")</f>
        <v xml:space="preserve"> </v>
      </c>
      <c r="BF21" s="73" t="str">
        <f ca="1">IF(COUNTIF(Conso!P19,"*Maîtrisé*"),"x"," ")</f>
        <v xml:space="preserve"> </v>
      </c>
      <c r="BG21" s="73" t="str">
        <f t="shared" ca="1" si="53"/>
        <v xml:space="preserve"> </v>
      </c>
      <c r="BH21" s="73" t="str">
        <f t="shared" ca="1" si="54"/>
        <v xml:space="preserve"> </v>
      </c>
      <c r="BI21" s="73" t="str">
        <f t="shared" ca="1" si="55"/>
        <v xml:space="preserve"> </v>
      </c>
      <c r="BJ21" s="73" t="str">
        <f t="shared" ca="1" si="56"/>
        <v xml:space="preserve"> </v>
      </c>
      <c r="BK21" s="73" t="str">
        <f t="shared" ca="1" si="57"/>
        <v xml:space="preserve"> </v>
      </c>
      <c r="BL21" s="73" t="str">
        <f t="shared" ca="1" si="58"/>
        <v xml:space="preserve"> </v>
      </c>
      <c r="BM21" s="73" t="str">
        <f t="shared" ca="1" si="59"/>
        <v xml:space="preserve"> </v>
      </c>
      <c r="BN21" s="73" t="str">
        <f t="shared" ca="1" si="60"/>
        <v xml:space="preserve"> </v>
      </c>
      <c r="BO21" s="73" t="str">
        <f t="shared" ca="1" si="61"/>
        <v xml:space="preserve"> </v>
      </c>
      <c r="BP21" s="73" t="str">
        <f t="shared" ca="1" si="62"/>
        <v xml:space="preserve"> </v>
      </c>
      <c r="BQ21" s="73" t="str">
        <f t="shared" ca="1" si="63"/>
        <v xml:space="preserve"> </v>
      </c>
      <c r="BR21" s="73" t="str">
        <f t="shared" ca="1" si="64"/>
        <v xml:space="preserve"> </v>
      </c>
      <c r="BS21" s="73" t="str">
        <f t="shared" ca="1" si="65"/>
        <v xml:space="preserve"> </v>
      </c>
      <c r="BT21" s="73" t="str">
        <f t="shared" ca="1" si="66"/>
        <v xml:space="preserve"> </v>
      </c>
      <c r="BU21" s="73" t="str">
        <f t="shared" ca="1" si="67"/>
        <v xml:space="preserve"> </v>
      </c>
      <c r="BV21" s="73" t="str">
        <f t="shared" ca="1" si="68"/>
        <v xml:space="preserve"> </v>
      </c>
      <c r="BW21" s="72" t="s">
        <v>912</v>
      </c>
    </row>
    <row r="22" spans="1:75" ht="37.5" customHeight="1">
      <c r="A22" s="211" t="s">
        <v>872</v>
      </c>
      <c r="B22" s="72" t="e">
        <f>#REF!</f>
        <v>#REF!</v>
      </c>
      <c r="C22" s="73" t="str">
        <f ca="1">IF(COUNTIF(Conso!R20,"*Marginal*"),"x"," ")</f>
        <v xml:space="preserve"> </v>
      </c>
      <c r="D22" s="73" t="str">
        <f ca="1">IF(COUNTIF(Conso!R20,"*Faible*"),"x"," ")</f>
        <v xml:space="preserve"> </v>
      </c>
      <c r="E22" s="73" t="str">
        <f ca="1">IF(COUNTIF(Conso!R20,"*Modéré*"),"x"," ")</f>
        <v xml:space="preserve"> </v>
      </c>
      <c r="F22" s="73" t="str">
        <f ca="1">IF(COUNTIF(Conso!R20,"*Elevé*"),"x"," ")</f>
        <v xml:space="preserve"> </v>
      </c>
      <c r="G22" s="73" t="str">
        <f ca="1">IF(COUNTIF(Conso!R20,"*Critique*"),"x"," ")</f>
        <v xml:space="preserve"> </v>
      </c>
      <c r="H22" s="73" t="str">
        <f ca="1">IF(COUNTIF(Conso!R20,"*Catastrophique*"),"x"," ")</f>
        <v xml:space="preserve"> </v>
      </c>
      <c r="I22" s="73" t="str">
        <f ca="1">IF(COUNTIF(Conso!Q20,"*Exceptionnelle*"),"x"," ")</f>
        <v xml:space="preserve"> </v>
      </c>
      <c r="J22" s="73" t="str">
        <f ca="1">IF(COUNTIF(Conso!Q20,"*Rare*"),"x"," ")</f>
        <v xml:space="preserve"> </v>
      </c>
      <c r="K22" s="73" t="str">
        <f ca="1">IF(COUNTIF(Conso!Q20,"*Modérée*"),"x"," ")</f>
        <v xml:space="preserve"> </v>
      </c>
      <c r="L22" s="73" t="str">
        <f ca="1">IF(COUNTIF(Conso!Q20,"*Elevée*"),"x"," ")</f>
        <v xml:space="preserve"> </v>
      </c>
      <c r="M22" s="73" t="str">
        <f ca="1">IF(COUNTIF(Conso!Q20,"*Récurrente*"),"x"," ")</f>
        <v xml:space="preserve"> </v>
      </c>
      <c r="N22" s="73" t="str">
        <f ca="1">IF(COUNTIF(Conso!Q20,"*Permanente*"),"x"," ")</f>
        <v xml:space="preserve"> </v>
      </c>
      <c r="O22" s="74" t="str">
        <f t="shared" ca="1" si="13"/>
        <v xml:space="preserve"> </v>
      </c>
      <c r="P22" s="74" t="str">
        <f t="shared" ca="1" si="14"/>
        <v xml:space="preserve"> </v>
      </c>
      <c r="Q22" s="74" t="str">
        <f t="shared" ca="1" si="15"/>
        <v xml:space="preserve"> </v>
      </c>
      <c r="R22" s="74" t="str">
        <f t="shared" ca="1" si="16"/>
        <v xml:space="preserve"> </v>
      </c>
      <c r="S22" s="74" t="str">
        <f t="shared" ca="1" si="17"/>
        <v xml:space="preserve"> </v>
      </c>
      <c r="T22" s="74" t="str">
        <f t="shared" ca="1" si="18"/>
        <v xml:space="preserve"> </v>
      </c>
      <c r="U22" s="74" t="str">
        <f t="shared" ca="1" si="19"/>
        <v xml:space="preserve"> </v>
      </c>
      <c r="V22" s="74" t="str">
        <f t="shared" ca="1" si="20"/>
        <v xml:space="preserve"> </v>
      </c>
      <c r="W22" s="74" t="str">
        <f t="shared" ca="1" si="21"/>
        <v xml:space="preserve"> </v>
      </c>
      <c r="X22" s="74" t="str">
        <f t="shared" ca="1" si="22"/>
        <v xml:space="preserve"> </v>
      </c>
      <c r="Y22" s="74" t="str">
        <f t="shared" ca="1" si="23"/>
        <v xml:space="preserve"> </v>
      </c>
      <c r="Z22" s="74" t="str">
        <f t="shared" ca="1" si="24"/>
        <v xml:space="preserve"> </v>
      </c>
      <c r="AA22" s="74" t="str">
        <f t="shared" ca="1" si="25"/>
        <v xml:space="preserve"> </v>
      </c>
      <c r="AB22" s="74" t="str">
        <f t="shared" ca="1" si="26"/>
        <v xml:space="preserve"> </v>
      </c>
      <c r="AC22" s="74" t="str">
        <f t="shared" ca="1" si="27"/>
        <v xml:space="preserve"> </v>
      </c>
      <c r="AD22" s="74" t="str">
        <f t="shared" ca="1" si="28"/>
        <v xml:space="preserve"> </v>
      </c>
      <c r="AE22" s="74" t="str">
        <f t="shared" ca="1" si="29"/>
        <v xml:space="preserve"> </v>
      </c>
      <c r="AF22" s="74" t="str">
        <f t="shared" ca="1" si="30"/>
        <v xml:space="preserve"> </v>
      </c>
      <c r="AG22" s="74" t="str">
        <f t="shared" ca="1" si="31"/>
        <v xml:space="preserve"> </v>
      </c>
      <c r="AH22" s="74" t="str">
        <f t="shared" ca="1" si="32"/>
        <v xml:space="preserve"> </v>
      </c>
      <c r="AI22" s="74" t="str">
        <f t="shared" ca="1" si="33"/>
        <v xml:space="preserve"> </v>
      </c>
      <c r="AJ22" s="74" t="str">
        <f t="shared" ca="1" si="34"/>
        <v xml:space="preserve"> </v>
      </c>
      <c r="AK22" s="74" t="str">
        <f t="shared" ca="1" si="35"/>
        <v xml:space="preserve"> </v>
      </c>
      <c r="AL22" s="74" t="str">
        <f t="shared" ca="1" si="36"/>
        <v xml:space="preserve"> </v>
      </c>
      <c r="AM22" s="74" t="str">
        <f t="shared" ca="1" si="37"/>
        <v xml:space="preserve"> </v>
      </c>
      <c r="AN22" s="74" t="str">
        <f t="shared" ca="1" si="38"/>
        <v xml:space="preserve"> </v>
      </c>
      <c r="AO22" s="74" t="str">
        <f t="shared" ca="1" si="39"/>
        <v xml:space="preserve"> </v>
      </c>
      <c r="AP22" s="74" t="str">
        <f t="shared" ca="1" si="40"/>
        <v xml:space="preserve"> </v>
      </c>
      <c r="AQ22" s="74" t="str">
        <f t="shared" ca="1" si="41"/>
        <v xml:space="preserve"> </v>
      </c>
      <c r="AR22" s="74" t="str">
        <f t="shared" ca="1" si="42"/>
        <v xml:space="preserve"> </v>
      </c>
      <c r="AS22" s="74" t="str">
        <f t="shared" ca="1" si="43"/>
        <v xml:space="preserve"> </v>
      </c>
      <c r="AT22" s="74" t="str">
        <f t="shared" ca="1" si="44"/>
        <v xml:space="preserve"> </v>
      </c>
      <c r="AU22" s="74" t="str">
        <f t="shared" ca="1" si="45"/>
        <v xml:space="preserve"> </v>
      </c>
      <c r="AV22" s="74" t="str">
        <f t="shared" ca="1" si="46"/>
        <v xml:space="preserve"> </v>
      </c>
      <c r="AW22" s="74" t="str">
        <f t="shared" ca="1" si="47"/>
        <v xml:space="preserve"> </v>
      </c>
      <c r="AX22" s="74" t="str">
        <f t="shared" ca="1" si="48"/>
        <v xml:space="preserve"> </v>
      </c>
      <c r="AY22" s="75" t="str">
        <f t="shared" ca="1" si="49"/>
        <v xml:space="preserve"> </v>
      </c>
      <c r="AZ22" s="73" t="str">
        <f t="shared" ca="1" si="50"/>
        <v xml:space="preserve"> </v>
      </c>
      <c r="BA22" s="73" t="str">
        <f t="shared" ca="1" si="51"/>
        <v xml:space="preserve"> </v>
      </c>
      <c r="BB22" s="73" t="str">
        <f t="shared" ca="1" si="52"/>
        <v xml:space="preserve"> </v>
      </c>
      <c r="BC22" s="73" t="str">
        <f ca="1">IF(COUNTIF(Conso!P20,"*Insuffisant*"),"x"," ")</f>
        <v xml:space="preserve"> </v>
      </c>
      <c r="BD22" s="73" t="str">
        <f ca="1">IF(COUNTIF(Conso!P20,"*Faible*"),"x"," ")</f>
        <v xml:space="preserve"> </v>
      </c>
      <c r="BE22" s="73" t="str">
        <f ca="1">IF(COUNTIF(Conso!P20,"*Acceptable*"),"x"," ")</f>
        <v xml:space="preserve"> </v>
      </c>
      <c r="BF22" s="73" t="str">
        <f ca="1">IF(COUNTIF(Conso!P20,"*Maîtrisé*"),"x"," ")</f>
        <v xml:space="preserve"> </v>
      </c>
      <c r="BG22" s="73" t="str">
        <f t="shared" ca="1" si="53"/>
        <v xml:space="preserve"> </v>
      </c>
      <c r="BH22" s="73" t="str">
        <f t="shared" ca="1" si="54"/>
        <v xml:space="preserve"> </v>
      </c>
      <c r="BI22" s="73" t="str">
        <f t="shared" ca="1" si="55"/>
        <v xml:space="preserve"> </v>
      </c>
      <c r="BJ22" s="73" t="str">
        <f t="shared" ca="1" si="56"/>
        <v xml:space="preserve"> </v>
      </c>
      <c r="BK22" s="73" t="str">
        <f t="shared" ca="1" si="57"/>
        <v xml:space="preserve"> </v>
      </c>
      <c r="BL22" s="73" t="str">
        <f t="shared" ca="1" si="58"/>
        <v xml:space="preserve"> </v>
      </c>
      <c r="BM22" s="73" t="str">
        <f t="shared" ca="1" si="59"/>
        <v xml:space="preserve"> </v>
      </c>
      <c r="BN22" s="73" t="str">
        <f t="shared" ca="1" si="60"/>
        <v xml:space="preserve"> </v>
      </c>
      <c r="BO22" s="73" t="str">
        <f t="shared" ca="1" si="61"/>
        <v xml:space="preserve"> </v>
      </c>
      <c r="BP22" s="73" t="str">
        <f t="shared" ca="1" si="62"/>
        <v xml:space="preserve"> </v>
      </c>
      <c r="BQ22" s="73" t="str">
        <f t="shared" ca="1" si="63"/>
        <v xml:space="preserve"> </v>
      </c>
      <c r="BR22" s="73" t="str">
        <f t="shared" ca="1" si="64"/>
        <v xml:space="preserve"> </v>
      </c>
      <c r="BS22" s="73" t="str">
        <f t="shared" ca="1" si="65"/>
        <v xml:space="preserve"> </v>
      </c>
      <c r="BT22" s="73" t="str">
        <f t="shared" ca="1" si="66"/>
        <v xml:space="preserve"> </v>
      </c>
      <c r="BU22" s="73" t="str">
        <f t="shared" ca="1" si="67"/>
        <v xml:space="preserve"> </v>
      </c>
      <c r="BV22" s="73" t="str">
        <f t="shared" ca="1" si="68"/>
        <v xml:space="preserve"> </v>
      </c>
      <c r="BW22" s="72" t="s">
        <v>913</v>
      </c>
    </row>
    <row r="23" spans="1:75" ht="37.5" customHeight="1">
      <c r="A23" s="211" t="s">
        <v>873</v>
      </c>
      <c r="B23" s="72" t="e">
        <f>#REF!</f>
        <v>#REF!</v>
      </c>
      <c r="C23" s="73" t="str">
        <f ca="1">IF(COUNTIF(Conso!R21,"*Marginal*"),"x"," ")</f>
        <v xml:space="preserve"> </v>
      </c>
      <c r="D23" s="73" t="str">
        <f ca="1">IF(COUNTIF(Conso!R21,"*Faible*"),"x"," ")</f>
        <v xml:space="preserve"> </v>
      </c>
      <c r="E23" s="73" t="str">
        <f ca="1">IF(COUNTIF(Conso!R21,"*Modéré*"),"x"," ")</f>
        <v xml:space="preserve"> </v>
      </c>
      <c r="F23" s="73" t="str">
        <f ca="1">IF(COUNTIF(Conso!R21,"*Elevé*"),"x"," ")</f>
        <v xml:space="preserve"> </v>
      </c>
      <c r="G23" s="73" t="str">
        <f ca="1">IF(COUNTIF(Conso!R21,"*Critique*"),"x"," ")</f>
        <v xml:space="preserve"> </v>
      </c>
      <c r="H23" s="73" t="str">
        <f ca="1">IF(COUNTIF(Conso!R21,"*Catastrophique*"),"x"," ")</f>
        <v xml:space="preserve"> </v>
      </c>
      <c r="I23" s="73" t="str">
        <f ca="1">IF(COUNTIF(Conso!Q21,"*Exceptionnelle*"),"x"," ")</f>
        <v xml:space="preserve"> </v>
      </c>
      <c r="J23" s="73" t="str">
        <f ca="1">IF(COUNTIF(Conso!Q21,"*Rare*"),"x"," ")</f>
        <v xml:space="preserve"> </v>
      </c>
      <c r="K23" s="73" t="str">
        <f ca="1">IF(COUNTIF(Conso!Q21,"*Modérée*"),"x"," ")</f>
        <v xml:space="preserve"> </v>
      </c>
      <c r="L23" s="73" t="str">
        <f ca="1">IF(COUNTIF(Conso!Q21,"*Elevée*"),"x"," ")</f>
        <v xml:space="preserve"> </v>
      </c>
      <c r="M23" s="73" t="str">
        <f ca="1">IF(COUNTIF(Conso!Q21,"*Récurrente*"),"x"," ")</f>
        <v xml:space="preserve"> </v>
      </c>
      <c r="N23" s="73" t="str">
        <f ca="1">IF(COUNTIF(Conso!Q21,"*Permanente*"),"x"," ")</f>
        <v xml:space="preserve"> </v>
      </c>
      <c r="O23" s="74" t="str">
        <f t="shared" ca="1" si="13"/>
        <v xml:space="preserve"> </v>
      </c>
      <c r="P23" s="74" t="str">
        <f t="shared" ca="1" si="14"/>
        <v xml:space="preserve"> </v>
      </c>
      <c r="Q23" s="74" t="str">
        <f t="shared" ca="1" si="15"/>
        <v xml:space="preserve"> </v>
      </c>
      <c r="R23" s="74" t="str">
        <f t="shared" ca="1" si="16"/>
        <v xml:space="preserve"> </v>
      </c>
      <c r="S23" s="74" t="str">
        <f t="shared" ca="1" si="17"/>
        <v xml:space="preserve"> </v>
      </c>
      <c r="T23" s="74" t="str">
        <f t="shared" ca="1" si="18"/>
        <v xml:space="preserve"> </v>
      </c>
      <c r="U23" s="74" t="str">
        <f t="shared" ca="1" si="19"/>
        <v xml:space="preserve"> </v>
      </c>
      <c r="V23" s="74" t="str">
        <f t="shared" ca="1" si="20"/>
        <v xml:space="preserve"> </v>
      </c>
      <c r="W23" s="74" t="str">
        <f t="shared" ca="1" si="21"/>
        <v xml:space="preserve"> </v>
      </c>
      <c r="X23" s="74" t="str">
        <f t="shared" ca="1" si="22"/>
        <v xml:space="preserve"> </v>
      </c>
      <c r="Y23" s="74" t="str">
        <f t="shared" ca="1" si="23"/>
        <v xml:space="preserve"> </v>
      </c>
      <c r="Z23" s="74" t="str">
        <f t="shared" ca="1" si="24"/>
        <v xml:space="preserve"> </v>
      </c>
      <c r="AA23" s="74" t="str">
        <f t="shared" ca="1" si="25"/>
        <v xml:space="preserve"> </v>
      </c>
      <c r="AB23" s="74" t="str">
        <f t="shared" ca="1" si="26"/>
        <v xml:space="preserve"> </v>
      </c>
      <c r="AC23" s="74" t="str">
        <f t="shared" ca="1" si="27"/>
        <v xml:space="preserve"> </v>
      </c>
      <c r="AD23" s="74" t="str">
        <f t="shared" ca="1" si="28"/>
        <v xml:space="preserve"> </v>
      </c>
      <c r="AE23" s="74" t="str">
        <f t="shared" ca="1" si="29"/>
        <v xml:space="preserve"> </v>
      </c>
      <c r="AF23" s="74" t="str">
        <f t="shared" ca="1" si="30"/>
        <v xml:space="preserve"> </v>
      </c>
      <c r="AG23" s="74" t="str">
        <f t="shared" ca="1" si="31"/>
        <v xml:space="preserve"> </v>
      </c>
      <c r="AH23" s="74" t="str">
        <f t="shared" ca="1" si="32"/>
        <v xml:space="preserve"> </v>
      </c>
      <c r="AI23" s="74" t="str">
        <f t="shared" ca="1" si="33"/>
        <v xml:space="preserve"> </v>
      </c>
      <c r="AJ23" s="74" t="str">
        <f t="shared" ca="1" si="34"/>
        <v xml:space="preserve"> </v>
      </c>
      <c r="AK23" s="74" t="str">
        <f t="shared" ca="1" si="35"/>
        <v xml:space="preserve"> </v>
      </c>
      <c r="AL23" s="74" t="str">
        <f t="shared" ca="1" si="36"/>
        <v xml:space="preserve"> </v>
      </c>
      <c r="AM23" s="74" t="str">
        <f t="shared" ca="1" si="37"/>
        <v xml:space="preserve"> </v>
      </c>
      <c r="AN23" s="74" t="str">
        <f t="shared" ca="1" si="38"/>
        <v xml:space="preserve"> </v>
      </c>
      <c r="AO23" s="74" t="str">
        <f t="shared" ca="1" si="39"/>
        <v xml:space="preserve"> </v>
      </c>
      <c r="AP23" s="74" t="str">
        <f t="shared" ca="1" si="40"/>
        <v xml:space="preserve"> </v>
      </c>
      <c r="AQ23" s="74" t="str">
        <f t="shared" ca="1" si="41"/>
        <v xml:space="preserve"> </v>
      </c>
      <c r="AR23" s="74" t="str">
        <f t="shared" ca="1" si="42"/>
        <v xml:space="preserve"> </v>
      </c>
      <c r="AS23" s="74" t="str">
        <f t="shared" ca="1" si="43"/>
        <v xml:space="preserve"> </v>
      </c>
      <c r="AT23" s="74" t="str">
        <f t="shared" ca="1" si="44"/>
        <v xml:space="preserve"> </v>
      </c>
      <c r="AU23" s="74" t="str">
        <f t="shared" ca="1" si="45"/>
        <v xml:space="preserve"> </v>
      </c>
      <c r="AV23" s="74" t="str">
        <f t="shared" ca="1" si="46"/>
        <v xml:space="preserve"> </v>
      </c>
      <c r="AW23" s="74" t="str">
        <f t="shared" ca="1" si="47"/>
        <v xml:space="preserve"> </v>
      </c>
      <c r="AX23" s="74" t="str">
        <f t="shared" ca="1" si="48"/>
        <v xml:space="preserve"> </v>
      </c>
      <c r="AY23" s="75" t="str">
        <f t="shared" ca="1" si="49"/>
        <v xml:space="preserve"> </v>
      </c>
      <c r="AZ23" s="73" t="str">
        <f t="shared" ca="1" si="50"/>
        <v xml:space="preserve"> </v>
      </c>
      <c r="BA23" s="73" t="str">
        <f t="shared" ca="1" si="51"/>
        <v xml:space="preserve"> </v>
      </c>
      <c r="BB23" s="73" t="str">
        <f t="shared" ca="1" si="52"/>
        <v xml:space="preserve"> </v>
      </c>
      <c r="BC23" s="73" t="str">
        <f ca="1">IF(COUNTIF(Conso!P21,"*Insuffisant*"),"x"," ")</f>
        <v xml:space="preserve"> </v>
      </c>
      <c r="BD23" s="73" t="str">
        <f ca="1">IF(COUNTIF(Conso!P21,"*Faible*"),"x"," ")</f>
        <v xml:space="preserve"> </v>
      </c>
      <c r="BE23" s="73" t="str">
        <f ca="1">IF(COUNTIF(Conso!P21,"*Acceptable*"),"x"," ")</f>
        <v xml:space="preserve"> </v>
      </c>
      <c r="BF23" s="73" t="str">
        <f ca="1">IF(COUNTIF(Conso!P21,"*Maîtrisé*"),"x"," ")</f>
        <v xml:space="preserve"> </v>
      </c>
      <c r="BG23" s="73" t="str">
        <f t="shared" ca="1" si="53"/>
        <v xml:space="preserve"> </v>
      </c>
      <c r="BH23" s="73" t="str">
        <f t="shared" ca="1" si="54"/>
        <v xml:space="preserve"> </v>
      </c>
      <c r="BI23" s="73" t="str">
        <f t="shared" ca="1" si="55"/>
        <v xml:space="preserve"> </v>
      </c>
      <c r="BJ23" s="73" t="str">
        <f t="shared" ca="1" si="56"/>
        <v xml:space="preserve"> </v>
      </c>
      <c r="BK23" s="73" t="str">
        <f t="shared" ca="1" si="57"/>
        <v xml:space="preserve"> </v>
      </c>
      <c r="BL23" s="73" t="str">
        <f t="shared" ca="1" si="58"/>
        <v xml:space="preserve"> </v>
      </c>
      <c r="BM23" s="73" t="str">
        <f t="shared" ca="1" si="59"/>
        <v xml:space="preserve"> </v>
      </c>
      <c r="BN23" s="73" t="str">
        <f t="shared" ca="1" si="60"/>
        <v xml:space="preserve"> </v>
      </c>
      <c r="BO23" s="73" t="str">
        <f t="shared" ca="1" si="61"/>
        <v xml:space="preserve"> </v>
      </c>
      <c r="BP23" s="73" t="str">
        <f t="shared" ca="1" si="62"/>
        <v xml:space="preserve"> </v>
      </c>
      <c r="BQ23" s="73" t="str">
        <f t="shared" ca="1" si="63"/>
        <v xml:space="preserve"> </v>
      </c>
      <c r="BR23" s="73" t="str">
        <f t="shared" ca="1" si="64"/>
        <v xml:space="preserve"> </v>
      </c>
      <c r="BS23" s="73" t="str">
        <f t="shared" ca="1" si="65"/>
        <v xml:space="preserve"> </v>
      </c>
      <c r="BT23" s="73" t="str">
        <f t="shared" ca="1" si="66"/>
        <v xml:space="preserve"> </v>
      </c>
      <c r="BU23" s="73" t="str">
        <f t="shared" ca="1" si="67"/>
        <v xml:space="preserve"> </v>
      </c>
      <c r="BV23" s="73" t="str">
        <f t="shared" ca="1" si="68"/>
        <v xml:space="preserve"> </v>
      </c>
      <c r="BW23" s="72" t="s">
        <v>914</v>
      </c>
    </row>
    <row r="24" spans="1:75" ht="37.5" customHeight="1">
      <c r="A24" s="211" t="s">
        <v>874</v>
      </c>
      <c r="B24" s="72" t="e">
        <f>#REF!</f>
        <v>#REF!</v>
      </c>
      <c r="C24" s="73" t="str">
        <f ca="1">IF(COUNTIF(Conso!R22,"*Marginal*"),"x"," ")</f>
        <v xml:space="preserve"> </v>
      </c>
      <c r="D24" s="73" t="str">
        <f ca="1">IF(COUNTIF(Conso!R22,"*Faible*"),"x"," ")</f>
        <v xml:space="preserve"> </v>
      </c>
      <c r="E24" s="73" t="str">
        <f ca="1">IF(COUNTIF(Conso!R22,"*Modéré*"),"x"," ")</f>
        <v xml:space="preserve"> </v>
      </c>
      <c r="F24" s="73" t="str">
        <f ca="1">IF(COUNTIF(Conso!R22,"*Elevé*"),"x"," ")</f>
        <v xml:space="preserve"> </v>
      </c>
      <c r="G24" s="73" t="str">
        <f ca="1">IF(COUNTIF(Conso!R22,"*Critique*"),"x"," ")</f>
        <v xml:space="preserve"> </v>
      </c>
      <c r="H24" s="73" t="str">
        <f ca="1">IF(COUNTIF(Conso!R22,"*Catastrophique*"),"x"," ")</f>
        <v xml:space="preserve"> </v>
      </c>
      <c r="I24" s="73" t="str">
        <f ca="1">IF(COUNTIF(Conso!Q22,"*Exceptionnelle*"),"x"," ")</f>
        <v xml:space="preserve"> </v>
      </c>
      <c r="J24" s="73" t="str">
        <f ca="1">IF(COUNTIF(Conso!Q22,"*Rare*"),"x"," ")</f>
        <v xml:space="preserve"> </v>
      </c>
      <c r="K24" s="73" t="str">
        <f ca="1">IF(COUNTIF(Conso!Q22,"*Modérée*"),"x"," ")</f>
        <v xml:space="preserve"> </v>
      </c>
      <c r="L24" s="73" t="str">
        <f ca="1">IF(COUNTIF(Conso!Q22,"*Elevée*"),"x"," ")</f>
        <v xml:space="preserve"> </v>
      </c>
      <c r="M24" s="73" t="str">
        <f ca="1">IF(COUNTIF(Conso!Q22,"*Récurrente*"),"x"," ")</f>
        <v xml:space="preserve"> </v>
      </c>
      <c r="N24" s="73" t="str">
        <f ca="1">IF(COUNTIF(Conso!Q22,"*Permanente*"),"x"," ")</f>
        <v xml:space="preserve"> </v>
      </c>
      <c r="O24" s="74" t="str">
        <f t="shared" ca="1" si="13"/>
        <v xml:space="preserve"> </v>
      </c>
      <c r="P24" s="74" t="str">
        <f t="shared" ca="1" si="14"/>
        <v xml:space="preserve"> </v>
      </c>
      <c r="Q24" s="74" t="str">
        <f t="shared" ca="1" si="15"/>
        <v xml:space="preserve"> </v>
      </c>
      <c r="R24" s="74" t="str">
        <f t="shared" ca="1" si="16"/>
        <v xml:space="preserve"> </v>
      </c>
      <c r="S24" s="74" t="str">
        <f t="shared" ca="1" si="17"/>
        <v xml:space="preserve"> </v>
      </c>
      <c r="T24" s="74" t="str">
        <f t="shared" ca="1" si="18"/>
        <v xml:space="preserve"> </v>
      </c>
      <c r="U24" s="74" t="str">
        <f t="shared" ca="1" si="19"/>
        <v xml:space="preserve"> </v>
      </c>
      <c r="V24" s="74" t="str">
        <f t="shared" ca="1" si="20"/>
        <v xml:space="preserve"> </v>
      </c>
      <c r="W24" s="74" t="str">
        <f t="shared" ca="1" si="21"/>
        <v xml:space="preserve"> </v>
      </c>
      <c r="X24" s="74" t="str">
        <f t="shared" ca="1" si="22"/>
        <v xml:space="preserve"> </v>
      </c>
      <c r="Y24" s="74" t="str">
        <f t="shared" ca="1" si="23"/>
        <v xml:space="preserve"> </v>
      </c>
      <c r="Z24" s="74" t="str">
        <f t="shared" ca="1" si="24"/>
        <v xml:space="preserve"> </v>
      </c>
      <c r="AA24" s="74" t="str">
        <f t="shared" ca="1" si="25"/>
        <v xml:space="preserve"> </v>
      </c>
      <c r="AB24" s="74" t="str">
        <f t="shared" ca="1" si="26"/>
        <v xml:space="preserve"> </v>
      </c>
      <c r="AC24" s="74" t="str">
        <f t="shared" ca="1" si="27"/>
        <v xml:space="preserve"> </v>
      </c>
      <c r="AD24" s="74" t="str">
        <f t="shared" ca="1" si="28"/>
        <v xml:space="preserve"> </v>
      </c>
      <c r="AE24" s="74" t="str">
        <f t="shared" ca="1" si="29"/>
        <v xml:space="preserve"> </v>
      </c>
      <c r="AF24" s="74" t="str">
        <f t="shared" ca="1" si="30"/>
        <v xml:space="preserve"> </v>
      </c>
      <c r="AG24" s="74" t="str">
        <f t="shared" ca="1" si="31"/>
        <v xml:space="preserve"> </v>
      </c>
      <c r="AH24" s="74" t="str">
        <f t="shared" ca="1" si="32"/>
        <v xml:space="preserve"> </v>
      </c>
      <c r="AI24" s="74" t="str">
        <f t="shared" ca="1" si="33"/>
        <v xml:space="preserve"> </v>
      </c>
      <c r="AJ24" s="74" t="str">
        <f t="shared" ca="1" si="34"/>
        <v xml:space="preserve"> </v>
      </c>
      <c r="AK24" s="74" t="str">
        <f t="shared" ca="1" si="35"/>
        <v xml:space="preserve"> </v>
      </c>
      <c r="AL24" s="74" t="str">
        <f t="shared" ca="1" si="36"/>
        <v xml:space="preserve"> </v>
      </c>
      <c r="AM24" s="74" t="str">
        <f t="shared" ca="1" si="37"/>
        <v xml:space="preserve"> </v>
      </c>
      <c r="AN24" s="74" t="str">
        <f t="shared" ca="1" si="38"/>
        <v xml:space="preserve"> </v>
      </c>
      <c r="AO24" s="74" t="str">
        <f t="shared" ca="1" si="39"/>
        <v xml:space="preserve"> </v>
      </c>
      <c r="AP24" s="74" t="str">
        <f t="shared" ca="1" si="40"/>
        <v xml:space="preserve"> </v>
      </c>
      <c r="AQ24" s="74" t="str">
        <f t="shared" ca="1" si="41"/>
        <v xml:space="preserve"> </v>
      </c>
      <c r="AR24" s="74" t="str">
        <f t="shared" ca="1" si="42"/>
        <v xml:space="preserve"> </v>
      </c>
      <c r="AS24" s="74" t="str">
        <f t="shared" ca="1" si="43"/>
        <v xml:space="preserve"> </v>
      </c>
      <c r="AT24" s="74" t="str">
        <f t="shared" ca="1" si="44"/>
        <v xml:space="preserve"> </v>
      </c>
      <c r="AU24" s="74" t="str">
        <f t="shared" ca="1" si="45"/>
        <v xml:space="preserve"> </v>
      </c>
      <c r="AV24" s="74" t="str">
        <f t="shared" ca="1" si="46"/>
        <v xml:space="preserve"> </v>
      </c>
      <c r="AW24" s="74" t="str">
        <f t="shared" ca="1" si="47"/>
        <v xml:space="preserve"> </v>
      </c>
      <c r="AX24" s="74" t="str">
        <f t="shared" ca="1" si="48"/>
        <v xml:space="preserve"> </v>
      </c>
      <c r="AY24" s="75" t="str">
        <f t="shared" ca="1" si="49"/>
        <v xml:space="preserve"> </v>
      </c>
      <c r="AZ24" s="73" t="str">
        <f t="shared" ca="1" si="50"/>
        <v xml:space="preserve"> </v>
      </c>
      <c r="BA24" s="73" t="str">
        <f t="shared" ca="1" si="51"/>
        <v xml:space="preserve"> </v>
      </c>
      <c r="BB24" s="73" t="str">
        <f t="shared" ca="1" si="52"/>
        <v xml:space="preserve"> </v>
      </c>
      <c r="BC24" s="73" t="str">
        <f ca="1">IF(COUNTIF(Conso!P22,"*Insuffisant*"),"x"," ")</f>
        <v xml:space="preserve"> </v>
      </c>
      <c r="BD24" s="73" t="str">
        <f ca="1">IF(COUNTIF(Conso!P22,"*Faible*"),"x"," ")</f>
        <v xml:space="preserve"> </v>
      </c>
      <c r="BE24" s="73" t="str">
        <f ca="1">IF(COUNTIF(Conso!P22,"*Acceptable*"),"x"," ")</f>
        <v xml:space="preserve"> </v>
      </c>
      <c r="BF24" s="73" t="str">
        <f ca="1">IF(COUNTIF(Conso!P22,"*Maîtrisé*"),"x"," ")</f>
        <v xml:space="preserve"> </v>
      </c>
      <c r="BG24" s="73" t="str">
        <f t="shared" ca="1" si="53"/>
        <v xml:space="preserve"> </v>
      </c>
      <c r="BH24" s="73" t="str">
        <f t="shared" ca="1" si="54"/>
        <v xml:space="preserve"> </v>
      </c>
      <c r="BI24" s="73" t="str">
        <f t="shared" ca="1" si="55"/>
        <v xml:space="preserve"> </v>
      </c>
      <c r="BJ24" s="73" t="str">
        <f t="shared" ca="1" si="56"/>
        <v xml:space="preserve"> </v>
      </c>
      <c r="BK24" s="73" t="str">
        <f t="shared" ca="1" si="57"/>
        <v xml:space="preserve"> </v>
      </c>
      <c r="BL24" s="73" t="str">
        <f t="shared" ca="1" si="58"/>
        <v xml:space="preserve"> </v>
      </c>
      <c r="BM24" s="73" t="str">
        <f t="shared" ca="1" si="59"/>
        <v xml:space="preserve"> </v>
      </c>
      <c r="BN24" s="73" t="str">
        <f t="shared" ca="1" si="60"/>
        <v xml:space="preserve"> </v>
      </c>
      <c r="BO24" s="73" t="str">
        <f t="shared" ca="1" si="61"/>
        <v xml:space="preserve"> </v>
      </c>
      <c r="BP24" s="73" t="str">
        <f t="shared" ca="1" si="62"/>
        <v xml:space="preserve"> </v>
      </c>
      <c r="BQ24" s="73" t="str">
        <f t="shared" ca="1" si="63"/>
        <v xml:space="preserve"> </v>
      </c>
      <c r="BR24" s="73" t="str">
        <f t="shared" ca="1" si="64"/>
        <v xml:space="preserve"> </v>
      </c>
      <c r="BS24" s="73" t="str">
        <f t="shared" ca="1" si="65"/>
        <v xml:space="preserve"> </v>
      </c>
      <c r="BT24" s="73" t="str">
        <f t="shared" ca="1" si="66"/>
        <v xml:space="preserve"> </v>
      </c>
      <c r="BU24" s="73" t="str">
        <f t="shared" ca="1" si="67"/>
        <v xml:space="preserve"> </v>
      </c>
      <c r="BV24" s="73" t="str">
        <f t="shared" ca="1" si="68"/>
        <v xml:space="preserve"> </v>
      </c>
      <c r="BW24" s="72" t="s">
        <v>915</v>
      </c>
    </row>
    <row r="25" spans="1:75" ht="37.5" customHeight="1">
      <c r="A25" s="211" t="s">
        <v>875</v>
      </c>
      <c r="B25" s="72" t="e">
        <f>#REF!</f>
        <v>#REF!</v>
      </c>
      <c r="C25" s="73" t="str">
        <f ca="1">IF(COUNTIF(Conso!R23,"*Marginal*"),"x"," ")</f>
        <v xml:space="preserve"> </v>
      </c>
      <c r="D25" s="73" t="str">
        <f ca="1">IF(COUNTIF(Conso!R23,"*Faible*"),"x"," ")</f>
        <v xml:space="preserve"> </v>
      </c>
      <c r="E25" s="73" t="str">
        <f ca="1">IF(COUNTIF(Conso!R23,"*Modéré*"),"x"," ")</f>
        <v xml:space="preserve"> </v>
      </c>
      <c r="F25" s="73" t="str">
        <f ca="1">IF(COUNTIF(Conso!R23,"*Elevé*"),"x"," ")</f>
        <v xml:space="preserve"> </v>
      </c>
      <c r="G25" s="73" t="str">
        <f ca="1">IF(COUNTIF(Conso!R23,"*Critique*"),"x"," ")</f>
        <v xml:space="preserve"> </v>
      </c>
      <c r="H25" s="73" t="str">
        <f ca="1">IF(COUNTIF(Conso!R23,"*Catastrophique*"),"x"," ")</f>
        <v xml:space="preserve"> </v>
      </c>
      <c r="I25" s="73" t="str">
        <f ca="1">IF(COUNTIF(Conso!Q23,"*Exceptionnelle*"),"x"," ")</f>
        <v xml:space="preserve"> </v>
      </c>
      <c r="J25" s="73" t="str">
        <f ca="1">IF(COUNTIF(Conso!Q23,"*Rare*"),"x"," ")</f>
        <v xml:space="preserve"> </v>
      </c>
      <c r="K25" s="73" t="str">
        <f ca="1">IF(COUNTIF(Conso!Q23,"*Modérée*"),"x"," ")</f>
        <v xml:space="preserve"> </v>
      </c>
      <c r="L25" s="73" t="str">
        <f ca="1">IF(COUNTIF(Conso!Q23,"*Elevée*"),"x"," ")</f>
        <v xml:space="preserve"> </v>
      </c>
      <c r="M25" s="73" t="str">
        <f ca="1">IF(COUNTIF(Conso!Q23,"*Récurrente*"),"x"," ")</f>
        <v xml:space="preserve"> </v>
      </c>
      <c r="N25" s="73" t="str">
        <f ca="1">IF(COUNTIF(Conso!Q23,"*Permanente*"),"x"," ")</f>
        <v xml:space="preserve"> </v>
      </c>
      <c r="O25" s="74" t="str">
        <f t="shared" ca="1" si="13"/>
        <v xml:space="preserve"> </v>
      </c>
      <c r="P25" s="74" t="str">
        <f t="shared" ca="1" si="14"/>
        <v xml:space="preserve"> </v>
      </c>
      <c r="Q25" s="74" t="str">
        <f t="shared" ca="1" si="15"/>
        <v xml:space="preserve"> </v>
      </c>
      <c r="R25" s="74" t="str">
        <f t="shared" ca="1" si="16"/>
        <v xml:space="preserve"> </v>
      </c>
      <c r="S25" s="74" t="str">
        <f t="shared" ca="1" si="17"/>
        <v xml:space="preserve"> </v>
      </c>
      <c r="T25" s="74" t="str">
        <f t="shared" ca="1" si="18"/>
        <v xml:space="preserve"> </v>
      </c>
      <c r="U25" s="74" t="str">
        <f t="shared" ca="1" si="19"/>
        <v xml:space="preserve"> </v>
      </c>
      <c r="V25" s="74" t="str">
        <f t="shared" ca="1" si="20"/>
        <v xml:space="preserve"> </v>
      </c>
      <c r="W25" s="74" t="str">
        <f t="shared" ca="1" si="21"/>
        <v xml:space="preserve"> </v>
      </c>
      <c r="X25" s="74" t="str">
        <f t="shared" ca="1" si="22"/>
        <v xml:space="preserve"> </v>
      </c>
      <c r="Y25" s="74" t="str">
        <f t="shared" ca="1" si="23"/>
        <v xml:space="preserve"> </v>
      </c>
      <c r="Z25" s="74" t="str">
        <f t="shared" ca="1" si="24"/>
        <v xml:space="preserve"> </v>
      </c>
      <c r="AA25" s="74" t="str">
        <f t="shared" ca="1" si="25"/>
        <v xml:space="preserve"> </v>
      </c>
      <c r="AB25" s="74" t="str">
        <f t="shared" ca="1" si="26"/>
        <v xml:space="preserve"> </v>
      </c>
      <c r="AC25" s="74" t="str">
        <f t="shared" ca="1" si="27"/>
        <v xml:space="preserve"> </v>
      </c>
      <c r="AD25" s="74" t="str">
        <f t="shared" ca="1" si="28"/>
        <v xml:space="preserve"> </v>
      </c>
      <c r="AE25" s="74" t="str">
        <f t="shared" ca="1" si="29"/>
        <v xml:space="preserve"> </v>
      </c>
      <c r="AF25" s="74" t="str">
        <f t="shared" ca="1" si="30"/>
        <v xml:space="preserve"> </v>
      </c>
      <c r="AG25" s="74" t="str">
        <f t="shared" ca="1" si="31"/>
        <v xml:space="preserve"> </v>
      </c>
      <c r="AH25" s="74" t="str">
        <f t="shared" ca="1" si="32"/>
        <v xml:space="preserve"> </v>
      </c>
      <c r="AI25" s="74" t="str">
        <f t="shared" ca="1" si="33"/>
        <v xml:space="preserve"> </v>
      </c>
      <c r="AJ25" s="74" t="str">
        <f t="shared" ca="1" si="34"/>
        <v xml:space="preserve"> </v>
      </c>
      <c r="AK25" s="74" t="str">
        <f t="shared" ca="1" si="35"/>
        <v xml:space="preserve"> </v>
      </c>
      <c r="AL25" s="74" t="str">
        <f t="shared" ca="1" si="36"/>
        <v xml:space="preserve"> </v>
      </c>
      <c r="AM25" s="74" t="str">
        <f t="shared" ca="1" si="37"/>
        <v xml:space="preserve"> </v>
      </c>
      <c r="AN25" s="74" t="str">
        <f t="shared" ca="1" si="38"/>
        <v xml:space="preserve"> </v>
      </c>
      <c r="AO25" s="74" t="str">
        <f t="shared" ca="1" si="39"/>
        <v xml:space="preserve"> </v>
      </c>
      <c r="AP25" s="74" t="str">
        <f t="shared" ca="1" si="40"/>
        <v xml:space="preserve"> </v>
      </c>
      <c r="AQ25" s="74" t="str">
        <f t="shared" ca="1" si="41"/>
        <v xml:space="preserve"> </v>
      </c>
      <c r="AR25" s="74" t="str">
        <f t="shared" ca="1" si="42"/>
        <v xml:space="preserve"> </v>
      </c>
      <c r="AS25" s="74" t="str">
        <f t="shared" ca="1" si="43"/>
        <v xml:space="preserve"> </v>
      </c>
      <c r="AT25" s="74" t="str">
        <f t="shared" ca="1" si="44"/>
        <v xml:space="preserve"> </v>
      </c>
      <c r="AU25" s="74" t="str">
        <f t="shared" ca="1" si="45"/>
        <v xml:space="preserve"> </v>
      </c>
      <c r="AV25" s="74" t="str">
        <f t="shared" ca="1" si="46"/>
        <v xml:space="preserve"> </v>
      </c>
      <c r="AW25" s="74" t="str">
        <f t="shared" ca="1" si="47"/>
        <v xml:space="preserve"> </v>
      </c>
      <c r="AX25" s="74" t="str">
        <f t="shared" ca="1" si="48"/>
        <v xml:space="preserve"> </v>
      </c>
      <c r="AY25" s="75" t="str">
        <f t="shared" ca="1" si="49"/>
        <v xml:space="preserve"> </v>
      </c>
      <c r="AZ25" s="73" t="str">
        <f t="shared" ca="1" si="50"/>
        <v xml:space="preserve"> </v>
      </c>
      <c r="BA25" s="73" t="str">
        <f t="shared" ca="1" si="51"/>
        <v xml:space="preserve"> </v>
      </c>
      <c r="BB25" s="73" t="str">
        <f t="shared" ca="1" si="52"/>
        <v xml:space="preserve"> </v>
      </c>
      <c r="BC25" s="73" t="str">
        <f ca="1">IF(COUNTIF(Conso!P23,"*Insuffisant*"),"x"," ")</f>
        <v xml:space="preserve"> </v>
      </c>
      <c r="BD25" s="73" t="str">
        <f ca="1">IF(COUNTIF(Conso!P23,"*Faible*"),"x"," ")</f>
        <v xml:space="preserve"> </v>
      </c>
      <c r="BE25" s="73" t="str">
        <f ca="1">IF(COUNTIF(Conso!P23,"*Acceptable*"),"x"," ")</f>
        <v xml:space="preserve"> </v>
      </c>
      <c r="BF25" s="73" t="str">
        <f ca="1">IF(COUNTIF(Conso!P23,"*Maîtrisé*"),"x"," ")</f>
        <v xml:space="preserve"> </v>
      </c>
      <c r="BG25" s="73" t="str">
        <f t="shared" ca="1" si="53"/>
        <v xml:space="preserve"> </v>
      </c>
      <c r="BH25" s="73" t="str">
        <f t="shared" ca="1" si="54"/>
        <v xml:space="preserve"> </v>
      </c>
      <c r="BI25" s="73" t="str">
        <f t="shared" ca="1" si="55"/>
        <v xml:space="preserve"> </v>
      </c>
      <c r="BJ25" s="73" t="str">
        <f t="shared" ca="1" si="56"/>
        <v xml:space="preserve"> </v>
      </c>
      <c r="BK25" s="73" t="str">
        <f t="shared" ca="1" si="57"/>
        <v xml:space="preserve"> </v>
      </c>
      <c r="BL25" s="73" t="str">
        <f t="shared" ca="1" si="58"/>
        <v xml:space="preserve"> </v>
      </c>
      <c r="BM25" s="73" t="str">
        <f t="shared" ca="1" si="59"/>
        <v xml:space="preserve"> </v>
      </c>
      <c r="BN25" s="73" t="str">
        <f t="shared" ca="1" si="60"/>
        <v xml:space="preserve"> </v>
      </c>
      <c r="BO25" s="73" t="str">
        <f t="shared" ca="1" si="61"/>
        <v xml:space="preserve"> </v>
      </c>
      <c r="BP25" s="73" t="str">
        <f t="shared" ca="1" si="62"/>
        <v xml:space="preserve"> </v>
      </c>
      <c r="BQ25" s="73" t="str">
        <f t="shared" ca="1" si="63"/>
        <v xml:space="preserve"> </v>
      </c>
      <c r="BR25" s="73" t="str">
        <f t="shared" ca="1" si="64"/>
        <v xml:space="preserve"> </v>
      </c>
      <c r="BS25" s="73" t="str">
        <f t="shared" ca="1" si="65"/>
        <v xml:space="preserve"> </v>
      </c>
      <c r="BT25" s="73" t="str">
        <f t="shared" ca="1" si="66"/>
        <v xml:space="preserve"> </v>
      </c>
      <c r="BU25" s="73" t="str">
        <f t="shared" ca="1" si="67"/>
        <v xml:space="preserve"> </v>
      </c>
      <c r="BV25" s="73" t="str">
        <f t="shared" ca="1" si="68"/>
        <v xml:space="preserve"> </v>
      </c>
      <c r="BW25" s="72" t="s">
        <v>916</v>
      </c>
    </row>
    <row r="26" spans="1:75" ht="37.5" customHeight="1">
      <c r="A26" s="211" t="s">
        <v>876</v>
      </c>
      <c r="B26" s="72" t="e">
        <f>#REF!</f>
        <v>#REF!</v>
      </c>
      <c r="C26" s="73" t="str">
        <f ca="1">IF(COUNTIF(Conso!R24,"*Marginal*"),"x"," ")</f>
        <v xml:space="preserve"> </v>
      </c>
      <c r="D26" s="73" t="str">
        <f ca="1">IF(COUNTIF(Conso!R24,"*Faible*"),"x"," ")</f>
        <v xml:space="preserve"> </v>
      </c>
      <c r="E26" s="73" t="str">
        <f ca="1">IF(COUNTIF(Conso!R24,"*Modéré*"),"x"," ")</f>
        <v xml:space="preserve"> </v>
      </c>
      <c r="F26" s="73" t="str">
        <f ca="1">IF(COUNTIF(Conso!R24,"*Elevé*"),"x"," ")</f>
        <v xml:space="preserve"> </v>
      </c>
      <c r="G26" s="73" t="str">
        <f ca="1">IF(COUNTIF(Conso!R24,"*Critique*"),"x"," ")</f>
        <v xml:space="preserve"> </v>
      </c>
      <c r="H26" s="73" t="str">
        <f ca="1">IF(COUNTIF(Conso!R24,"*Catastrophique*"),"x"," ")</f>
        <v xml:space="preserve"> </v>
      </c>
      <c r="I26" s="73" t="str">
        <f ca="1">IF(COUNTIF(Conso!Q24,"*Exceptionnelle*"),"x"," ")</f>
        <v xml:space="preserve"> </v>
      </c>
      <c r="J26" s="73" t="str">
        <f ca="1">IF(COUNTIF(Conso!Q24,"*Rare*"),"x"," ")</f>
        <v xml:space="preserve"> </v>
      </c>
      <c r="K26" s="73" t="str">
        <f ca="1">IF(COUNTIF(Conso!Q24,"*Modérée*"),"x"," ")</f>
        <v xml:space="preserve"> </v>
      </c>
      <c r="L26" s="73" t="str">
        <f ca="1">IF(COUNTIF(Conso!Q24,"*Elevée*"),"x"," ")</f>
        <v xml:space="preserve"> </v>
      </c>
      <c r="M26" s="73" t="str">
        <f ca="1">IF(COUNTIF(Conso!Q24,"*Récurrente*"),"x"," ")</f>
        <v xml:space="preserve"> </v>
      </c>
      <c r="N26" s="73" t="str">
        <f ca="1">IF(COUNTIF(Conso!Q24,"*Permanente*"),"x"," ")</f>
        <v xml:space="preserve"> </v>
      </c>
      <c r="O26" s="74" t="str">
        <f t="shared" ca="1" si="13"/>
        <v xml:space="preserve"> </v>
      </c>
      <c r="P26" s="74" t="str">
        <f t="shared" ca="1" si="14"/>
        <v xml:space="preserve"> </v>
      </c>
      <c r="Q26" s="74" t="str">
        <f t="shared" ca="1" si="15"/>
        <v xml:space="preserve"> </v>
      </c>
      <c r="R26" s="74" t="str">
        <f t="shared" ca="1" si="16"/>
        <v xml:space="preserve"> </v>
      </c>
      <c r="S26" s="74" t="str">
        <f t="shared" ca="1" si="17"/>
        <v xml:space="preserve"> </v>
      </c>
      <c r="T26" s="74" t="str">
        <f t="shared" ca="1" si="18"/>
        <v xml:space="preserve"> </v>
      </c>
      <c r="U26" s="74" t="str">
        <f t="shared" ca="1" si="19"/>
        <v xml:space="preserve"> </v>
      </c>
      <c r="V26" s="74" t="str">
        <f t="shared" ca="1" si="20"/>
        <v xml:space="preserve"> </v>
      </c>
      <c r="W26" s="74" t="str">
        <f t="shared" ca="1" si="21"/>
        <v xml:space="preserve"> </v>
      </c>
      <c r="X26" s="74" t="str">
        <f t="shared" ca="1" si="22"/>
        <v xml:space="preserve"> </v>
      </c>
      <c r="Y26" s="74" t="str">
        <f t="shared" ca="1" si="23"/>
        <v xml:space="preserve"> </v>
      </c>
      <c r="Z26" s="74" t="str">
        <f t="shared" ca="1" si="24"/>
        <v xml:space="preserve"> </v>
      </c>
      <c r="AA26" s="74" t="str">
        <f t="shared" ca="1" si="25"/>
        <v xml:space="preserve"> </v>
      </c>
      <c r="AB26" s="74" t="str">
        <f t="shared" ca="1" si="26"/>
        <v xml:space="preserve"> </v>
      </c>
      <c r="AC26" s="74" t="str">
        <f t="shared" ca="1" si="27"/>
        <v xml:space="preserve"> </v>
      </c>
      <c r="AD26" s="74" t="str">
        <f t="shared" ca="1" si="28"/>
        <v xml:space="preserve"> </v>
      </c>
      <c r="AE26" s="74" t="str">
        <f t="shared" ca="1" si="29"/>
        <v xml:space="preserve"> </v>
      </c>
      <c r="AF26" s="74" t="str">
        <f t="shared" ca="1" si="30"/>
        <v xml:space="preserve"> </v>
      </c>
      <c r="AG26" s="74" t="str">
        <f t="shared" ca="1" si="31"/>
        <v xml:space="preserve"> </v>
      </c>
      <c r="AH26" s="74" t="str">
        <f t="shared" ca="1" si="32"/>
        <v xml:space="preserve"> </v>
      </c>
      <c r="AI26" s="74" t="str">
        <f t="shared" ca="1" si="33"/>
        <v xml:space="preserve"> </v>
      </c>
      <c r="AJ26" s="74" t="str">
        <f t="shared" ca="1" si="34"/>
        <v xml:space="preserve"> </v>
      </c>
      <c r="AK26" s="74" t="str">
        <f t="shared" ca="1" si="35"/>
        <v xml:space="preserve"> </v>
      </c>
      <c r="AL26" s="74" t="str">
        <f t="shared" ca="1" si="36"/>
        <v xml:space="preserve"> </v>
      </c>
      <c r="AM26" s="74" t="str">
        <f t="shared" ca="1" si="37"/>
        <v xml:space="preserve"> </v>
      </c>
      <c r="AN26" s="74" t="str">
        <f t="shared" ca="1" si="38"/>
        <v xml:space="preserve"> </v>
      </c>
      <c r="AO26" s="74" t="str">
        <f t="shared" ca="1" si="39"/>
        <v xml:space="preserve"> </v>
      </c>
      <c r="AP26" s="74" t="str">
        <f t="shared" ca="1" si="40"/>
        <v xml:space="preserve"> </v>
      </c>
      <c r="AQ26" s="74" t="str">
        <f t="shared" ca="1" si="41"/>
        <v xml:space="preserve"> </v>
      </c>
      <c r="AR26" s="74" t="str">
        <f t="shared" ca="1" si="42"/>
        <v xml:space="preserve"> </v>
      </c>
      <c r="AS26" s="74" t="str">
        <f t="shared" ca="1" si="43"/>
        <v xml:space="preserve"> </v>
      </c>
      <c r="AT26" s="74" t="str">
        <f t="shared" ca="1" si="44"/>
        <v xml:space="preserve"> </v>
      </c>
      <c r="AU26" s="74" t="str">
        <f t="shared" ca="1" si="45"/>
        <v xml:space="preserve"> </v>
      </c>
      <c r="AV26" s="74" t="str">
        <f t="shared" ca="1" si="46"/>
        <v xml:space="preserve"> </v>
      </c>
      <c r="AW26" s="74" t="str">
        <f t="shared" ca="1" si="47"/>
        <v xml:space="preserve"> </v>
      </c>
      <c r="AX26" s="74" t="str">
        <f t="shared" ca="1" si="48"/>
        <v xml:space="preserve"> </v>
      </c>
      <c r="AY26" s="75" t="str">
        <f t="shared" ca="1" si="49"/>
        <v xml:space="preserve"> </v>
      </c>
      <c r="AZ26" s="73" t="str">
        <f t="shared" ca="1" si="50"/>
        <v xml:space="preserve"> </v>
      </c>
      <c r="BA26" s="73" t="str">
        <f t="shared" ca="1" si="51"/>
        <v xml:space="preserve"> </v>
      </c>
      <c r="BB26" s="73" t="str">
        <f t="shared" ca="1" si="52"/>
        <v xml:space="preserve"> </v>
      </c>
      <c r="BC26" s="73" t="str">
        <f ca="1">IF(COUNTIF(Conso!P24,"*Insuffisant*"),"x"," ")</f>
        <v xml:space="preserve"> </v>
      </c>
      <c r="BD26" s="73" t="str">
        <f ca="1">IF(COUNTIF(Conso!P24,"*Faible*"),"x"," ")</f>
        <v xml:space="preserve"> </v>
      </c>
      <c r="BE26" s="73" t="str">
        <f ca="1">IF(COUNTIF(Conso!P24,"*Acceptable*"),"x"," ")</f>
        <v xml:space="preserve"> </v>
      </c>
      <c r="BF26" s="73" t="str">
        <f ca="1">IF(COUNTIF(Conso!P24,"*Maîtrisé*"),"x"," ")</f>
        <v xml:space="preserve"> </v>
      </c>
      <c r="BG26" s="73" t="str">
        <f t="shared" ca="1" si="53"/>
        <v xml:space="preserve"> </v>
      </c>
      <c r="BH26" s="73" t="str">
        <f t="shared" ca="1" si="54"/>
        <v xml:space="preserve"> </v>
      </c>
      <c r="BI26" s="73" t="str">
        <f t="shared" ca="1" si="55"/>
        <v xml:space="preserve"> </v>
      </c>
      <c r="BJ26" s="73" t="str">
        <f t="shared" ca="1" si="56"/>
        <v xml:space="preserve"> </v>
      </c>
      <c r="BK26" s="73" t="str">
        <f t="shared" ca="1" si="57"/>
        <v xml:space="preserve"> </v>
      </c>
      <c r="BL26" s="73" t="str">
        <f t="shared" ca="1" si="58"/>
        <v xml:space="preserve"> </v>
      </c>
      <c r="BM26" s="73" t="str">
        <f t="shared" ca="1" si="59"/>
        <v xml:space="preserve"> </v>
      </c>
      <c r="BN26" s="73" t="str">
        <f t="shared" ca="1" si="60"/>
        <v xml:space="preserve"> </v>
      </c>
      <c r="BO26" s="73" t="str">
        <f t="shared" ca="1" si="61"/>
        <v xml:space="preserve"> </v>
      </c>
      <c r="BP26" s="73" t="str">
        <f t="shared" ca="1" si="62"/>
        <v xml:space="preserve"> </v>
      </c>
      <c r="BQ26" s="73" t="str">
        <f t="shared" ca="1" si="63"/>
        <v xml:space="preserve"> </v>
      </c>
      <c r="BR26" s="73" t="str">
        <f t="shared" ca="1" si="64"/>
        <v xml:space="preserve"> </v>
      </c>
      <c r="BS26" s="73" t="str">
        <f t="shared" ca="1" si="65"/>
        <v xml:space="preserve"> </v>
      </c>
      <c r="BT26" s="73" t="str">
        <f t="shared" ca="1" si="66"/>
        <v xml:space="preserve"> </v>
      </c>
      <c r="BU26" s="73" t="str">
        <f t="shared" ca="1" si="67"/>
        <v xml:space="preserve"> </v>
      </c>
      <c r="BV26" s="73" t="str">
        <f t="shared" ca="1" si="68"/>
        <v xml:space="preserve"> </v>
      </c>
      <c r="BW26" s="72" t="s">
        <v>917</v>
      </c>
    </row>
    <row r="27" spans="1:75" ht="37.5" customHeight="1">
      <c r="A27" s="211" t="s">
        <v>877</v>
      </c>
      <c r="B27" s="72" t="e">
        <f>#REF!</f>
        <v>#REF!</v>
      </c>
      <c r="C27" s="73" t="str">
        <f ca="1">IF(COUNTIF(Conso!R25,"*Marginal*"),"x"," ")</f>
        <v xml:space="preserve"> </v>
      </c>
      <c r="D27" s="73" t="str">
        <f ca="1">IF(COUNTIF(Conso!R25,"*Faible*"),"x"," ")</f>
        <v xml:space="preserve"> </v>
      </c>
      <c r="E27" s="73" t="str">
        <f ca="1">IF(COUNTIF(Conso!R25,"*Modéré*"),"x"," ")</f>
        <v xml:space="preserve"> </v>
      </c>
      <c r="F27" s="73" t="str">
        <f ca="1">IF(COUNTIF(Conso!R25,"*Elevé*"),"x"," ")</f>
        <v xml:space="preserve"> </v>
      </c>
      <c r="G27" s="73" t="str">
        <f ca="1">IF(COUNTIF(Conso!R25,"*Critique*"),"x"," ")</f>
        <v xml:space="preserve"> </v>
      </c>
      <c r="H27" s="73" t="str">
        <f ca="1">IF(COUNTIF(Conso!R25,"*Catastrophique*"),"x"," ")</f>
        <v xml:space="preserve"> </v>
      </c>
      <c r="I27" s="73" t="str">
        <f ca="1">IF(COUNTIF(Conso!Q25,"*Exceptionnelle*"),"x"," ")</f>
        <v xml:space="preserve"> </v>
      </c>
      <c r="J27" s="73" t="str">
        <f ca="1">IF(COUNTIF(Conso!Q25,"*Rare*"),"x"," ")</f>
        <v xml:space="preserve"> </v>
      </c>
      <c r="K27" s="73" t="str">
        <f ca="1">IF(COUNTIF(Conso!Q25,"*Modérée*"),"x"," ")</f>
        <v xml:space="preserve"> </v>
      </c>
      <c r="L27" s="73" t="str">
        <f ca="1">IF(COUNTIF(Conso!Q25,"*Elevée*"),"x"," ")</f>
        <v xml:space="preserve"> </v>
      </c>
      <c r="M27" s="73" t="str">
        <f ca="1">IF(COUNTIF(Conso!Q25,"*Récurrente*"),"x"," ")</f>
        <v xml:space="preserve"> </v>
      </c>
      <c r="N27" s="73" t="str">
        <f ca="1">IF(COUNTIF(Conso!Q25,"*Permanente*"),"x"," ")</f>
        <v xml:space="preserve"> </v>
      </c>
      <c r="O27" s="74" t="str">
        <f t="shared" ca="1" si="13"/>
        <v xml:space="preserve"> </v>
      </c>
      <c r="P27" s="74" t="str">
        <f t="shared" ca="1" si="14"/>
        <v xml:space="preserve"> </v>
      </c>
      <c r="Q27" s="74" t="str">
        <f t="shared" ca="1" si="15"/>
        <v xml:space="preserve"> </v>
      </c>
      <c r="R27" s="74" t="str">
        <f t="shared" ca="1" si="16"/>
        <v xml:space="preserve"> </v>
      </c>
      <c r="S27" s="74" t="str">
        <f t="shared" ca="1" si="17"/>
        <v xml:space="preserve"> </v>
      </c>
      <c r="T27" s="74" t="str">
        <f t="shared" ca="1" si="18"/>
        <v xml:space="preserve"> </v>
      </c>
      <c r="U27" s="74" t="str">
        <f t="shared" ca="1" si="19"/>
        <v xml:space="preserve"> </v>
      </c>
      <c r="V27" s="74" t="str">
        <f t="shared" ca="1" si="20"/>
        <v xml:space="preserve"> </v>
      </c>
      <c r="W27" s="74" t="str">
        <f t="shared" ca="1" si="21"/>
        <v xml:space="preserve"> </v>
      </c>
      <c r="X27" s="74" t="str">
        <f t="shared" ca="1" si="22"/>
        <v xml:space="preserve"> </v>
      </c>
      <c r="Y27" s="74" t="str">
        <f t="shared" ca="1" si="23"/>
        <v xml:space="preserve"> </v>
      </c>
      <c r="Z27" s="74" t="str">
        <f t="shared" ca="1" si="24"/>
        <v xml:space="preserve"> </v>
      </c>
      <c r="AA27" s="74" t="str">
        <f t="shared" ca="1" si="25"/>
        <v xml:space="preserve"> </v>
      </c>
      <c r="AB27" s="74" t="str">
        <f t="shared" ca="1" si="26"/>
        <v xml:space="preserve"> </v>
      </c>
      <c r="AC27" s="74" t="str">
        <f t="shared" ca="1" si="27"/>
        <v xml:space="preserve"> </v>
      </c>
      <c r="AD27" s="74" t="str">
        <f t="shared" ca="1" si="28"/>
        <v xml:space="preserve"> </v>
      </c>
      <c r="AE27" s="74" t="str">
        <f t="shared" ca="1" si="29"/>
        <v xml:space="preserve"> </v>
      </c>
      <c r="AF27" s="74" t="str">
        <f t="shared" ca="1" si="30"/>
        <v xml:space="preserve"> </v>
      </c>
      <c r="AG27" s="74" t="str">
        <f t="shared" ca="1" si="31"/>
        <v xml:space="preserve"> </v>
      </c>
      <c r="AH27" s="74" t="str">
        <f t="shared" ca="1" si="32"/>
        <v xml:space="preserve"> </v>
      </c>
      <c r="AI27" s="74" t="str">
        <f t="shared" ca="1" si="33"/>
        <v xml:space="preserve"> </v>
      </c>
      <c r="AJ27" s="74" t="str">
        <f t="shared" ca="1" si="34"/>
        <v xml:space="preserve"> </v>
      </c>
      <c r="AK27" s="74" t="str">
        <f t="shared" ca="1" si="35"/>
        <v xml:space="preserve"> </v>
      </c>
      <c r="AL27" s="74" t="str">
        <f t="shared" ca="1" si="36"/>
        <v xml:space="preserve"> </v>
      </c>
      <c r="AM27" s="74" t="str">
        <f t="shared" ca="1" si="37"/>
        <v xml:space="preserve"> </v>
      </c>
      <c r="AN27" s="74" t="str">
        <f t="shared" ca="1" si="38"/>
        <v xml:space="preserve"> </v>
      </c>
      <c r="AO27" s="74" t="str">
        <f t="shared" ca="1" si="39"/>
        <v xml:space="preserve"> </v>
      </c>
      <c r="AP27" s="74" t="str">
        <f t="shared" ca="1" si="40"/>
        <v xml:space="preserve"> </v>
      </c>
      <c r="AQ27" s="74" t="str">
        <f t="shared" ca="1" si="41"/>
        <v xml:space="preserve"> </v>
      </c>
      <c r="AR27" s="74" t="str">
        <f t="shared" ca="1" si="42"/>
        <v xml:space="preserve"> </v>
      </c>
      <c r="AS27" s="74" t="str">
        <f t="shared" ca="1" si="43"/>
        <v xml:space="preserve"> </v>
      </c>
      <c r="AT27" s="74" t="str">
        <f t="shared" ca="1" si="44"/>
        <v xml:space="preserve"> </v>
      </c>
      <c r="AU27" s="74" t="str">
        <f t="shared" ca="1" si="45"/>
        <v xml:space="preserve"> </v>
      </c>
      <c r="AV27" s="74" t="str">
        <f t="shared" ca="1" si="46"/>
        <v xml:space="preserve"> </v>
      </c>
      <c r="AW27" s="74" t="str">
        <f t="shared" ca="1" si="47"/>
        <v xml:space="preserve"> </v>
      </c>
      <c r="AX27" s="74" t="str">
        <f t="shared" ca="1" si="48"/>
        <v xml:space="preserve"> </v>
      </c>
      <c r="AY27" s="75" t="str">
        <f t="shared" ca="1" si="49"/>
        <v xml:space="preserve"> </v>
      </c>
      <c r="AZ27" s="73" t="str">
        <f t="shared" ca="1" si="50"/>
        <v xml:space="preserve"> </v>
      </c>
      <c r="BA27" s="73" t="str">
        <f t="shared" ca="1" si="51"/>
        <v xml:space="preserve"> </v>
      </c>
      <c r="BB27" s="73" t="str">
        <f t="shared" ca="1" si="52"/>
        <v xml:space="preserve"> </v>
      </c>
      <c r="BC27" s="73" t="str">
        <f ca="1">IF(COUNTIF(Conso!P25,"*Insuffisant*"),"x"," ")</f>
        <v xml:space="preserve"> </v>
      </c>
      <c r="BD27" s="73" t="str">
        <f ca="1">IF(COUNTIF(Conso!P25,"*Faible*"),"x"," ")</f>
        <v xml:space="preserve"> </v>
      </c>
      <c r="BE27" s="73" t="str">
        <f ca="1">IF(COUNTIF(Conso!P25,"*Acceptable*"),"x"," ")</f>
        <v xml:space="preserve"> </v>
      </c>
      <c r="BF27" s="73" t="str">
        <f ca="1">IF(COUNTIF(Conso!P25,"*Maîtrisé*"),"x"," ")</f>
        <v xml:space="preserve"> </v>
      </c>
      <c r="BG27" s="73" t="str">
        <f t="shared" ca="1" si="53"/>
        <v xml:space="preserve"> </v>
      </c>
      <c r="BH27" s="73" t="str">
        <f t="shared" ca="1" si="54"/>
        <v xml:space="preserve"> </v>
      </c>
      <c r="BI27" s="73" t="str">
        <f t="shared" ca="1" si="55"/>
        <v xml:space="preserve"> </v>
      </c>
      <c r="BJ27" s="73" t="str">
        <f t="shared" ca="1" si="56"/>
        <v xml:space="preserve"> </v>
      </c>
      <c r="BK27" s="73" t="str">
        <f t="shared" ca="1" si="57"/>
        <v xml:space="preserve"> </v>
      </c>
      <c r="BL27" s="73" t="str">
        <f t="shared" ca="1" si="58"/>
        <v xml:space="preserve"> </v>
      </c>
      <c r="BM27" s="73" t="str">
        <f t="shared" ca="1" si="59"/>
        <v xml:space="preserve"> </v>
      </c>
      <c r="BN27" s="73" t="str">
        <f t="shared" ca="1" si="60"/>
        <v xml:space="preserve"> </v>
      </c>
      <c r="BO27" s="73" t="str">
        <f t="shared" ca="1" si="61"/>
        <v xml:space="preserve"> </v>
      </c>
      <c r="BP27" s="73" t="str">
        <f t="shared" ca="1" si="62"/>
        <v xml:space="preserve"> </v>
      </c>
      <c r="BQ27" s="73" t="str">
        <f t="shared" ca="1" si="63"/>
        <v xml:space="preserve"> </v>
      </c>
      <c r="BR27" s="73" t="str">
        <f t="shared" ca="1" si="64"/>
        <v xml:space="preserve"> </v>
      </c>
      <c r="BS27" s="73" t="str">
        <f t="shared" ca="1" si="65"/>
        <v xml:space="preserve"> </v>
      </c>
      <c r="BT27" s="73" t="str">
        <f t="shared" ca="1" si="66"/>
        <v xml:space="preserve"> </v>
      </c>
      <c r="BU27" s="73" t="str">
        <f t="shared" ca="1" si="67"/>
        <v xml:space="preserve"> </v>
      </c>
      <c r="BV27" s="73" t="str">
        <f t="shared" ca="1" si="68"/>
        <v xml:space="preserve"> </v>
      </c>
      <c r="BW27" s="72" t="s">
        <v>918</v>
      </c>
    </row>
    <row r="28" spans="1:75" ht="37.5" customHeight="1">
      <c r="A28" s="211" t="s">
        <v>878</v>
      </c>
      <c r="B28" s="72" t="e">
        <f>#REF!</f>
        <v>#REF!</v>
      </c>
      <c r="C28" s="73" t="str">
        <f ca="1">IF(COUNTIF(Conso!R26,"*Marginal*"),"x"," ")</f>
        <v xml:space="preserve"> </v>
      </c>
      <c r="D28" s="73" t="str">
        <f ca="1">IF(COUNTIF(Conso!R26,"*Faible*"),"x"," ")</f>
        <v xml:space="preserve"> </v>
      </c>
      <c r="E28" s="73" t="str">
        <f ca="1">IF(COUNTIF(Conso!R26,"*Modéré*"),"x"," ")</f>
        <v xml:space="preserve"> </v>
      </c>
      <c r="F28" s="73" t="str">
        <f ca="1">IF(COUNTIF(Conso!R26,"*Elevé*"),"x"," ")</f>
        <v xml:space="preserve"> </v>
      </c>
      <c r="G28" s="73" t="str">
        <f ca="1">IF(COUNTIF(Conso!R26,"*Critique*"),"x"," ")</f>
        <v xml:space="preserve"> </v>
      </c>
      <c r="H28" s="73" t="str">
        <f ca="1">IF(COUNTIF(Conso!R26,"*Catastrophique*"),"x"," ")</f>
        <v xml:space="preserve"> </v>
      </c>
      <c r="I28" s="73" t="str">
        <f ca="1">IF(COUNTIF(Conso!Q26,"*Exceptionnelle*"),"x"," ")</f>
        <v xml:space="preserve"> </v>
      </c>
      <c r="J28" s="73" t="str">
        <f ca="1">IF(COUNTIF(Conso!Q26,"*Rare*"),"x"," ")</f>
        <v xml:space="preserve"> </v>
      </c>
      <c r="K28" s="73" t="str">
        <f ca="1">IF(COUNTIF(Conso!Q26,"*Modérée*"),"x"," ")</f>
        <v xml:space="preserve"> </v>
      </c>
      <c r="L28" s="73" t="str">
        <f ca="1">IF(COUNTIF(Conso!Q26,"*Elevée*"),"x"," ")</f>
        <v xml:space="preserve"> </v>
      </c>
      <c r="M28" s="73" t="str">
        <f ca="1">IF(COUNTIF(Conso!Q26,"*Récurrente*"),"x"," ")</f>
        <v xml:space="preserve"> </v>
      </c>
      <c r="N28" s="73" t="str">
        <f ca="1">IF(COUNTIF(Conso!Q26,"*Permanente*"),"x"," ")</f>
        <v xml:space="preserve"> </v>
      </c>
      <c r="O28" s="74" t="str">
        <f t="shared" ca="1" si="13"/>
        <v xml:space="preserve"> </v>
      </c>
      <c r="P28" s="74" t="str">
        <f t="shared" ca="1" si="14"/>
        <v xml:space="preserve"> </v>
      </c>
      <c r="Q28" s="74" t="str">
        <f t="shared" ca="1" si="15"/>
        <v xml:space="preserve"> </v>
      </c>
      <c r="R28" s="74" t="str">
        <f t="shared" ca="1" si="16"/>
        <v xml:space="preserve"> </v>
      </c>
      <c r="S28" s="74" t="str">
        <f t="shared" ca="1" si="17"/>
        <v xml:space="preserve"> </v>
      </c>
      <c r="T28" s="74" t="str">
        <f t="shared" ca="1" si="18"/>
        <v xml:space="preserve"> </v>
      </c>
      <c r="U28" s="74" t="str">
        <f t="shared" ca="1" si="19"/>
        <v xml:space="preserve"> </v>
      </c>
      <c r="V28" s="74" t="str">
        <f t="shared" ca="1" si="20"/>
        <v xml:space="preserve"> </v>
      </c>
      <c r="W28" s="74" t="str">
        <f t="shared" ca="1" si="21"/>
        <v xml:space="preserve"> </v>
      </c>
      <c r="X28" s="74" t="str">
        <f t="shared" ca="1" si="22"/>
        <v xml:space="preserve"> </v>
      </c>
      <c r="Y28" s="74" t="str">
        <f t="shared" ca="1" si="23"/>
        <v xml:space="preserve"> </v>
      </c>
      <c r="Z28" s="74" t="str">
        <f t="shared" ca="1" si="24"/>
        <v xml:space="preserve"> </v>
      </c>
      <c r="AA28" s="74" t="str">
        <f t="shared" ca="1" si="25"/>
        <v xml:space="preserve"> </v>
      </c>
      <c r="AB28" s="74" t="str">
        <f t="shared" ca="1" si="26"/>
        <v xml:space="preserve"> </v>
      </c>
      <c r="AC28" s="74" t="str">
        <f t="shared" ca="1" si="27"/>
        <v xml:space="preserve"> </v>
      </c>
      <c r="AD28" s="74" t="str">
        <f t="shared" ca="1" si="28"/>
        <v xml:space="preserve"> </v>
      </c>
      <c r="AE28" s="74" t="str">
        <f t="shared" ca="1" si="29"/>
        <v xml:space="preserve"> </v>
      </c>
      <c r="AF28" s="74" t="str">
        <f t="shared" ca="1" si="30"/>
        <v xml:space="preserve"> </v>
      </c>
      <c r="AG28" s="74" t="str">
        <f t="shared" ca="1" si="31"/>
        <v xml:space="preserve"> </v>
      </c>
      <c r="AH28" s="74" t="str">
        <f t="shared" ca="1" si="32"/>
        <v xml:space="preserve"> </v>
      </c>
      <c r="AI28" s="74" t="str">
        <f t="shared" ca="1" si="33"/>
        <v xml:space="preserve"> </v>
      </c>
      <c r="AJ28" s="74" t="str">
        <f t="shared" ca="1" si="34"/>
        <v xml:space="preserve"> </v>
      </c>
      <c r="AK28" s="74" t="str">
        <f t="shared" ca="1" si="35"/>
        <v xml:space="preserve"> </v>
      </c>
      <c r="AL28" s="74" t="str">
        <f t="shared" ca="1" si="36"/>
        <v xml:space="preserve"> </v>
      </c>
      <c r="AM28" s="74" t="str">
        <f t="shared" ca="1" si="37"/>
        <v xml:space="preserve"> </v>
      </c>
      <c r="AN28" s="74" t="str">
        <f t="shared" ca="1" si="38"/>
        <v xml:space="preserve"> </v>
      </c>
      <c r="AO28" s="74" t="str">
        <f t="shared" ca="1" si="39"/>
        <v xml:space="preserve"> </v>
      </c>
      <c r="AP28" s="74" t="str">
        <f t="shared" ca="1" si="40"/>
        <v xml:space="preserve"> </v>
      </c>
      <c r="AQ28" s="74" t="str">
        <f t="shared" ca="1" si="41"/>
        <v xml:space="preserve"> </v>
      </c>
      <c r="AR28" s="74" t="str">
        <f t="shared" ca="1" si="42"/>
        <v xml:space="preserve"> </v>
      </c>
      <c r="AS28" s="74" t="str">
        <f t="shared" ca="1" si="43"/>
        <v xml:space="preserve"> </v>
      </c>
      <c r="AT28" s="74" t="str">
        <f t="shared" ca="1" si="44"/>
        <v xml:space="preserve"> </v>
      </c>
      <c r="AU28" s="74" t="str">
        <f t="shared" ca="1" si="45"/>
        <v xml:space="preserve"> </v>
      </c>
      <c r="AV28" s="74" t="str">
        <f t="shared" ca="1" si="46"/>
        <v xml:space="preserve"> </v>
      </c>
      <c r="AW28" s="74" t="str">
        <f t="shared" ca="1" si="47"/>
        <v xml:space="preserve"> </v>
      </c>
      <c r="AX28" s="74" t="str">
        <f t="shared" ca="1" si="48"/>
        <v xml:space="preserve"> </v>
      </c>
      <c r="AY28" s="75" t="str">
        <f t="shared" ca="1" si="49"/>
        <v xml:space="preserve"> </v>
      </c>
      <c r="AZ28" s="73" t="str">
        <f t="shared" ca="1" si="50"/>
        <v xml:space="preserve"> </v>
      </c>
      <c r="BA28" s="73" t="str">
        <f t="shared" ca="1" si="51"/>
        <v xml:space="preserve"> </v>
      </c>
      <c r="BB28" s="73" t="str">
        <f t="shared" ca="1" si="52"/>
        <v xml:space="preserve"> </v>
      </c>
      <c r="BC28" s="73" t="str">
        <f ca="1">IF(COUNTIF(Conso!P26,"*Insuffisant*"),"x"," ")</f>
        <v xml:space="preserve"> </v>
      </c>
      <c r="BD28" s="73" t="str">
        <f ca="1">IF(COUNTIF(Conso!P26,"*Faible*"),"x"," ")</f>
        <v xml:space="preserve"> </v>
      </c>
      <c r="BE28" s="73" t="str">
        <f ca="1">IF(COUNTIF(Conso!P26,"*Acceptable*"),"x"," ")</f>
        <v xml:space="preserve"> </v>
      </c>
      <c r="BF28" s="73" t="str">
        <f ca="1">IF(COUNTIF(Conso!P26,"*Maîtrisé*"),"x"," ")</f>
        <v xml:space="preserve"> </v>
      </c>
      <c r="BG28" s="73" t="str">
        <f t="shared" ca="1" si="53"/>
        <v xml:space="preserve"> </v>
      </c>
      <c r="BH28" s="73" t="str">
        <f t="shared" ca="1" si="54"/>
        <v xml:space="preserve"> </v>
      </c>
      <c r="BI28" s="73" t="str">
        <f t="shared" ca="1" si="55"/>
        <v xml:space="preserve"> </v>
      </c>
      <c r="BJ28" s="73" t="str">
        <f t="shared" ca="1" si="56"/>
        <v xml:space="preserve"> </v>
      </c>
      <c r="BK28" s="73" t="str">
        <f t="shared" ca="1" si="57"/>
        <v xml:space="preserve"> </v>
      </c>
      <c r="BL28" s="73" t="str">
        <f t="shared" ca="1" si="58"/>
        <v xml:space="preserve"> </v>
      </c>
      <c r="BM28" s="73" t="str">
        <f t="shared" ca="1" si="59"/>
        <v xml:space="preserve"> </v>
      </c>
      <c r="BN28" s="73" t="str">
        <f t="shared" ca="1" si="60"/>
        <v xml:space="preserve"> </v>
      </c>
      <c r="BO28" s="73" t="str">
        <f t="shared" ca="1" si="61"/>
        <v xml:space="preserve"> </v>
      </c>
      <c r="BP28" s="73" t="str">
        <f t="shared" ca="1" si="62"/>
        <v xml:space="preserve"> </v>
      </c>
      <c r="BQ28" s="73" t="str">
        <f t="shared" ca="1" si="63"/>
        <v xml:space="preserve"> </v>
      </c>
      <c r="BR28" s="73" t="str">
        <f t="shared" ca="1" si="64"/>
        <v xml:space="preserve"> </v>
      </c>
      <c r="BS28" s="73" t="str">
        <f t="shared" ca="1" si="65"/>
        <v xml:space="preserve"> </v>
      </c>
      <c r="BT28" s="73" t="str">
        <f t="shared" ca="1" si="66"/>
        <v xml:space="preserve"> </v>
      </c>
      <c r="BU28" s="73" t="str">
        <f t="shared" ca="1" si="67"/>
        <v xml:space="preserve"> </v>
      </c>
      <c r="BV28" s="73" t="str">
        <f t="shared" ca="1" si="68"/>
        <v xml:space="preserve"> </v>
      </c>
      <c r="BW28" s="72" t="s">
        <v>919</v>
      </c>
    </row>
    <row r="29" spans="1:75" ht="37.5" customHeight="1">
      <c r="A29" s="211" t="s">
        <v>879</v>
      </c>
      <c r="B29" s="72" t="e">
        <f>#REF!</f>
        <v>#REF!</v>
      </c>
      <c r="C29" s="73" t="str">
        <f ca="1">IF(COUNTIF(Conso!R27,"*Marginal*"),"x"," ")</f>
        <v xml:space="preserve"> </v>
      </c>
      <c r="D29" s="73" t="str">
        <f ca="1">IF(COUNTIF(Conso!R27,"*Faible*"),"x"," ")</f>
        <v xml:space="preserve"> </v>
      </c>
      <c r="E29" s="73" t="str">
        <f ca="1">IF(COUNTIF(Conso!R27,"*Modéré*"),"x"," ")</f>
        <v xml:space="preserve"> </v>
      </c>
      <c r="F29" s="73" t="str">
        <f ca="1">IF(COUNTIF(Conso!R27,"*Elevé*"),"x"," ")</f>
        <v xml:space="preserve"> </v>
      </c>
      <c r="G29" s="73" t="str">
        <f ca="1">IF(COUNTIF(Conso!R27,"*Critique*"),"x"," ")</f>
        <v xml:space="preserve"> </v>
      </c>
      <c r="H29" s="73" t="str">
        <f ca="1">IF(COUNTIF(Conso!R27,"*Catastrophique*"),"x"," ")</f>
        <v xml:space="preserve"> </v>
      </c>
      <c r="I29" s="73" t="str">
        <f ca="1">IF(COUNTIF(Conso!Q27,"*Exceptionnelle*"),"x"," ")</f>
        <v xml:space="preserve"> </v>
      </c>
      <c r="J29" s="73" t="str">
        <f ca="1">IF(COUNTIF(Conso!Q27,"*Rare*"),"x"," ")</f>
        <v xml:space="preserve"> </v>
      </c>
      <c r="K29" s="73" t="str">
        <f ca="1">IF(COUNTIF(Conso!Q27,"*Modérée*"),"x"," ")</f>
        <v xml:space="preserve"> </v>
      </c>
      <c r="L29" s="73" t="str">
        <f ca="1">IF(COUNTIF(Conso!Q27,"*Elevée*"),"x"," ")</f>
        <v xml:space="preserve"> </v>
      </c>
      <c r="M29" s="73" t="str">
        <f ca="1">IF(COUNTIF(Conso!Q27,"*Récurrente*"),"x"," ")</f>
        <v xml:space="preserve"> </v>
      </c>
      <c r="N29" s="73" t="str">
        <f ca="1">IF(COUNTIF(Conso!Q27,"*Permanente*"),"x"," ")</f>
        <v xml:space="preserve"> </v>
      </c>
      <c r="O29" s="74" t="str">
        <f t="shared" ca="1" si="13"/>
        <v xml:space="preserve"> </v>
      </c>
      <c r="P29" s="74" t="str">
        <f t="shared" ca="1" si="14"/>
        <v xml:space="preserve"> </v>
      </c>
      <c r="Q29" s="74" t="str">
        <f t="shared" ca="1" si="15"/>
        <v xml:space="preserve"> </v>
      </c>
      <c r="R29" s="74" t="str">
        <f t="shared" ca="1" si="16"/>
        <v xml:space="preserve"> </v>
      </c>
      <c r="S29" s="74" t="str">
        <f t="shared" ca="1" si="17"/>
        <v xml:space="preserve"> </v>
      </c>
      <c r="T29" s="74" t="str">
        <f t="shared" ca="1" si="18"/>
        <v xml:space="preserve"> </v>
      </c>
      <c r="U29" s="74" t="str">
        <f t="shared" ca="1" si="19"/>
        <v xml:space="preserve"> </v>
      </c>
      <c r="V29" s="74" t="str">
        <f t="shared" ca="1" si="20"/>
        <v xml:space="preserve"> </v>
      </c>
      <c r="W29" s="74" t="str">
        <f t="shared" ca="1" si="21"/>
        <v xml:space="preserve"> </v>
      </c>
      <c r="X29" s="74" t="str">
        <f t="shared" ca="1" si="22"/>
        <v xml:space="preserve"> </v>
      </c>
      <c r="Y29" s="74" t="str">
        <f t="shared" ca="1" si="23"/>
        <v xml:space="preserve"> </v>
      </c>
      <c r="Z29" s="74" t="str">
        <f t="shared" ca="1" si="24"/>
        <v xml:space="preserve"> </v>
      </c>
      <c r="AA29" s="74" t="str">
        <f t="shared" ca="1" si="25"/>
        <v xml:space="preserve"> </v>
      </c>
      <c r="AB29" s="74" t="str">
        <f t="shared" ca="1" si="26"/>
        <v xml:space="preserve"> </v>
      </c>
      <c r="AC29" s="74" t="str">
        <f t="shared" ca="1" si="27"/>
        <v xml:space="preserve"> </v>
      </c>
      <c r="AD29" s="74" t="str">
        <f t="shared" ca="1" si="28"/>
        <v xml:space="preserve"> </v>
      </c>
      <c r="AE29" s="74" t="str">
        <f t="shared" ca="1" si="29"/>
        <v xml:space="preserve"> </v>
      </c>
      <c r="AF29" s="74" t="str">
        <f t="shared" ca="1" si="30"/>
        <v xml:space="preserve"> </v>
      </c>
      <c r="AG29" s="74" t="str">
        <f t="shared" ca="1" si="31"/>
        <v xml:space="preserve"> </v>
      </c>
      <c r="AH29" s="74" t="str">
        <f t="shared" ca="1" si="32"/>
        <v xml:space="preserve"> </v>
      </c>
      <c r="AI29" s="74" t="str">
        <f t="shared" ca="1" si="33"/>
        <v xml:space="preserve"> </v>
      </c>
      <c r="AJ29" s="74" t="str">
        <f t="shared" ca="1" si="34"/>
        <v xml:space="preserve"> </v>
      </c>
      <c r="AK29" s="74" t="str">
        <f t="shared" ca="1" si="35"/>
        <v xml:space="preserve"> </v>
      </c>
      <c r="AL29" s="74" t="str">
        <f t="shared" ca="1" si="36"/>
        <v xml:space="preserve"> </v>
      </c>
      <c r="AM29" s="74" t="str">
        <f t="shared" ca="1" si="37"/>
        <v xml:space="preserve"> </v>
      </c>
      <c r="AN29" s="74" t="str">
        <f t="shared" ca="1" si="38"/>
        <v xml:space="preserve"> </v>
      </c>
      <c r="AO29" s="74" t="str">
        <f t="shared" ca="1" si="39"/>
        <v xml:space="preserve"> </v>
      </c>
      <c r="AP29" s="74" t="str">
        <f t="shared" ca="1" si="40"/>
        <v xml:space="preserve"> </v>
      </c>
      <c r="AQ29" s="74" t="str">
        <f t="shared" ca="1" si="41"/>
        <v xml:space="preserve"> </v>
      </c>
      <c r="AR29" s="74" t="str">
        <f t="shared" ca="1" si="42"/>
        <v xml:space="preserve"> </v>
      </c>
      <c r="AS29" s="74" t="str">
        <f t="shared" ca="1" si="43"/>
        <v xml:space="preserve"> </v>
      </c>
      <c r="AT29" s="74" t="str">
        <f t="shared" ca="1" si="44"/>
        <v xml:space="preserve"> </v>
      </c>
      <c r="AU29" s="74" t="str">
        <f t="shared" ca="1" si="45"/>
        <v xml:space="preserve"> </v>
      </c>
      <c r="AV29" s="74" t="str">
        <f t="shared" ca="1" si="46"/>
        <v xml:space="preserve"> </v>
      </c>
      <c r="AW29" s="74" t="str">
        <f t="shared" ca="1" si="47"/>
        <v xml:space="preserve"> </v>
      </c>
      <c r="AX29" s="74" t="str">
        <f t="shared" ca="1" si="48"/>
        <v xml:space="preserve"> </v>
      </c>
      <c r="AY29" s="75" t="str">
        <f t="shared" ca="1" si="49"/>
        <v xml:space="preserve"> </v>
      </c>
      <c r="AZ29" s="73" t="str">
        <f t="shared" ca="1" si="50"/>
        <v xml:space="preserve"> </v>
      </c>
      <c r="BA29" s="73" t="str">
        <f t="shared" ca="1" si="51"/>
        <v xml:space="preserve"> </v>
      </c>
      <c r="BB29" s="73" t="str">
        <f t="shared" ca="1" si="52"/>
        <v xml:space="preserve"> </v>
      </c>
      <c r="BC29" s="73" t="str">
        <f ca="1">IF(COUNTIF(Conso!P27,"*Insuffisant*"),"x"," ")</f>
        <v xml:space="preserve"> </v>
      </c>
      <c r="BD29" s="73" t="str">
        <f ca="1">IF(COUNTIF(Conso!P27,"*Faible*"),"x"," ")</f>
        <v xml:space="preserve"> </v>
      </c>
      <c r="BE29" s="73" t="str">
        <f ca="1">IF(COUNTIF(Conso!P27,"*Acceptable*"),"x"," ")</f>
        <v xml:space="preserve"> </v>
      </c>
      <c r="BF29" s="73" t="str">
        <f ca="1">IF(COUNTIF(Conso!P27,"*Maîtrisé*"),"x"," ")</f>
        <v xml:space="preserve"> </v>
      </c>
      <c r="BG29" s="73" t="str">
        <f t="shared" ca="1" si="53"/>
        <v xml:space="preserve"> </v>
      </c>
      <c r="BH29" s="73" t="str">
        <f t="shared" ca="1" si="54"/>
        <v xml:space="preserve"> </v>
      </c>
      <c r="BI29" s="73" t="str">
        <f t="shared" ca="1" si="55"/>
        <v xml:space="preserve"> </v>
      </c>
      <c r="BJ29" s="73" t="str">
        <f t="shared" ca="1" si="56"/>
        <v xml:space="preserve"> </v>
      </c>
      <c r="BK29" s="73" t="str">
        <f t="shared" ca="1" si="57"/>
        <v xml:space="preserve"> </v>
      </c>
      <c r="BL29" s="73" t="str">
        <f t="shared" ca="1" si="58"/>
        <v xml:space="preserve"> </v>
      </c>
      <c r="BM29" s="73" t="str">
        <f t="shared" ca="1" si="59"/>
        <v xml:space="preserve"> </v>
      </c>
      <c r="BN29" s="73" t="str">
        <f t="shared" ca="1" si="60"/>
        <v xml:space="preserve"> </v>
      </c>
      <c r="BO29" s="73" t="str">
        <f t="shared" ca="1" si="61"/>
        <v xml:space="preserve"> </v>
      </c>
      <c r="BP29" s="73" t="str">
        <f t="shared" ca="1" si="62"/>
        <v xml:space="preserve"> </v>
      </c>
      <c r="BQ29" s="73" t="str">
        <f t="shared" ca="1" si="63"/>
        <v xml:space="preserve"> </v>
      </c>
      <c r="BR29" s="73" t="str">
        <f t="shared" ca="1" si="64"/>
        <v xml:space="preserve"> </v>
      </c>
      <c r="BS29" s="73" t="str">
        <f t="shared" ca="1" si="65"/>
        <v xml:space="preserve"> </v>
      </c>
      <c r="BT29" s="73" t="str">
        <f t="shared" ca="1" si="66"/>
        <v xml:space="preserve"> </v>
      </c>
      <c r="BU29" s="73" t="str">
        <f t="shared" ca="1" si="67"/>
        <v xml:space="preserve"> </v>
      </c>
      <c r="BV29" s="73" t="str">
        <f t="shared" ca="1" si="68"/>
        <v xml:space="preserve"> </v>
      </c>
      <c r="BW29" s="72" t="s">
        <v>920</v>
      </c>
    </row>
    <row r="30" spans="1:75" ht="37.5" customHeight="1">
      <c r="A30" s="211" t="s">
        <v>880</v>
      </c>
      <c r="B30" s="72" t="e">
        <f>#REF!</f>
        <v>#REF!</v>
      </c>
      <c r="C30" s="73" t="str">
        <f ca="1">IF(COUNTIF(Conso!R28,"*Marginal*"),"x"," ")</f>
        <v xml:space="preserve"> </v>
      </c>
      <c r="D30" s="73" t="str">
        <f ca="1">IF(COUNTIF(Conso!R28,"*Faible*"),"x"," ")</f>
        <v xml:space="preserve"> </v>
      </c>
      <c r="E30" s="73" t="str">
        <f ca="1">IF(COUNTIF(Conso!R28,"*Modéré*"),"x"," ")</f>
        <v xml:space="preserve"> </v>
      </c>
      <c r="F30" s="73" t="str">
        <f ca="1">IF(COUNTIF(Conso!R28,"*Elevé*"),"x"," ")</f>
        <v xml:space="preserve"> </v>
      </c>
      <c r="G30" s="73" t="str">
        <f ca="1">IF(COUNTIF(Conso!R28,"*Critique*"),"x"," ")</f>
        <v xml:space="preserve"> </v>
      </c>
      <c r="H30" s="73" t="str">
        <f ca="1">IF(COUNTIF(Conso!R28,"*Catastrophique*"),"x"," ")</f>
        <v xml:space="preserve"> </v>
      </c>
      <c r="I30" s="73" t="str">
        <f ca="1">IF(COUNTIF(Conso!Q28,"*Exceptionnelle*"),"x"," ")</f>
        <v xml:space="preserve"> </v>
      </c>
      <c r="J30" s="73" t="str">
        <f ca="1">IF(COUNTIF(Conso!Q28,"*Rare*"),"x"," ")</f>
        <v xml:space="preserve"> </v>
      </c>
      <c r="K30" s="73" t="str">
        <f ca="1">IF(COUNTIF(Conso!Q28,"*Modérée*"),"x"," ")</f>
        <v xml:space="preserve"> </v>
      </c>
      <c r="L30" s="73" t="str">
        <f ca="1">IF(COUNTIF(Conso!Q28,"*Elevée*"),"x"," ")</f>
        <v xml:space="preserve"> </v>
      </c>
      <c r="M30" s="73" t="str">
        <f ca="1">IF(COUNTIF(Conso!Q28,"*Récurrente*"),"x"," ")</f>
        <v xml:space="preserve"> </v>
      </c>
      <c r="N30" s="73" t="str">
        <f ca="1">IF(COUNTIF(Conso!Q28,"*Permanente*"),"x"," ")</f>
        <v xml:space="preserve"> </v>
      </c>
      <c r="O30" s="74" t="str">
        <f t="shared" ca="1" si="13"/>
        <v xml:space="preserve"> </v>
      </c>
      <c r="P30" s="74" t="str">
        <f t="shared" ca="1" si="14"/>
        <v xml:space="preserve"> </v>
      </c>
      <c r="Q30" s="74" t="str">
        <f t="shared" ca="1" si="15"/>
        <v xml:space="preserve"> </v>
      </c>
      <c r="R30" s="74" t="str">
        <f t="shared" ca="1" si="16"/>
        <v xml:space="preserve"> </v>
      </c>
      <c r="S30" s="74" t="str">
        <f t="shared" ca="1" si="17"/>
        <v xml:space="preserve"> </v>
      </c>
      <c r="T30" s="74" t="str">
        <f t="shared" ca="1" si="18"/>
        <v xml:space="preserve"> </v>
      </c>
      <c r="U30" s="74" t="str">
        <f t="shared" ca="1" si="19"/>
        <v xml:space="preserve"> </v>
      </c>
      <c r="V30" s="74" t="str">
        <f t="shared" ca="1" si="20"/>
        <v xml:space="preserve"> </v>
      </c>
      <c r="W30" s="74" t="str">
        <f t="shared" ca="1" si="21"/>
        <v xml:space="preserve"> </v>
      </c>
      <c r="X30" s="74" t="str">
        <f t="shared" ca="1" si="22"/>
        <v xml:space="preserve"> </v>
      </c>
      <c r="Y30" s="74" t="str">
        <f t="shared" ca="1" si="23"/>
        <v xml:space="preserve"> </v>
      </c>
      <c r="Z30" s="74" t="str">
        <f t="shared" ca="1" si="24"/>
        <v xml:space="preserve"> </v>
      </c>
      <c r="AA30" s="74" t="str">
        <f t="shared" ca="1" si="25"/>
        <v xml:space="preserve"> </v>
      </c>
      <c r="AB30" s="74" t="str">
        <f t="shared" ca="1" si="26"/>
        <v xml:space="preserve"> </v>
      </c>
      <c r="AC30" s="74" t="str">
        <f t="shared" ca="1" si="27"/>
        <v xml:space="preserve"> </v>
      </c>
      <c r="AD30" s="74" t="str">
        <f t="shared" ca="1" si="28"/>
        <v xml:space="preserve"> </v>
      </c>
      <c r="AE30" s="74" t="str">
        <f t="shared" ca="1" si="29"/>
        <v xml:space="preserve"> </v>
      </c>
      <c r="AF30" s="74" t="str">
        <f t="shared" ca="1" si="30"/>
        <v xml:space="preserve"> </v>
      </c>
      <c r="AG30" s="74" t="str">
        <f t="shared" ca="1" si="31"/>
        <v xml:space="preserve"> </v>
      </c>
      <c r="AH30" s="74" t="str">
        <f t="shared" ca="1" si="32"/>
        <v xml:space="preserve"> </v>
      </c>
      <c r="AI30" s="74" t="str">
        <f t="shared" ca="1" si="33"/>
        <v xml:space="preserve"> </v>
      </c>
      <c r="AJ30" s="74" t="str">
        <f t="shared" ca="1" si="34"/>
        <v xml:space="preserve"> </v>
      </c>
      <c r="AK30" s="74" t="str">
        <f t="shared" ca="1" si="35"/>
        <v xml:space="preserve"> </v>
      </c>
      <c r="AL30" s="74" t="str">
        <f t="shared" ca="1" si="36"/>
        <v xml:space="preserve"> </v>
      </c>
      <c r="AM30" s="74" t="str">
        <f t="shared" ca="1" si="37"/>
        <v xml:space="preserve"> </v>
      </c>
      <c r="AN30" s="74" t="str">
        <f t="shared" ca="1" si="38"/>
        <v xml:space="preserve"> </v>
      </c>
      <c r="AO30" s="74" t="str">
        <f t="shared" ca="1" si="39"/>
        <v xml:space="preserve"> </v>
      </c>
      <c r="AP30" s="74" t="str">
        <f t="shared" ca="1" si="40"/>
        <v xml:space="preserve"> </v>
      </c>
      <c r="AQ30" s="74" t="str">
        <f t="shared" ca="1" si="41"/>
        <v xml:space="preserve"> </v>
      </c>
      <c r="AR30" s="74" t="str">
        <f t="shared" ca="1" si="42"/>
        <v xml:space="preserve"> </v>
      </c>
      <c r="AS30" s="74" t="str">
        <f t="shared" ca="1" si="43"/>
        <v xml:space="preserve"> </v>
      </c>
      <c r="AT30" s="74" t="str">
        <f t="shared" ca="1" si="44"/>
        <v xml:space="preserve"> </v>
      </c>
      <c r="AU30" s="74" t="str">
        <f t="shared" ca="1" si="45"/>
        <v xml:space="preserve"> </v>
      </c>
      <c r="AV30" s="74" t="str">
        <f t="shared" ca="1" si="46"/>
        <v xml:space="preserve"> </v>
      </c>
      <c r="AW30" s="74" t="str">
        <f t="shared" ca="1" si="47"/>
        <v xml:space="preserve"> </v>
      </c>
      <c r="AX30" s="74" t="str">
        <f t="shared" ca="1" si="48"/>
        <v xml:space="preserve"> </v>
      </c>
      <c r="AY30" s="75" t="str">
        <f t="shared" ca="1" si="49"/>
        <v xml:space="preserve"> </v>
      </c>
      <c r="AZ30" s="73" t="str">
        <f t="shared" ca="1" si="50"/>
        <v xml:space="preserve"> </v>
      </c>
      <c r="BA30" s="73" t="str">
        <f t="shared" ca="1" si="51"/>
        <v xml:space="preserve"> </v>
      </c>
      <c r="BB30" s="73" t="str">
        <f t="shared" ca="1" si="52"/>
        <v xml:space="preserve"> </v>
      </c>
      <c r="BC30" s="73" t="str">
        <f ca="1">IF(COUNTIF(Conso!P28,"*Insuffisant*"),"x"," ")</f>
        <v xml:space="preserve"> </v>
      </c>
      <c r="BD30" s="73" t="str">
        <f ca="1">IF(COUNTIF(Conso!P28,"*Faible*"),"x"," ")</f>
        <v xml:space="preserve"> </v>
      </c>
      <c r="BE30" s="73" t="str">
        <f ca="1">IF(COUNTIF(Conso!P28,"*Acceptable*"),"x"," ")</f>
        <v xml:space="preserve"> </v>
      </c>
      <c r="BF30" s="73" t="str">
        <f ca="1">IF(COUNTIF(Conso!P28,"*Maîtrisé*"),"x"," ")</f>
        <v xml:space="preserve"> </v>
      </c>
      <c r="BG30" s="73" t="str">
        <f t="shared" ca="1" si="53"/>
        <v xml:space="preserve"> </v>
      </c>
      <c r="BH30" s="73" t="str">
        <f t="shared" ca="1" si="54"/>
        <v xml:space="preserve"> </v>
      </c>
      <c r="BI30" s="73" t="str">
        <f t="shared" ca="1" si="55"/>
        <v xml:space="preserve"> </v>
      </c>
      <c r="BJ30" s="73" t="str">
        <f t="shared" ca="1" si="56"/>
        <v xml:space="preserve"> </v>
      </c>
      <c r="BK30" s="73" t="str">
        <f t="shared" ca="1" si="57"/>
        <v xml:space="preserve"> </v>
      </c>
      <c r="BL30" s="73" t="str">
        <f t="shared" ca="1" si="58"/>
        <v xml:space="preserve"> </v>
      </c>
      <c r="BM30" s="73" t="str">
        <f t="shared" ca="1" si="59"/>
        <v xml:space="preserve"> </v>
      </c>
      <c r="BN30" s="73" t="str">
        <f t="shared" ca="1" si="60"/>
        <v xml:space="preserve"> </v>
      </c>
      <c r="BO30" s="73" t="str">
        <f t="shared" ca="1" si="61"/>
        <v xml:space="preserve"> </v>
      </c>
      <c r="BP30" s="73" t="str">
        <f t="shared" ca="1" si="62"/>
        <v xml:space="preserve"> </v>
      </c>
      <c r="BQ30" s="73" t="str">
        <f t="shared" ca="1" si="63"/>
        <v xml:space="preserve"> </v>
      </c>
      <c r="BR30" s="73" t="str">
        <f t="shared" ca="1" si="64"/>
        <v xml:space="preserve"> </v>
      </c>
      <c r="BS30" s="73" t="str">
        <f t="shared" ca="1" si="65"/>
        <v xml:space="preserve"> </v>
      </c>
      <c r="BT30" s="73" t="str">
        <f t="shared" ca="1" si="66"/>
        <v xml:space="preserve"> </v>
      </c>
      <c r="BU30" s="73" t="str">
        <f t="shared" ca="1" si="67"/>
        <v xml:space="preserve"> </v>
      </c>
      <c r="BV30" s="73" t="str">
        <f t="shared" ca="1" si="68"/>
        <v xml:space="preserve"> </v>
      </c>
      <c r="BW30" s="72" t="s">
        <v>921</v>
      </c>
    </row>
    <row r="31" spans="1:75" ht="37.5" customHeight="1">
      <c r="A31" s="211" t="s">
        <v>881</v>
      </c>
      <c r="B31" s="72" t="e">
        <f>#REF!</f>
        <v>#REF!</v>
      </c>
      <c r="C31" s="73" t="str">
        <f ca="1">IF(COUNTIF(Conso!R29,"*Marginal*"),"x"," ")</f>
        <v xml:space="preserve"> </v>
      </c>
      <c r="D31" s="73" t="str">
        <f ca="1">IF(COUNTIF(Conso!R29,"*Faible*"),"x"," ")</f>
        <v xml:space="preserve"> </v>
      </c>
      <c r="E31" s="73" t="str">
        <f ca="1">IF(COUNTIF(Conso!R29,"*Modéré*"),"x"," ")</f>
        <v xml:space="preserve"> </v>
      </c>
      <c r="F31" s="73" t="str">
        <f ca="1">IF(COUNTIF(Conso!R29,"*Elevé*"),"x"," ")</f>
        <v xml:space="preserve"> </v>
      </c>
      <c r="G31" s="73" t="str">
        <f ca="1">IF(COUNTIF(Conso!R29,"*Critique*"),"x"," ")</f>
        <v xml:space="preserve"> </v>
      </c>
      <c r="H31" s="73" t="str">
        <f ca="1">IF(COUNTIF(Conso!R29,"*Catastrophique*"),"x"," ")</f>
        <v xml:space="preserve"> </v>
      </c>
      <c r="I31" s="73" t="str">
        <f ca="1">IF(COUNTIF(Conso!Q29,"*Exceptionnelle*"),"x"," ")</f>
        <v xml:space="preserve"> </v>
      </c>
      <c r="J31" s="73" t="str">
        <f ca="1">IF(COUNTIF(Conso!Q29,"*Rare*"),"x"," ")</f>
        <v xml:space="preserve"> </v>
      </c>
      <c r="K31" s="73" t="str">
        <f ca="1">IF(COUNTIF(Conso!Q29,"*Modérée*"),"x"," ")</f>
        <v xml:space="preserve"> </v>
      </c>
      <c r="L31" s="73" t="str">
        <f ca="1">IF(COUNTIF(Conso!Q29,"*Elevée*"),"x"," ")</f>
        <v xml:space="preserve"> </v>
      </c>
      <c r="M31" s="73" t="str">
        <f ca="1">IF(COUNTIF(Conso!Q29,"*Récurrente*"),"x"," ")</f>
        <v xml:space="preserve"> </v>
      </c>
      <c r="N31" s="73" t="str">
        <f ca="1">IF(COUNTIF(Conso!Q29,"*Permanente*"),"x"," ")</f>
        <v xml:space="preserve"> </v>
      </c>
      <c r="O31" s="74" t="str">
        <f t="shared" ca="1" si="13"/>
        <v xml:space="preserve"> </v>
      </c>
      <c r="P31" s="74" t="str">
        <f t="shared" ca="1" si="14"/>
        <v xml:space="preserve"> </v>
      </c>
      <c r="Q31" s="74" t="str">
        <f t="shared" ca="1" si="15"/>
        <v xml:space="preserve"> </v>
      </c>
      <c r="R31" s="74" t="str">
        <f t="shared" ca="1" si="16"/>
        <v xml:space="preserve"> </v>
      </c>
      <c r="S31" s="74" t="str">
        <f t="shared" ca="1" si="17"/>
        <v xml:space="preserve"> </v>
      </c>
      <c r="T31" s="74" t="str">
        <f t="shared" ca="1" si="18"/>
        <v xml:space="preserve"> </v>
      </c>
      <c r="U31" s="74" t="str">
        <f t="shared" ca="1" si="19"/>
        <v xml:space="preserve"> </v>
      </c>
      <c r="V31" s="74" t="str">
        <f t="shared" ca="1" si="20"/>
        <v xml:space="preserve"> </v>
      </c>
      <c r="W31" s="74" t="str">
        <f t="shared" ca="1" si="21"/>
        <v xml:space="preserve"> </v>
      </c>
      <c r="X31" s="74" t="str">
        <f t="shared" ca="1" si="22"/>
        <v xml:space="preserve"> </v>
      </c>
      <c r="Y31" s="74" t="str">
        <f t="shared" ca="1" si="23"/>
        <v xml:space="preserve"> </v>
      </c>
      <c r="Z31" s="74" t="str">
        <f t="shared" ca="1" si="24"/>
        <v xml:space="preserve"> </v>
      </c>
      <c r="AA31" s="74" t="str">
        <f t="shared" ca="1" si="25"/>
        <v xml:space="preserve"> </v>
      </c>
      <c r="AB31" s="74" t="str">
        <f t="shared" ca="1" si="26"/>
        <v xml:space="preserve"> </v>
      </c>
      <c r="AC31" s="74" t="str">
        <f t="shared" ca="1" si="27"/>
        <v xml:space="preserve"> </v>
      </c>
      <c r="AD31" s="74" t="str">
        <f t="shared" ca="1" si="28"/>
        <v xml:space="preserve"> </v>
      </c>
      <c r="AE31" s="74" t="str">
        <f t="shared" ca="1" si="29"/>
        <v xml:space="preserve"> </v>
      </c>
      <c r="AF31" s="74" t="str">
        <f t="shared" ca="1" si="30"/>
        <v xml:space="preserve"> </v>
      </c>
      <c r="AG31" s="74" t="str">
        <f t="shared" ca="1" si="31"/>
        <v xml:space="preserve"> </v>
      </c>
      <c r="AH31" s="74" t="str">
        <f t="shared" ca="1" si="32"/>
        <v xml:space="preserve"> </v>
      </c>
      <c r="AI31" s="74" t="str">
        <f t="shared" ca="1" si="33"/>
        <v xml:space="preserve"> </v>
      </c>
      <c r="AJ31" s="74" t="str">
        <f t="shared" ca="1" si="34"/>
        <v xml:space="preserve"> </v>
      </c>
      <c r="AK31" s="74" t="str">
        <f t="shared" ca="1" si="35"/>
        <v xml:space="preserve"> </v>
      </c>
      <c r="AL31" s="74" t="str">
        <f t="shared" ca="1" si="36"/>
        <v xml:space="preserve"> </v>
      </c>
      <c r="AM31" s="74" t="str">
        <f t="shared" ca="1" si="37"/>
        <v xml:space="preserve"> </v>
      </c>
      <c r="AN31" s="74" t="str">
        <f t="shared" ca="1" si="38"/>
        <v xml:space="preserve"> </v>
      </c>
      <c r="AO31" s="74" t="str">
        <f t="shared" ca="1" si="39"/>
        <v xml:space="preserve"> </v>
      </c>
      <c r="AP31" s="74" t="str">
        <f t="shared" ca="1" si="40"/>
        <v xml:space="preserve"> </v>
      </c>
      <c r="AQ31" s="74" t="str">
        <f t="shared" ca="1" si="41"/>
        <v xml:space="preserve"> </v>
      </c>
      <c r="AR31" s="74" t="str">
        <f t="shared" ca="1" si="42"/>
        <v xml:space="preserve"> </v>
      </c>
      <c r="AS31" s="74" t="str">
        <f t="shared" ca="1" si="43"/>
        <v xml:space="preserve"> </v>
      </c>
      <c r="AT31" s="74" t="str">
        <f t="shared" ca="1" si="44"/>
        <v xml:space="preserve"> </v>
      </c>
      <c r="AU31" s="74" t="str">
        <f t="shared" ca="1" si="45"/>
        <v xml:space="preserve"> </v>
      </c>
      <c r="AV31" s="74" t="str">
        <f t="shared" ca="1" si="46"/>
        <v xml:space="preserve"> </v>
      </c>
      <c r="AW31" s="74" t="str">
        <f t="shared" ca="1" si="47"/>
        <v xml:space="preserve"> </v>
      </c>
      <c r="AX31" s="74" t="str">
        <f t="shared" ca="1" si="48"/>
        <v xml:space="preserve"> </v>
      </c>
      <c r="AY31" s="75" t="str">
        <f t="shared" ca="1" si="49"/>
        <v xml:space="preserve"> </v>
      </c>
      <c r="AZ31" s="73" t="str">
        <f t="shared" ca="1" si="50"/>
        <v xml:space="preserve"> </v>
      </c>
      <c r="BA31" s="73" t="str">
        <f t="shared" ca="1" si="51"/>
        <v xml:space="preserve"> </v>
      </c>
      <c r="BB31" s="73" t="str">
        <f t="shared" ca="1" si="52"/>
        <v xml:space="preserve"> </v>
      </c>
      <c r="BC31" s="73" t="str">
        <f ca="1">IF(COUNTIF(Conso!P29,"*Insuffisant*"),"x"," ")</f>
        <v xml:space="preserve"> </v>
      </c>
      <c r="BD31" s="73" t="str">
        <f ca="1">IF(COUNTIF(Conso!P29,"*Faible*"),"x"," ")</f>
        <v xml:space="preserve"> </v>
      </c>
      <c r="BE31" s="73" t="str">
        <f ca="1">IF(COUNTIF(Conso!P29,"*Acceptable*"),"x"," ")</f>
        <v xml:space="preserve"> </v>
      </c>
      <c r="BF31" s="73" t="str">
        <f ca="1">IF(COUNTIF(Conso!P29,"*Maîtrisé*"),"x"," ")</f>
        <v xml:space="preserve"> </v>
      </c>
      <c r="BG31" s="73" t="str">
        <f t="shared" ca="1" si="53"/>
        <v xml:space="preserve"> </v>
      </c>
      <c r="BH31" s="73" t="str">
        <f t="shared" ca="1" si="54"/>
        <v xml:space="preserve"> </v>
      </c>
      <c r="BI31" s="73" t="str">
        <f t="shared" ca="1" si="55"/>
        <v xml:space="preserve"> </v>
      </c>
      <c r="BJ31" s="73" t="str">
        <f t="shared" ca="1" si="56"/>
        <v xml:space="preserve"> </v>
      </c>
      <c r="BK31" s="73" t="str">
        <f t="shared" ca="1" si="57"/>
        <v xml:space="preserve"> </v>
      </c>
      <c r="BL31" s="73" t="str">
        <f t="shared" ca="1" si="58"/>
        <v xml:space="preserve"> </v>
      </c>
      <c r="BM31" s="73" t="str">
        <f t="shared" ca="1" si="59"/>
        <v xml:space="preserve"> </v>
      </c>
      <c r="BN31" s="73" t="str">
        <f t="shared" ca="1" si="60"/>
        <v xml:space="preserve"> </v>
      </c>
      <c r="BO31" s="73" t="str">
        <f t="shared" ca="1" si="61"/>
        <v xml:space="preserve"> </v>
      </c>
      <c r="BP31" s="73" t="str">
        <f t="shared" ca="1" si="62"/>
        <v xml:space="preserve"> </v>
      </c>
      <c r="BQ31" s="73" t="str">
        <f t="shared" ca="1" si="63"/>
        <v xml:space="preserve"> </v>
      </c>
      <c r="BR31" s="73" t="str">
        <f t="shared" ca="1" si="64"/>
        <v xml:space="preserve"> </v>
      </c>
      <c r="BS31" s="73" t="str">
        <f t="shared" ca="1" si="65"/>
        <v xml:space="preserve"> </v>
      </c>
      <c r="BT31" s="73" t="str">
        <f t="shared" ca="1" si="66"/>
        <v xml:space="preserve"> </v>
      </c>
      <c r="BU31" s="73" t="str">
        <f t="shared" ca="1" si="67"/>
        <v xml:space="preserve"> </v>
      </c>
      <c r="BV31" s="73" t="str">
        <f t="shared" ca="1" si="68"/>
        <v xml:space="preserve"> </v>
      </c>
      <c r="BW31" s="72" t="s">
        <v>922</v>
      </c>
    </row>
    <row r="32" spans="1:75" ht="37.5" customHeight="1">
      <c r="A32" s="211" t="s">
        <v>882</v>
      </c>
      <c r="B32" s="72" t="e">
        <f>#REF!</f>
        <v>#REF!</v>
      </c>
      <c r="C32" s="73" t="str">
        <f ca="1">IF(COUNTIF(Conso!R30,"*Marginal*"),"x"," ")</f>
        <v xml:space="preserve"> </v>
      </c>
      <c r="D32" s="73" t="str">
        <f ca="1">IF(COUNTIF(Conso!R30,"*Faible*"),"x"," ")</f>
        <v xml:space="preserve"> </v>
      </c>
      <c r="E32" s="73" t="str">
        <f ca="1">IF(COUNTIF(Conso!R30,"*Modéré*"),"x"," ")</f>
        <v xml:space="preserve"> </v>
      </c>
      <c r="F32" s="73" t="str">
        <f ca="1">IF(COUNTIF(Conso!R30,"*Elevé*"),"x"," ")</f>
        <v xml:space="preserve"> </v>
      </c>
      <c r="G32" s="73" t="str">
        <f ca="1">IF(COUNTIF(Conso!R30,"*Critique*"),"x"," ")</f>
        <v xml:space="preserve"> </v>
      </c>
      <c r="H32" s="73" t="str">
        <f ca="1">IF(COUNTIF(Conso!R30,"*Catastrophique*"),"x"," ")</f>
        <v xml:space="preserve"> </v>
      </c>
      <c r="I32" s="73" t="str">
        <f ca="1">IF(COUNTIF(Conso!Q30,"*Exceptionnelle*"),"x"," ")</f>
        <v xml:space="preserve"> </v>
      </c>
      <c r="J32" s="73" t="str">
        <f ca="1">IF(COUNTIF(Conso!Q30,"*Rare*"),"x"," ")</f>
        <v xml:space="preserve"> </v>
      </c>
      <c r="K32" s="73" t="str">
        <f ca="1">IF(COUNTIF(Conso!Q30,"*Modérée*"),"x"," ")</f>
        <v xml:space="preserve"> </v>
      </c>
      <c r="L32" s="73" t="str">
        <f ca="1">IF(COUNTIF(Conso!Q30,"*Elevée*"),"x"," ")</f>
        <v xml:space="preserve"> </v>
      </c>
      <c r="M32" s="73" t="str">
        <f ca="1">IF(COUNTIF(Conso!Q30,"*Récurrente*"),"x"," ")</f>
        <v xml:space="preserve"> </v>
      </c>
      <c r="N32" s="73" t="str">
        <f ca="1">IF(COUNTIF(Conso!Q30,"*Permanente*"),"x"," ")</f>
        <v xml:space="preserve"> </v>
      </c>
      <c r="O32" s="74" t="str">
        <f t="shared" ca="1" si="13"/>
        <v xml:space="preserve"> </v>
      </c>
      <c r="P32" s="74" t="str">
        <f t="shared" ca="1" si="14"/>
        <v xml:space="preserve"> </v>
      </c>
      <c r="Q32" s="74" t="str">
        <f t="shared" ca="1" si="15"/>
        <v xml:space="preserve"> </v>
      </c>
      <c r="R32" s="74" t="str">
        <f t="shared" ca="1" si="16"/>
        <v xml:space="preserve"> </v>
      </c>
      <c r="S32" s="74" t="str">
        <f t="shared" ca="1" si="17"/>
        <v xml:space="preserve"> </v>
      </c>
      <c r="T32" s="74" t="str">
        <f t="shared" ca="1" si="18"/>
        <v xml:space="preserve"> </v>
      </c>
      <c r="U32" s="74" t="str">
        <f t="shared" ca="1" si="19"/>
        <v xml:space="preserve"> </v>
      </c>
      <c r="V32" s="74" t="str">
        <f t="shared" ca="1" si="20"/>
        <v xml:space="preserve"> </v>
      </c>
      <c r="W32" s="74" t="str">
        <f t="shared" ca="1" si="21"/>
        <v xml:space="preserve"> </v>
      </c>
      <c r="X32" s="74" t="str">
        <f t="shared" ca="1" si="22"/>
        <v xml:space="preserve"> </v>
      </c>
      <c r="Y32" s="74" t="str">
        <f t="shared" ca="1" si="23"/>
        <v xml:space="preserve"> </v>
      </c>
      <c r="Z32" s="74" t="str">
        <f t="shared" ca="1" si="24"/>
        <v xml:space="preserve"> </v>
      </c>
      <c r="AA32" s="74" t="str">
        <f t="shared" ca="1" si="25"/>
        <v xml:space="preserve"> </v>
      </c>
      <c r="AB32" s="74" t="str">
        <f t="shared" ca="1" si="26"/>
        <v xml:space="preserve"> </v>
      </c>
      <c r="AC32" s="74" t="str">
        <f t="shared" ca="1" si="27"/>
        <v xml:space="preserve"> </v>
      </c>
      <c r="AD32" s="74" t="str">
        <f t="shared" ca="1" si="28"/>
        <v xml:space="preserve"> </v>
      </c>
      <c r="AE32" s="74" t="str">
        <f t="shared" ca="1" si="29"/>
        <v xml:space="preserve"> </v>
      </c>
      <c r="AF32" s="74" t="str">
        <f t="shared" ca="1" si="30"/>
        <v xml:space="preserve"> </v>
      </c>
      <c r="AG32" s="74" t="str">
        <f t="shared" ca="1" si="31"/>
        <v xml:space="preserve"> </v>
      </c>
      <c r="AH32" s="74" t="str">
        <f t="shared" ca="1" si="32"/>
        <v xml:space="preserve"> </v>
      </c>
      <c r="AI32" s="74" t="str">
        <f t="shared" ca="1" si="33"/>
        <v xml:space="preserve"> </v>
      </c>
      <c r="AJ32" s="74" t="str">
        <f t="shared" ca="1" si="34"/>
        <v xml:space="preserve"> </v>
      </c>
      <c r="AK32" s="74" t="str">
        <f t="shared" ca="1" si="35"/>
        <v xml:space="preserve"> </v>
      </c>
      <c r="AL32" s="74" t="str">
        <f t="shared" ca="1" si="36"/>
        <v xml:space="preserve"> </v>
      </c>
      <c r="AM32" s="74" t="str">
        <f t="shared" ca="1" si="37"/>
        <v xml:space="preserve"> </v>
      </c>
      <c r="AN32" s="74" t="str">
        <f t="shared" ca="1" si="38"/>
        <v xml:space="preserve"> </v>
      </c>
      <c r="AO32" s="74" t="str">
        <f t="shared" ca="1" si="39"/>
        <v xml:space="preserve"> </v>
      </c>
      <c r="AP32" s="74" t="str">
        <f t="shared" ca="1" si="40"/>
        <v xml:space="preserve"> </v>
      </c>
      <c r="AQ32" s="74" t="str">
        <f t="shared" ca="1" si="41"/>
        <v xml:space="preserve"> </v>
      </c>
      <c r="AR32" s="74" t="str">
        <f t="shared" ca="1" si="42"/>
        <v xml:space="preserve"> </v>
      </c>
      <c r="AS32" s="74" t="str">
        <f t="shared" ca="1" si="43"/>
        <v xml:space="preserve"> </v>
      </c>
      <c r="AT32" s="74" t="str">
        <f t="shared" ca="1" si="44"/>
        <v xml:space="preserve"> </v>
      </c>
      <c r="AU32" s="74" t="str">
        <f t="shared" ca="1" si="45"/>
        <v xml:space="preserve"> </v>
      </c>
      <c r="AV32" s="74" t="str">
        <f t="shared" ca="1" si="46"/>
        <v xml:space="preserve"> </v>
      </c>
      <c r="AW32" s="74" t="str">
        <f t="shared" ca="1" si="47"/>
        <v xml:space="preserve"> </v>
      </c>
      <c r="AX32" s="74" t="str">
        <f t="shared" ca="1" si="48"/>
        <v xml:space="preserve"> </v>
      </c>
      <c r="AY32" s="75" t="str">
        <f t="shared" ca="1" si="49"/>
        <v xml:space="preserve"> </v>
      </c>
      <c r="AZ32" s="73" t="str">
        <f t="shared" ca="1" si="50"/>
        <v xml:space="preserve"> </v>
      </c>
      <c r="BA32" s="73" t="str">
        <f t="shared" ca="1" si="51"/>
        <v xml:space="preserve"> </v>
      </c>
      <c r="BB32" s="73" t="str">
        <f t="shared" ca="1" si="52"/>
        <v xml:space="preserve"> </v>
      </c>
      <c r="BC32" s="73" t="str">
        <f ca="1">IF(COUNTIF(Conso!P30,"*Insuffisant*"),"x"," ")</f>
        <v xml:space="preserve"> </v>
      </c>
      <c r="BD32" s="73" t="str">
        <f ca="1">IF(COUNTIF(Conso!P30,"*Faible*"),"x"," ")</f>
        <v xml:space="preserve"> </v>
      </c>
      <c r="BE32" s="73" t="str">
        <f ca="1">IF(COUNTIF(Conso!P30,"*Acceptable*"),"x"," ")</f>
        <v xml:space="preserve"> </v>
      </c>
      <c r="BF32" s="73" t="str">
        <f ca="1">IF(COUNTIF(Conso!P30,"*Maîtrisé*"),"x"," ")</f>
        <v xml:space="preserve"> </v>
      </c>
      <c r="BG32" s="73" t="str">
        <f t="shared" ca="1" si="53"/>
        <v xml:space="preserve"> </v>
      </c>
      <c r="BH32" s="73" t="str">
        <f t="shared" ca="1" si="54"/>
        <v xml:space="preserve"> </v>
      </c>
      <c r="BI32" s="73" t="str">
        <f t="shared" ca="1" si="55"/>
        <v xml:space="preserve"> </v>
      </c>
      <c r="BJ32" s="73" t="str">
        <f t="shared" ca="1" si="56"/>
        <v xml:space="preserve"> </v>
      </c>
      <c r="BK32" s="73" t="str">
        <f t="shared" ca="1" si="57"/>
        <v xml:space="preserve"> </v>
      </c>
      <c r="BL32" s="73" t="str">
        <f t="shared" ca="1" si="58"/>
        <v xml:space="preserve"> </v>
      </c>
      <c r="BM32" s="73" t="str">
        <f t="shared" ca="1" si="59"/>
        <v xml:space="preserve"> </v>
      </c>
      <c r="BN32" s="73" t="str">
        <f t="shared" ca="1" si="60"/>
        <v xml:space="preserve"> </v>
      </c>
      <c r="BO32" s="73" t="str">
        <f t="shared" ca="1" si="61"/>
        <v xml:space="preserve"> </v>
      </c>
      <c r="BP32" s="73" t="str">
        <f t="shared" ca="1" si="62"/>
        <v xml:space="preserve"> </v>
      </c>
      <c r="BQ32" s="73" t="str">
        <f t="shared" ca="1" si="63"/>
        <v xml:space="preserve"> </v>
      </c>
      <c r="BR32" s="73" t="str">
        <f t="shared" ca="1" si="64"/>
        <v xml:space="preserve"> </v>
      </c>
      <c r="BS32" s="73" t="str">
        <f t="shared" ca="1" si="65"/>
        <v xml:space="preserve"> </v>
      </c>
      <c r="BT32" s="73" t="str">
        <f t="shared" ca="1" si="66"/>
        <v xml:space="preserve"> </v>
      </c>
      <c r="BU32" s="73" t="str">
        <f t="shared" ca="1" si="67"/>
        <v xml:space="preserve"> </v>
      </c>
      <c r="BV32" s="73" t="str">
        <f t="shared" ca="1" si="68"/>
        <v xml:space="preserve"> </v>
      </c>
      <c r="BW32" s="72" t="s">
        <v>923</v>
      </c>
    </row>
    <row r="33" spans="1:75" ht="37.5" customHeight="1">
      <c r="A33" s="211" t="s">
        <v>883</v>
      </c>
      <c r="B33" s="72" t="e">
        <f>#REF!</f>
        <v>#REF!</v>
      </c>
      <c r="C33" s="73" t="str">
        <f ca="1">IF(COUNTIF(Conso!R31,"*Marginal*"),"x"," ")</f>
        <v xml:space="preserve"> </v>
      </c>
      <c r="D33" s="73" t="str">
        <f ca="1">IF(COUNTIF(Conso!R31,"*Faible*"),"x"," ")</f>
        <v xml:space="preserve"> </v>
      </c>
      <c r="E33" s="73" t="str">
        <f ca="1">IF(COUNTIF(Conso!R31,"*Modéré*"),"x"," ")</f>
        <v xml:space="preserve"> </v>
      </c>
      <c r="F33" s="73" t="str">
        <f ca="1">IF(COUNTIF(Conso!R31,"*Elevé*"),"x"," ")</f>
        <v xml:space="preserve"> </v>
      </c>
      <c r="G33" s="73" t="str">
        <f ca="1">IF(COUNTIF(Conso!R31,"*Critique*"),"x"," ")</f>
        <v xml:space="preserve"> </v>
      </c>
      <c r="H33" s="73" t="str">
        <f ca="1">IF(COUNTIF(Conso!R31,"*Catastrophique*"),"x"," ")</f>
        <v xml:space="preserve"> </v>
      </c>
      <c r="I33" s="73" t="str">
        <f ca="1">IF(COUNTIF(Conso!Q31,"*Exceptionnelle*"),"x"," ")</f>
        <v xml:space="preserve"> </v>
      </c>
      <c r="J33" s="73" t="str">
        <f ca="1">IF(COUNTIF(Conso!Q31,"*Rare*"),"x"," ")</f>
        <v xml:space="preserve"> </v>
      </c>
      <c r="K33" s="73" t="str">
        <f ca="1">IF(COUNTIF(Conso!Q31,"*Modérée*"),"x"," ")</f>
        <v xml:space="preserve"> </v>
      </c>
      <c r="L33" s="73" t="str">
        <f ca="1">IF(COUNTIF(Conso!Q31,"*Elevée*"),"x"," ")</f>
        <v xml:space="preserve"> </v>
      </c>
      <c r="M33" s="73" t="str">
        <f ca="1">IF(COUNTIF(Conso!Q31,"*Récurrente*"),"x"," ")</f>
        <v xml:space="preserve"> </v>
      </c>
      <c r="N33" s="73" t="str">
        <f ca="1">IF(COUNTIF(Conso!Q31,"*Permanente*"),"x"," ")</f>
        <v xml:space="preserve"> </v>
      </c>
      <c r="O33" s="74" t="str">
        <f t="shared" ca="1" si="13"/>
        <v xml:space="preserve"> </v>
      </c>
      <c r="P33" s="74" t="str">
        <f t="shared" ca="1" si="14"/>
        <v xml:space="preserve"> </v>
      </c>
      <c r="Q33" s="74" t="str">
        <f t="shared" ca="1" si="15"/>
        <v xml:space="preserve"> </v>
      </c>
      <c r="R33" s="74" t="str">
        <f t="shared" ca="1" si="16"/>
        <v xml:space="preserve"> </v>
      </c>
      <c r="S33" s="74" t="str">
        <f t="shared" ca="1" si="17"/>
        <v xml:space="preserve"> </v>
      </c>
      <c r="T33" s="74" t="str">
        <f t="shared" ca="1" si="18"/>
        <v xml:space="preserve"> </v>
      </c>
      <c r="U33" s="74" t="str">
        <f t="shared" ca="1" si="19"/>
        <v xml:space="preserve"> </v>
      </c>
      <c r="V33" s="74" t="str">
        <f t="shared" ca="1" si="20"/>
        <v xml:space="preserve"> </v>
      </c>
      <c r="W33" s="74" t="str">
        <f t="shared" ca="1" si="21"/>
        <v xml:space="preserve"> </v>
      </c>
      <c r="X33" s="74" t="str">
        <f t="shared" ca="1" si="22"/>
        <v xml:space="preserve"> </v>
      </c>
      <c r="Y33" s="74" t="str">
        <f t="shared" ca="1" si="23"/>
        <v xml:space="preserve"> </v>
      </c>
      <c r="Z33" s="74" t="str">
        <f t="shared" ca="1" si="24"/>
        <v xml:space="preserve"> </v>
      </c>
      <c r="AA33" s="74" t="str">
        <f t="shared" ca="1" si="25"/>
        <v xml:space="preserve"> </v>
      </c>
      <c r="AB33" s="74" t="str">
        <f t="shared" ca="1" si="26"/>
        <v xml:space="preserve"> </v>
      </c>
      <c r="AC33" s="74" t="str">
        <f t="shared" ca="1" si="27"/>
        <v xml:space="preserve"> </v>
      </c>
      <c r="AD33" s="74" t="str">
        <f t="shared" ca="1" si="28"/>
        <v xml:space="preserve"> </v>
      </c>
      <c r="AE33" s="74" t="str">
        <f t="shared" ca="1" si="29"/>
        <v xml:space="preserve"> </v>
      </c>
      <c r="AF33" s="74" t="str">
        <f t="shared" ca="1" si="30"/>
        <v xml:space="preserve"> </v>
      </c>
      <c r="AG33" s="74" t="str">
        <f t="shared" ca="1" si="31"/>
        <v xml:space="preserve"> </v>
      </c>
      <c r="AH33" s="74" t="str">
        <f t="shared" ca="1" si="32"/>
        <v xml:space="preserve"> </v>
      </c>
      <c r="AI33" s="74" t="str">
        <f t="shared" ca="1" si="33"/>
        <v xml:space="preserve"> </v>
      </c>
      <c r="AJ33" s="74" t="str">
        <f t="shared" ca="1" si="34"/>
        <v xml:space="preserve"> </v>
      </c>
      <c r="AK33" s="74" t="str">
        <f t="shared" ca="1" si="35"/>
        <v xml:space="preserve"> </v>
      </c>
      <c r="AL33" s="74" t="str">
        <f t="shared" ca="1" si="36"/>
        <v xml:space="preserve"> </v>
      </c>
      <c r="AM33" s="74" t="str">
        <f t="shared" ca="1" si="37"/>
        <v xml:space="preserve"> </v>
      </c>
      <c r="AN33" s="74" t="str">
        <f t="shared" ca="1" si="38"/>
        <v xml:space="preserve"> </v>
      </c>
      <c r="AO33" s="74" t="str">
        <f t="shared" ca="1" si="39"/>
        <v xml:space="preserve"> </v>
      </c>
      <c r="AP33" s="74" t="str">
        <f t="shared" ca="1" si="40"/>
        <v xml:space="preserve"> </v>
      </c>
      <c r="AQ33" s="74" t="str">
        <f t="shared" ca="1" si="41"/>
        <v xml:space="preserve"> </v>
      </c>
      <c r="AR33" s="74" t="str">
        <f t="shared" ca="1" si="42"/>
        <v xml:space="preserve"> </v>
      </c>
      <c r="AS33" s="74" t="str">
        <f t="shared" ca="1" si="43"/>
        <v xml:space="preserve"> </v>
      </c>
      <c r="AT33" s="74" t="str">
        <f t="shared" ca="1" si="44"/>
        <v xml:space="preserve"> </v>
      </c>
      <c r="AU33" s="74" t="str">
        <f t="shared" ca="1" si="45"/>
        <v xml:space="preserve"> </v>
      </c>
      <c r="AV33" s="74" t="str">
        <f t="shared" ca="1" si="46"/>
        <v xml:space="preserve"> </v>
      </c>
      <c r="AW33" s="74" t="str">
        <f t="shared" ca="1" si="47"/>
        <v xml:space="preserve"> </v>
      </c>
      <c r="AX33" s="74" t="str">
        <f t="shared" ca="1" si="48"/>
        <v xml:space="preserve"> </v>
      </c>
      <c r="AY33" s="75" t="str">
        <f t="shared" ca="1" si="49"/>
        <v xml:space="preserve"> </v>
      </c>
      <c r="AZ33" s="73" t="str">
        <f t="shared" ca="1" si="50"/>
        <v xml:space="preserve"> </v>
      </c>
      <c r="BA33" s="73" t="str">
        <f t="shared" ca="1" si="51"/>
        <v xml:space="preserve"> </v>
      </c>
      <c r="BB33" s="73" t="str">
        <f t="shared" ca="1" si="52"/>
        <v xml:space="preserve"> </v>
      </c>
      <c r="BC33" s="73" t="str">
        <f ca="1">IF(COUNTIF(Conso!P31,"*Insuffisant*"),"x"," ")</f>
        <v xml:space="preserve"> </v>
      </c>
      <c r="BD33" s="73" t="str">
        <f ca="1">IF(COUNTIF(Conso!P31,"*Faible*"),"x"," ")</f>
        <v xml:space="preserve"> </v>
      </c>
      <c r="BE33" s="73" t="str">
        <f ca="1">IF(COUNTIF(Conso!P31,"*Acceptable*"),"x"," ")</f>
        <v xml:space="preserve"> </v>
      </c>
      <c r="BF33" s="73" t="str">
        <f ca="1">IF(COUNTIF(Conso!P31,"*Maîtrisé*"),"x"," ")</f>
        <v xml:space="preserve"> </v>
      </c>
      <c r="BG33" s="73" t="str">
        <f t="shared" ca="1" si="53"/>
        <v xml:space="preserve"> </v>
      </c>
      <c r="BH33" s="73" t="str">
        <f t="shared" ca="1" si="54"/>
        <v xml:space="preserve"> </v>
      </c>
      <c r="BI33" s="73" t="str">
        <f t="shared" ca="1" si="55"/>
        <v xml:space="preserve"> </v>
      </c>
      <c r="BJ33" s="73" t="str">
        <f t="shared" ca="1" si="56"/>
        <v xml:space="preserve"> </v>
      </c>
      <c r="BK33" s="73" t="str">
        <f t="shared" ca="1" si="57"/>
        <v xml:space="preserve"> </v>
      </c>
      <c r="BL33" s="73" t="str">
        <f t="shared" ca="1" si="58"/>
        <v xml:space="preserve"> </v>
      </c>
      <c r="BM33" s="73" t="str">
        <f t="shared" ca="1" si="59"/>
        <v xml:space="preserve"> </v>
      </c>
      <c r="BN33" s="73" t="str">
        <f t="shared" ca="1" si="60"/>
        <v xml:space="preserve"> </v>
      </c>
      <c r="BO33" s="73" t="str">
        <f t="shared" ca="1" si="61"/>
        <v xml:space="preserve"> </v>
      </c>
      <c r="BP33" s="73" t="str">
        <f t="shared" ca="1" si="62"/>
        <v xml:space="preserve"> </v>
      </c>
      <c r="BQ33" s="73" t="str">
        <f t="shared" ca="1" si="63"/>
        <v xml:space="preserve"> </v>
      </c>
      <c r="BR33" s="73" t="str">
        <f t="shared" ca="1" si="64"/>
        <v xml:space="preserve"> </v>
      </c>
      <c r="BS33" s="73" t="str">
        <f t="shared" ca="1" si="65"/>
        <v xml:space="preserve"> </v>
      </c>
      <c r="BT33" s="73" t="str">
        <f t="shared" ca="1" si="66"/>
        <v xml:space="preserve"> </v>
      </c>
      <c r="BU33" s="73" t="str">
        <f t="shared" ca="1" si="67"/>
        <v xml:space="preserve"> </v>
      </c>
      <c r="BV33" s="73" t="str">
        <f t="shared" ca="1" si="68"/>
        <v xml:space="preserve"> </v>
      </c>
      <c r="BW33" s="72" t="s">
        <v>924</v>
      </c>
    </row>
    <row r="34" spans="1:75" ht="37.5" customHeight="1">
      <c r="A34" s="211" t="s">
        <v>884</v>
      </c>
      <c r="B34" s="72" t="e">
        <f>#REF!</f>
        <v>#REF!</v>
      </c>
      <c r="C34" s="73" t="str">
        <f ca="1">IF(COUNTIF(Conso!R32,"*Marginal*"),"x"," ")</f>
        <v xml:space="preserve"> </v>
      </c>
      <c r="D34" s="73" t="str">
        <f ca="1">IF(COUNTIF(Conso!R32,"*Faible*"),"x"," ")</f>
        <v xml:space="preserve"> </v>
      </c>
      <c r="E34" s="73" t="str">
        <f ca="1">IF(COUNTIF(Conso!R32,"*Modéré*"),"x"," ")</f>
        <v xml:space="preserve"> </v>
      </c>
      <c r="F34" s="73" t="str">
        <f ca="1">IF(COUNTIF(Conso!R32,"*Elevé*"),"x"," ")</f>
        <v xml:space="preserve"> </v>
      </c>
      <c r="G34" s="73" t="str">
        <f ca="1">IF(COUNTIF(Conso!R32,"*Critique*"),"x"," ")</f>
        <v xml:space="preserve"> </v>
      </c>
      <c r="H34" s="73" t="str">
        <f ca="1">IF(COUNTIF(Conso!R32,"*Catastrophique*"),"x"," ")</f>
        <v xml:space="preserve"> </v>
      </c>
      <c r="I34" s="73" t="str">
        <f ca="1">IF(COUNTIF(Conso!Q32,"*Exceptionnelle*"),"x"," ")</f>
        <v xml:space="preserve"> </v>
      </c>
      <c r="J34" s="73" t="str">
        <f ca="1">IF(COUNTIF(Conso!Q32,"*Rare*"),"x"," ")</f>
        <v xml:space="preserve"> </v>
      </c>
      <c r="K34" s="73" t="str">
        <f ca="1">IF(COUNTIF(Conso!Q32,"*Modérée*"),"x"," ")</f>
        <v xml:space="preserve"> </v>
      </c>
      <c r="L34" s="73" t="str">
        <f ca="1">IF(COUNTIF(Conso!Q32,"*Elevée*"),"x"," ")</f>
        <v xml:space="preserve"> </v>
      </c>
      <c r="M34" s="73" t="str">
        <f ca="1">IF(COUNTIF(Conso!Q32,"*Récurrente*"),"x"," ")</f>
        <v xml:space="preserve"> </v>
      </c>
      <c r="N34" s="73" t="str">
        <f ca="1">IF(COUNTIF(Conso!Q32,"*Permanente*"),"x"," ")</f>
        <v xml:space="preserve"> </v>
      </c>
      <c r="O34" s="74" t="str">
        <f t="shared" ca="1" si="13"/>
        <v xml:space="preserve"> </v>
      </c>
      <c r="P34" s="74" t="str">
        <f t="shared" ca="1" si="14"/>
        <v xml:space="preserve"> </v>
      </c>
      <c r="Q34" s="74" t="str">
        <f t="shared" ca="1" si="15"/>
        <v xml:space="preserve"> </v>
      </c>
      <c r="R34" s="74" t="str">
        <f t="shared" ca="1" si="16"/>
        <v xml:space="preserve"> </v>
      </c>
      <c r="S34" s="74" t="str">
        <f t="shared" ca="1" si="17"/>
        <v xml:space="preserve"> </v>
      </c>
      <c r="T34" s="74" t="str">
        <f t="shared" ca="1" si="18"/>
        <v xml:space="preserve"> </v>
      </c>
      <c r="U34" s="74" t="str">
        <f t="shared" ca="1" si="19"/>
        <v xml:space="preserve"> </v>
      </c>
      <c r="V34" s="74" t="str">
        <f t="shared" ca="1" si="20"/>
        <v xml:space="preserve"> </v>
      </c>
      <c r="W34" s="74" t="str">
        <f t="shared" ca="1" si="21"/>
        <v xml:space="preserve"> </v>
      </c>
      <c r="X34" s="74" t="str">
        <f t="shared" ca="1" si="22"/>
        <v xml:space="preserve"> </v>
      </c>
      <c r="Y34" s="74" t="str">
        <f t="shared" ca="1" si="23"/>
        <v xml:space="preserve"> </v>
      </c>
      <c r="Z34" s="74" t="str">
        <f t="shared" ca="1" si="24"/>
        <v xml:space="preserve"> </v>
      </c>
      <c r="AA34" s="74" t="str">
        <f t="shared" ca="1" si="25"/>
        <v xml:space="preserve"> </v>
      </c>
      <c r="AB34" s="74" t="str">
        <f t="shared" ca="1" si="26"/>
        <v xml:space="preserve"> </v>
      </c>
      <c r="AC34" s="74" t="str">
        <f t="shared" ca="1" si="27"/>
        <v xml:space="preserve"> </v>
      </c>
      <c r="AD34" s="74" t="str">
        <f t="shared" ca="1" si="28"/>
        <v xml:space="preserve"> </v>
      </c>
      <c r="AE34" s="74" t="str">
        <f t="shared" ca="1" si="29"/>
        <v xml:space="preserve"> </v>
      </c>
      <c r="AF34" s="74" t="str">
        <f t="shared" ca="1" si="30"/>
        <v xml:space="preserve"> </v>
      </c>
      <c r="AG34" s="74" t="str">
        <f t="shared" ca="1" si="31"/>
        <v xml:space="preserve"> </v>
      </c>
      <c r="AH34" s="74" t="str">
        <f t="shared" ca="1" si="32"/>
        <v xml:space="preserve"> </v>
      </c>
      <c r="AI34" s="74" t="str">
        <f t="shared" ca="1" si="33"/>
        <v xml:space="preserve"> </v>
      </c>
      <c r="AJ34" s="74" t="str">
        <f t="shared" ca="1" si="34"/>
        <v xml:space="preserve"> </v>
      </c>
      <c r="AK34" s="74" t="str">
        <f t="shared" ca="1" si="35"/>
        <v xml:space="preserve"> </v>
      </c>
      <c r="AL34" s="74" t="str">
        <f t="shared" ca="1" si="36"/>
        <v xml:space="preserve"> </v>
      </c>
      <c r="AM34" s="74" t="str">
        <f t="shared" ca="1" si="37"/>
        <v xml:space="preserve"> </v>
      </c>
      <c r="AN34" s="74" t="str">
        <f t="shared" ca="1" si="38"/>
        <v xml:space="preserve"> </v>
      </c>
      <c r="AO34" s="74" t="str">
        <f t="shared" ca="1" si="39"/>
        <v xml:space="preserve"> </v>
      </c>
      <c r="AP34" s="74" t="str">
        <f t="shared" ca="1" si="40"/>
        <v xml:space="preserve"> </v>
      </c>
      <c r="AQ34" s="74" t="str">
        <f t="shared" ca="1" si="41"/>
        <v xml:space="preserve"> </v>
      </c>
      <c r="AR34" s="74" t="str">
        <f t="shared" ca="1" si="42"/>
        <v xml:space="preserve"> </v>
      </c>
      <c r="AS34" s="74" t="str">
        <f t="shared" ca="1" si="43"/>
        <v xml:space="preserve"> </v>
      </c>
      <c r="AT34" s="74" t="str">
        <f t="shared" ca="1" si="44"/>
        <v xml:space="preserve"> </v>
      </c>
      <c r="AU34" s="74" t="str">
        <f t="shared" ca="1" si="45"/>
        <v xml:space="preserve"> </v>
      </c>
      <c r="AV34" s="74" t="str">
        <f t="shared" ca="1" si="46"/>
        <v xml:space="preserve"> </v>
      </c>
      <c r="AW34" s="74" t="str">
        <f t="shared" ca="1" si="47"/>
        <v xml:space="preserve"> </v>
      </c>
      <c r="AX34" s="74" t="str">
        <f t="shared" ca="1" si="48"/>
        <v xml:space="preserve"> </v>
      </c>
      <c r="AY34" s="75" t="str">
        <f t="shared" ca="1" si="49"/>
        <v xml:space="preserve"> </v>
      </c>
      <c r="AZ34" s="73" t="str">
        <f t="shared" ca="1" si="50"/>
        <v xml:space="preserve"> </v>
      </c>
      <c r="BA34" s="73" t="str">
        <f t="shared" ca="1" si="51"/>
        <v xml:space="preserve"> </v>
      </c>
      <c r="BB34" s="73" t="str">
        <f t="shared" ca="1" si="52"/>
        <v xml:space="preserve"> </v>
      </c>
      <c r="BC34" s="73" t="str">
        <f ca="1">IF(COUNTIF(Conso!P32,"*Insuffisant*"),"x"," ")</f>
        <v xml:space="preserve"> </v>
      </c>
      <c r="BD34" s="73" t="str">
        <f ca="1">IF(COUNTIF(Conso!P32,"*Faible*"),"x"," ")</f>
        <v xml:space="preserve"> </v>
      </c>
      <c r="BE34" s="73" t="str">
        <f ca="1">IF(COUNTIF(Conso!P32,"*Acceptable*"),"x"," ")</f>
        <v xml:space="preserve"> </v>
      </c>
      <c r="BF34" s="73" t="str">
        <f ca="1">IF(COUNTIF(Conso!P32,"*Maîtrisé*"),"x"," ")</f>
        <v xml:space="preserve"> </v>
      </c>
      <c r="BG34" s="73" t="str">
        <f t="shared" ca="1" si="53"/>
        <v xml:space="preserve"> </v>
      </c>
      <c r="BH34" s="73" t="str">
        <f t="shared" ca="1" si="54"/>
        <v xml:space="preserve"> </v>
      </c>
      <c r="BI34" s="73" t="str">
        <f t="shared" ca="1" si="55"/>
        <v xml:space="preserve"> </v>
      </c>
      <c r="BJ34" s="73" t="str">
        <f t="shared" ca="1" si="56"/>
        <v xml:space="preserve"> </v>
      </c>
      <c r="BK34" s="73" t="str">
        <f t="shared" ca="1" si="57"/>
        <v xml:space="preserve"> </v>
      </c>
      <c r="BL34" s="73" t="str">
        <f t="shared" ca="1" si="58"/>
        <v xml:space="preserve"> </v>
      </c>
      <c r="BM34" s="73" t="str">
        <f t="shared" ca="1" si="59"/>
        <v xml:space="preserve"> </v>
      </c>
      <c r="BN34" s="73" t="str">
        <f t="shared" ca="1" si="60"/>
        <v xml:space="preserve"> </v>
      </c>
      <c r="BO34" s="73" t="str">
        <f t="shared" ca="1" si="61"/>
        <v xml:space="preserve"> </v>
      </c>
      <c r="BP34" s="73" t="str">
        <f t="shared" ca="1" si="62"/>
        <v xml:space="preserve"> </v>
      </c>
      <c r="BQ34" s="73" t="str">
        <f t="shared" ca="1" si="63"/>
        <v xml:space="preserve"> </v>
      </c>
      <c r="BR34" s="73" t="str">
        <f t="shared" ca="1" si="64"/>
        <v xml:space="preserve"> </v>
      </c>
      <c r="BS34" s="73" t="str">
        <f t="shared" ca="1" si="65"/>
        <v xml:space="preserve"> </v>
      </c>
      <c r="BT34" s="73" t="str">
        <f t="shared" ca="1" si="66"/>
        <v xml:space="preserve"> </v>
      </c>
      <c r="BU34" s="73" t="str">
        <f t="shared" ca="1" si="67"/>
        <v xml:space="preserve"> </v>
      </c>
      <c r="BV34" s="73" t="str">
        <f t="shared" ca="1" si="68"/>
        <v xml:space="preserve"> </v>
      </c>
      <c r="BW34" s="72" t="s">
        <v>925</v>
      </c>
    </row>
    <row r="35" spans="1:75" ht="37.5" customHeight="1">
      <c r="A35" s="211" t="s">
        <v>885</v>
      </c>
      <c r="B35" s="72" t="e">
        <f>#REF!</f>
        <v>#REF!</v>
      </c>
      <c r="C35" s="73" t="str">
        <f ca="1">IF(COUNTIF(Conso!R33,"*Marginal*"),"x"," ")</f>
        <v xml:space="preserve"> </v>
      </c>
      <c r="D35" s="73" t="str">
        <f ca="1">IF(COUNTIF(Conso!R33,"*Faible*"),"x"," ")</f>
        <v xml:space="preserve"> </v>
      </c>
      <c r="E35" s="73" t="str">
        <f ca="1">IF(COUNTIF(Conso!R33,"*Modéré*"),"x"," ")</f>
        <v xml:space="preserve"> </v>
      </c>
      <c r="F35" s="73" t="str">
        <f ca="1">IF(COUNTIF(Conso!R33,"*Elevé*"),"x"," ")</f>
        <v xml:space="preserve"> </v>
      </c>
      <c r="G35" s="73" t="str">
        <f ca="1">IF(COUNTIF(Conso!R33,"*Critique*"),"x"," ")</f>
        <v xml:space="preserve"> </v>
      </c>
      <c r="H35" s="73" t="str">
        <f ca="1">IF(COUNTIF(Conso!R33,"*Catastrophique*"),"x"," ")</f>
        <v xml:space="preserve"> </v>
      </c>
      <c r="I35" s="73" t="str">
        <f ca="1">IF(COUNTIF(Conso!Q33,"*Exceptionnelle*"),"x"," ")</f>
        <v xml:space="preserve"> </v>
      </c>
      <c r="J35" s="73" t="str">
        <f ca="1">IF(COUNTIF(Conso!Q33,"*Rare*"),"x"," ")</f>
        <v xml:space="preserve"> </v>
      </c>
      <c r="K35" s="73" t="str">
        <f ca="1">IF(COUNTIF(Conso!Q33,"*Modérée*"),"x"," ")</f>
        <v xml:space="preserve"> </v>
      </c>
      <c r="L35" s="73" t="str">
        <f ca="1">IF(COUNTIF(Conso!Q33,"*Elevée*"),"x"," ")</f>
        <v xml:space="preserve"> </v>
      </c>
      <c r="M35" s="73" t="str">
        <f ca="1">IF(COUNTIF(Conso!Q33,"*Récurrente*"),"x"," ")</f>
        <v xml:space="preserve"> </v>
      </c>
      <c r="N35" s="73" t="str">
        <f ca="1">IF(COUNTIF(Conso!Q33,"*Permanente*"),"x"," ")</f>
        <v xml:space="preserve"> </v>
      </c>
      <c r="O35" s="74" t="str">
        <f t="shared" ca="1" si="13"/>
        <v xml:space="preserve"> </v>
      </c>
      <c r="P35" s="74" t="str">
        <f t="shared" ca="1" si="14"/>
        <v xml:space="preserve"> </v>
      </c>
      <c r="Q35" s="74" t="str">
        <f t="shared" ca="1" si="15"/>
        <v xml:space="preserve"> </v>
      </c>
      <c r="R35" s="74" t="str">
        <f t="shared" ca="1" si="16"/>
        <v xml:space="preserve"> </v>
      </c>
      <c r="S35" s="74" t="str">
        <f t="shared" ca="1" si="17"/>
        <v xml:space="preserve"> </v>
      </c>
      <c r="T35" s="74" t="str">
        <f t="shared" ca="1" si="18"/>
        <v xml:space="preserve"> </v>
      </c>
      <c r="U35" s="74" t="str">
        <f t="shared" ca="1" si="19"/>
        <v xml:space="preserve"> </v>
      </c>
      <c r="V35" s="74" t="str">
        <f t="shared" ca="1" si="20"/>
        <v xml:space="preserve"> </v>
      </c>
      <c r="W35" s="74" t="str">
        <f t="shared" ca="1" si="21"/>
        <v xml:space="preserve"> </v>
      </c>
      <c r="X35" s="74" t="str">
        <f t="shared" ca="1" si="22"/>
        <v xml:space="preserve"> </v>
      </c>
      <c r="Y35" s="74" t="str">
        <f t="shared" ca="1" si="23"/>
        <v xml:space="preserve"> </v>
      </c>
      <c r="Z35" s="74" t="str">
        <f t="shared" ca="1" si="24"/>
        <v xml:space="preserve"> </v>
      </c>
      <c r="AA35" s="74" t="str">
        <f t="shared" ca="1" si="25"/>
        <v xml:space="preserve"> </v>
      </c>
      <c r="AB35" s="74" t="str">
        <f t="shared" ca="1" si="26"/>
        <v xml:space="preserve"> </v>
      </c>
      <c r="AC35" s="74" t="str">
        <f t="shared" ca="1" si="27"/>
        <v xml:space="preserve"> </v>
      </c>
      <c r="AD35" s="74" t="str">
        <f t="shared" ca="1" si="28"/>
        <v xml:space="preserve"> </v>
      </c>
      <c r="AE35" s="74" t="str">
        <f t="shared" ca="1" si="29"/>
        <v xml:space="preserve"> </v>
      </c>
      <c r="AF35" s="74" t="str">
        <f t="shared" ca="1" si="30"/>
        <v xml:space="preserve"> </v>
      </c>
      <c r="AG35" s="74" t="str">
        <f t="shared" ca="1" si="31"/>
        <v xml:space="preserve"> </v>
      </c>
      <c r="AH35" s="74" t="str">
        <f t="shared" ca="1" si="32"/>
        <v xml:space="preserve"> </v>
      </c>
      <c r="AI35" s="74" t="str">
        <f t="shared" ca="1" si="33"/>
        <v xml:space="preserve"> </v>
      </c>
      <c r="AJ35" s="74" t="str">
        <f t="shared" ca="1" si="34"/>
        <v xml:space="preserve"> </v>
      </c>
      <c r="AK35" s="74" t="str">
        <f t="shared" ca="1" si="35"/>
        <v xml:space="preserve"> </v>
      </c>
      <c r="AL35" s="74" t="str">
        <f t="shared" ca="1" si="36"/>
        <v xml:space="preserve"> </v>
      </c>
      <c r="AM35" s="74" t="str">
        <f t="shared" ca="1" si="37"/>
        <v xml:space="preserve"> </v>
      </c>
      <c r="AN35" s="74" t="str">
        <f t="shared" ca="1" si="38"/>
        <v xml:space="preserve"> </v>
      </c>
      <c r="AO35" s="74" t="str">
        <f t="shared" ca="1" si="39"/>
        <v xml:space="preserve"> </v>
      </c>
      <c r="AP35" s="74" t="str">
        <f t="shared" ca="1" si="40"/>
        <v xml:space="preserve"> </v>
      </c>
      <c r="AQ35" s="74" t="str">
        <f t="shared" ca="1" si="41"/>
        <v xml:space="preserve"> </v>
      </c>
      <c r="AR35" s="74" t="str">
        <f t="shared" ca="1" si="42"/>
        <v xml:space="preserve"> </v>
      </c>
      <c r="AS35" s="74" t="str">
        <f t="shared" ca="1" si="43"/>
        <v xml:space="preserve"> </v>
      </c>
      <c r="AT35" s="74" t="str">
        <f t="shared" ca="1" si="44"/>
        <v xml:space="preserve"> </v>
      </c>
      <c r="AU35" s="74" t="str">
        <f t="shared" ca="1" si="45"/>
        <v xml:space="preserve"> </v>
      </c>
      <c r="AV35" s="74" t="str">
        <f t="shared" ca="1" si="46"/>
        <v xml:space="preserve"> </v>
      </c>
      <c r="AW35" s="74" t="str">
        <f t="shared" ca="1" si="47"/>
        <v xml:space="preserve"> </v>
      </c>
      <c r="AX35" s="74" t="str">
        <f t="shared" ca="1" si="48"/>
        <v xml:space="preserve"> </v>
      </c>
      <c r="AY35" s="75" t="str">
        <f t="shared" ca="1" si="49"/>
        <v xml:space="preserve"> </v>
      </c>
      <c r="AZ35" s="73" t="str">
        <f t="shared" ca="1" si="50"/>
        <v xml:space="preserve"> </v>
      </c>
      <c r="BA35" s="73" t="str">
        <f t="shared" ca="1" si="51"/>
        <v xml:space="preserve"> </v>
      </c>
      <c r="BB35" s="73" t="str">
        <f t="shared" ca="1" si="52"/>
        <v xml:space="preserve"> </v>
      </c>
      <c r="BC35" s="73" t="str">
        <f ca="1">IF(COUNTIF(Conso!P33,"*Insuffisant*"),"x"," ")</f>
        <v xml:space="preserve"> </v>
      </c>
      <c r="BD35" s="73" t="str">
        <f ca="1">IF(COUNTIF(Conso!P33,"*Faible*"),"x"," ")</f>
        <v xml:space="preserve"> </v>
      </c>
      <c r="BE35" s="73" t="str">
        <f ca="1">IF(COUNTIF(Conso!P33,"*Acceptable*"),"x"," ")</f>
        <v xml:space="preserve"> </v>
      </c>
      <c r="BF35" s="73" t="str">
        <f ca="1">IF(COUNTIF(Conso!P33,"*Maîtrisé*"),"x"," ")</f>
        <v xml:space="preserve"> </v>
      </c>
      <c r="BG35" s="73" t="str">
        <f t="shared" ca="1" si="53"/>
        <v xml:space="preserve"> </v>
      </c>
      <c r="BH35" s="73" t="str">
        <f t="shared" ca="1" si="54"/>
        <v xml:space="preserve"> </v>
      </c>
      <c r="BI35" s="73" t="str">
        <f t="shared" ca="1" si="55"/>
        <v xml:space="preserve"> </v>
      </c>
      <c r="BJ35" s="73" t="str">
        <f t="shared" ca="1" si="56"/>
        <v xml:space="preserve"> </v>
      </c>
      <c r="BK35" s="73" t="str">
        <f t="shared" ca="1" si="57"/>
        <v xml:space="preserve"> </v>
      </c>
      <c r="BL35" s="73" t="str">
        <f t="shared" ca="1" si="58"/>
        <v xml:space="preserve"> </v>
      </c>
      <c r="BM35" s="73" t="str">
        <f t="shared" ca="1" si="59"/>
        <v xml:space="preserve"> </v>
      </c>
      <c r="BN35" s="73" t="str">
        <f t="shared" ca="1" si="60"/>
        <v xml:space="preserve"> </v>
      </c>
      <c r="BO35" s="73" t="str">
        <f t="shared" ca="1" si="61"/>
        <v xml:space="preserve"> </v>
      </c>
      <c r="BP35" s="73" t="str">
        <f t="shared" ca="1" si="62"/>
        <v xml:space="preserve"> </v>
      </c>
      <c r="BQ35" s="73" t="str">
        <f t="shared" ca="1" si="63"/>
        <v xml:space="preserve"> </v>
      </c>
      <c r="BR35" s="73" t="str">
        <f t="shared" ca="1" si="64"/>
        <v xml:space="preserve"> </v>
      </c>
      <c r="BS35" s="73" t="str">
        <f t="shared" ca="1" si="65"/>
        <v xml:space="preserve"> </v>
      </c>
      <c r="BT35" s="73" t="str">
        <f t="shared" ca="1" si="66"/>
        <v xml:space="preserve"> </v>
      </c>
      <c r="BU35" s="73" t="str">
        <f t="shared" ca="1" si="67"/>
        <v xml:space="preserve"> </v>
      </c>
      <c r="BV35" s="73" t="str">
        <f t="shared" ca="1" si="68"/>
        <v xml:space="preserve"> </v>
      </c>
      <c r="BW35" s="72" t="s">
        <v>926</v>
      </c>
    </row>
    <row r="36" spans="1:75" ht="43.5" customHeight="1">
      <c r="A36" s="211" t="s">
        <v>886</v>
      </c>
      <c r="B36" s="72" t="e">
        <f>#REF!</f>
        <v>#REF!</v>
      </c>
      <c r="C36" s="73" t="str">
        <f ca="1">IF(COUNTIF(Conso!R34,"*Marginal*"),"x"," ")</f>
        <v xml:space="preserve"> </v>
      </c>
      <c r="D36" s="73" t="str">
        <f ca="1">IF(COUNTIF(Conso!R34,"*Faible*"),"x"," ")</f>
        <v xml:space="preserve"> </v>
      </c>
      <c r="E36" s="73" t="str">
        <f ca="1">IF(COUNTIF(Conso!R34,"*Modéré*"),"x"," ")</f>
        <v xml:space="preserve"> </v>
      </c>
      <c r="F36" s="73" t="str">
        <f ca="1">IF(COUNTIF(Conso!R34,"*Elevé*"),"x"," ")</f>
        <v xml:space="preserve"> </v>
      </c>
      <c r="G36" s="73" t="str">
        <f ca="1">IF(COUNTIF(Conso!R34,"*Critique*"),"x"," ")</f>
        <v xml:space="preserve"> </v>
      </c>
      <c r="H36" s="73" t="str">
        <f ca="1">IF(COUNTIF(Conso!R34,"*Catastrophique*"),"x"," ")</f>
        <v xml:space="preserve"> </v>
      </c>
      <c r="I36" s="73" t="str">
        <f ca="1">IF(COUNTIF(Conso!Q34,"*Exceptionnelle*"),"x"," ")</f>
        <v xml:space="preserve"> </v>
      </c>
      <c r="J36" s="73" t="str">
        <f ca="1">IF(COUNTIF(Conso!Q34,"*Rare*"),"x"," ")</f>
        <v xml:space="preserve"> </v>
      </c>
      <c r="K36" s="73" t="str">
        <f ca="1">IF(COUNTIF(Conso!Q34,"*Modérée*"),"x"," ")</f>
        <v xml:space="preserve"> </v>
      </c>
      <c r="L36" s="73" t="str">
        <f ca="1">IF(COUNTIF(Conso!Q34,"*Elevée*"),"x"," ")</f>
        <v xml:space="preserve"> </v>
      </c>
      <c r="M36" s="73" t="str">
        <f ca="1">IF(COUNTIF(Conso!Q34,"*Récurrente*"),"x"," ")</f>
        <v xml:space="preserve"> </v>
      </c>
      <c r="N36" s="73" t="str">
        <f ca="1">IF(COUNTIF(Conso!Q34,"*Permanente*"),"x"," ")</f>
        <v xml:space="preserve"> </v>
      </c>
      <c r="O36" s="74" t="str">
        <f t="shared" ca="1" si="13"/>
        <v xml:space="preserve"> </v>
      </c>
      <c r="P36" s="74" t="str">
        <f t="shared" ca="1" si="14"/>
        <v xml:space="preserve"> </v>
      </c>
      <c r="Q36" s="74" t="str">
        <f t="shared" ca="1" si="15"/>
        <v xml:space="preserve"> </v>
      </c>
      <c r="R36" s="74" t="str">
        <f t="shared" ca="1" si="16"/>
        <v xml:space="preserve"> </v>
      </c>
      <c r="S36" s="74" t="str">
        <f t="shared" ca="1" si="17"/>
        <v xml:space="preserve"> </v>
      </c>
      <c r="T36" s="74" t="str">
        <f t="shared" ca="1" si="18"/>
        <v xml:space="preserve"> </v>
      </c>
      <c r="U36" s="74" t="str">
        <f t="shared" ca="1" si="19"/>
        <v xml:space="preserve"> </v>
      </c>
      <c r="V36" s="74" t="str">
        <f t="shared" ca="1" si="20"/>
        <v xml:space="preserve"> </v>
      </c>
      <c r="W36" s="74" t="str">
        <f t="shared" ca="1" si="21"/>
        <v xml:space="preserve"> </v>
      </c>
      <c r="X36" s="74" t="str">
        <f t="shared" ca="1" si="22"/>
        <v xml:space="preserve"> </v>
      </c>
      <c r="Y36" s="74" t="str">
        <f t="shared" ca="1" si="23"/>
        <v xml:space="preserve"> </v>
      </c>
      <c r="Z36" s="74" t="str">
        <f t="shared" ca="1" si="24"/>
        <v xml:space="preserve"> </v>
      </c>
      <c r="AA36" s="74" t="str">
        <f t="shared" ca="1" si="25"/>
        <v xml:space="preserve"> </v>
      </c>
      <c r="AB36" s="74" t="str">
        <f t="shared" ca="1" si="26"/>
        <v xml:space="preserve"> </v>
      </c>
      <c r="AC36" s="74" t="str">
        <f t="shared" ca="1" si="27"/>
        <v xml:space="preserve"> </v>
      </c>
      <c r="AD36" s="74" t="str">
        <f t="shared" ca="1" si="28"/>
        <v xml:space="preserve"> </v>
      </c>
      <c r="AE36" s="74" t="str">
        <f t="shared" ca="1" si="29"/>
        <v xml:space="preserve"> </v>
      </c>
      <c r="AF36" s="74" t="str">
        <f t="shared" ca="1" si="30"/>
        <v xml:space="preserve"> </v>
      </c>
      <c r="AG36" s="74" t="str">
        <f t="shared" ca="1" si="31"/>
        <v xml:space="preserve"> </v>
      </c>
      <c r="AH36" s="74" t="str">
        <f t="shared" ca="1" si="32"/>
        <v xml:space="preserve"> </v>
      </c>
      <c r="AI36" s="74" t="str">
        <f t="shared" ca="1" si="33"/>
        <v xml:space="preserve"> </v>
      </c>
      <c r="AJ36" s="74" t="str">
        <f t="shared" ca="1" si="34"/>
        <v xml:space="preserve"> </v>
      </c>
      <c r="AK36" s="74" t="str">
        <f t="shared" ca="1" si="35"/>
        <v xml:space="preserve"> </v>
      </c>
      <c r="AL36" s="74" t="str">
        <f t="shared" ca="1" si="36"/>
        <v xml:space="preserve"> </v>
      </c>
      <c r="AM36" s="74" t="str">
        <f t="shared" ca="1" si="37"/>
        <v xml:space="preserve"> </v>
      </c>
      <c r="AN36" s="74" t="str">
        <f t="shared" ca="1" si="38"/>
        <v xml:space="preserve"> </v>
      </c>
      <c r="AO36" s="74" t="str">
        <f t="shared" ca="1" si="39"/>
        <v xml:space="preserve"> </v>
      </c>
      <c r="AP36" s="74" t="str">
        <f t="shared" ca="1" si="40"/>
        <v xml:space="preserve"> </v>
      </c>
      <c r="AQ36" s="74" t="str">
        <f t="shared" ca="1" si="41"/>
        <v xml:space="preserve"> </v>
      </c>
      <c r="AR36" s="74" t="str">
        <f t="shared" ca="1" si="42"/>
        <v xml:space="preserve"> </v>
      </c>
      <c r="AS36" s="74" t="str">
        <f t="shared" ca="1" si="43"/>
        <v xml:space="preserve"> </v>
      </c>
      <c r="AT36" s="74" t="str">
        <f t="shared" ca="1" si="44"/>
        <v xml:space="preserve"> </v>
      </c>
      <c r="AU36" s="74" t="str">
        <f t="shared" ca="1" si="45"/>
        <v xml:space="preserve"> </v>
      </c>
      <c r="AV36" s="74" t="str">
        <f t="shared" ca="1" si="46"/>
        <v xml:space="preserve"> </v>
      </c>
      <c r="AW36" s="74" t="str">
        <f t="shared" ca="1" si="47"/>
        <v xml:space="preserve"> </v>
      </c>
      <c r="AX36" s="74" t="str">
        <f t="shared" ca="1" si="48"/>
        <v xml:space="preserve"> </v>
      </c>
      <c r="AY36" s="75" t="str">
        <f t="shared" ca="1" si="49"/>
        <v xml:space="preserve"> </v>
      </c>
      <c r="AZ36" s="73" t="str">
        <f t="shared" ca="1" si="50"/>
        <v xml:space="preserve"> </v>
      </c>
      <c r="BA36" s="73" t="str">
        <f t="shared" ca="1" si="51"/>
        <v xml:space="preserve"> </v>
      </c>
      <c r="BB36" s="73" t="str">
        <f t="shared" ca="1" si="52"/>
        <v xml:space="preserve"> </v>
      </c>
      <c r="BC36" s="73" t="str">
        <f ca="1">IF(COUNTIF(Conso!P34,"*Insuffisant*"),"x"," ")</f>
        <v xml:space="preserve"> </v>
      </c>
      <c r="BD36" s="73" t="str">
        <f ca="1">IF(COUNTIF(Conso!P34,"*Faible*"),"x"," ")</f>
        <v xml:space="preserve"> </v>
      </c>
      <c r="BE36" s="73" t="str">
        <f ca="1">IF(COUNTIF(Conso!P34,"*Acceptable*"),"x"," ")</f>
        <v xml:space="preserve"> </v>
      </c>
      <c r="BF36" s="73" t="str">
        <f ca="1">IF(COUNTIF(Conso!P34,"*Maîtrisé*"),"x"," ")</f>
        <v xml:space="preserve"> </v>
      </c>
      <c r="BG36" s="73" t="str">
        <f t="shared" ca="1" si="53"/>
        <v xml:space="preserve"> </v>
      </c>
      <c r="BH36" s="73" t="str">
        <f t="shared" ca="1" si="54"/>
        <v xml:space="preserve"> </v>
      </c>
      <c r="BI36" s="73" t="str">
        <f t="shared" ca="1" si="55"/>
        <v xml:space="preserve"> </v>
      </c>
      <c r="BJ36" s="73" t="str">
        <f t="shared" ca="1" si="56"/>
        <v xml:space="preserve"> </v>
      </c>
      <c r="BK36" s="73" t="str">
        <f t="shared" ca="1" si="57"/>
        <v xml:space="preserve"> </v>
      </c>
      <c r="BL36" s="73" t="str">
        <f t="shared" ca="1" si="58"/>
        <v xml:space="preserve"> </v>
      </c>
      <c r="BM36" s="73" t="str">
        <f t="shared" ca="1" si="59"/>
        <v xml:space="preserve"> </v>
      </c>
      <c r="BN36" s="73" t="str">
        <f t="shared" ca="1" si="60"/>
        <v xml:space="preserve"> </v>
      </c>
      <c r="BO36" s="73" t="str">
        <f t="shared" ca="1" si="61"/>
        <v xml:space="preserve"> </v>
      </c>
      <c r="BP36" s="73" t="str">
        <f t="shared" ca="1" si="62"/>
        <v xml:space="preserve"> </v>
      </c>
      <c r="BQ36" s="73" t="str">
        <f t="shared" ca="1" si="63"/>
        <v xml:space="preserve"> </v>
      </c>
      <c r="BR36" s="73" t="str">
        <f t="shared" ca="1" si="64"/>
        <v xml:space="preserve"> </v>
      </c>
      <c r="BS36" s="73" t="str">
        <f t="shared" ca="1" si="65"/>
        <v xml:space="preserve"> </v>
      </c>
      <c r="BT36" s="73" t="str">
        <f t="shared" ca="1" si="66"/>
        <v xml:space="preserve"> </v>
      </c>
      <c r="BU36" s="73" t="str">
        <f t="shared" ca="1" si="67"/>
        <v xml:space="preserve"> </v>
      </c>
      <c r="BV36" s="73" t="str">
        <f t="shared" ca="1" si="68"/>
        <v xml:space="preserve"> </v>
      </c>
      <c r="BW36" s="72" t="s">
        <v>927</v>
      </c>
    </row>
    <row r="37" spans="1:75" ht="43.5" customHeight="1">
      <c r="A37" s="211" t="s">
        <v>887</v>
      </c>
      <c r="B37" s="72" t="e">
        <f>#REF!</f>
        <v>#REF!</v>
      </c>
      <c r="C37" s="73" t="str">
        <f ca="1">IF(COUNTIF(Conso!R35,"*Marginal*"),"x"," ")</f>
        <v xml:space="preserve"> </v>
      </c>
      <c r="D37" s="73" t="str">
        <f ca="1">IF(COUNTIF(Conso!R35,"*Faible*"),"x"," ")</f>
        <v xml:space="preserve"> </v>
      </c>
      <c r="E37" s="73" t="str">
        <f ca="1">IF(COUNTIF(Conso!R35,"*Modéré*"),"x"," ")</f>
        <v xml:space="preserve"> </v>
      </c>
      <c r="F37" s="73" t="str">
        <f ca="1">IF(COUNTIF(Conso!R35,"*Elevé*"),"x"," ")</f>
        <v xml:space="preserve"> </v>
      </c>
      <c r="G37" s="73" t="str">
        <f ca="1">IF(COUNTIF(Conso!R35,"*Critique*"),"x"," ")</f>
        <v xml:space="preserve"> </v>
      </c>
      <c r="H37" s="73" t="str">
        <f ca="1">IF(COUNTIF(Conso!R35,"*Catastrophique*"),"x"," ")</f>
        <v xml:space="preserve"> </v>
      </c>
      <c r="I37" s="73" t="str">
        <f ca="1">IF(COUNTIF(Conso!Q35,"*Exceptionnelle*"),"x"," ")</f>
        <v xml:space="preserve"> </v>
      </c>
      <c r="J37" s="73" t="str">
        <f ca="1">IF(COUNTIF(Conso!Q35,"*Rare*"),"x"," ")</f>
        <v xml:space="preserve"> </v>
      </c>
      <c r="K37" s="73" t="str">
        <f ca="1">IF(COUNTIF(Conso!Q35,"*Modérée*"),"x"," ")</f>
        <v xml:space="preserve"> </v>
      </c>
      <c r="L37" s="73" t="str">
        <f ca="1">IF(COUNTIF(Conso!Q35,"*Elevée*"),"x"," ")</f>
        <v xml:space="preserve"> </v>
      </c>
      <c r="M37" s="73" t="str">
        <f ca="1">IF(COUNTIF(Conso!Q35,"*Récurrente*"),"x"," ")</f>
        <v xml:space="preserve"> </v>
      </c>
      <c r="N37" s="73" t="str">
        <f ca="1">IF(COUNTIF(Conso!Q35,"*Permanente*"),"x"," ")</f>
        <v xml:space="preserve"> </v>
      </c>
      <c r="O37" s="74" t="str">
        <f t="shared" ca="1" si="13"/>
        <v xml:space="preserve"> </v>
      </c>
      <c r="P37" s="74" t="str">
        <f t="shared" ca="1" si="14"/>
        <v xml:space="preserve"> </v>
      </c>
      <c r="Q37" s="74" t="str">
        <f t="shared" ca="1" si="15"/>
        <v xml:space="preserve"> </v>
      </c>
      <c r="R37" s="74" t="str">
        <f t="shared" ca="1" si="16"/>
        <v xml:space="preserve"> </v>
      </c>
      <c r="S37" s="74" t="str">
        <f t="shared" ca="1" si="17"/>
        <v xml:space="preserve"> </v>
      </c>
      <c r="T37" s="74" t="str">
        <f t="shared" ca="1" si="18"/>
        <v xml:space="preserve"> </v>
      </c>
      <c r="U37" s="74" t="str">
        <f t="shared" ca="1" si="19"/>
        <v xml:space="preserve"> </v>
      </c>
      <c r="V37" s="74" t="str">
        <f t="shared" ca="1" si="20"/>
        <v xml:space="preserve"> </v>
      </c>
      <c r="W37" s="74" t="str">
        <f t="shared" ca="1" si="21"/>
        <v xml:space="preserve"> </v>
      </c>
      <c r="X37" s="74" t="str">
        <f t="shared" ca="1" si="22"/>
        <v xml:space="preserve"> </v>
      </c>
      <c r="Y37" s="74" t="str">
        <f t="shared" ca="1" si="23"/>
        <v xml:space="preserve"> </v>
      </c>
      <c r="Z37" s="74" t="str">
        <f t="shared" ca="1" si="24"/>
        <v xml:space="preserve"> </v>
      </c>
      <c r="AA37" s="74" t="str">
        <f t="shared" ca="1" si="25"/>
        <v xml:space="preserve"> </v>
      </c>
      <c r="AB37" s="74" t="str">
        <f t="shared" ca="1" si="26"/>
        <v xml:space="preserve"> </v>
      </c>
      <c r="AC37" s="74" t="str">
        <f t="shared" ca="1" si="27"/>
        <v xml:space="preserve"> </v>
      </c>
      <c r="AD37" s="74" t="str">
        <f t="shared" ca="1" si="28"/>
        <v xml:space="preserve"> </v>
      </c>
      <c r="AE37" s="74" t="str">
        <f t="shared" ca="1" si="29"/>
        <v xml:space="preserve"> </v>
      </c>
      <c r="AF37" s="74" t="str">
        <f t="shared" ca="1" si="30"/>
        <v xml:space="preserve"> </v>
      </c>
      <c r="AG37" s="74" t="str">
        <f t="shared" ca="1" si="31"/>
        <v xml:space="preserve"> </v>
      </c>
      <c r="AH37" s="74" t="str">
        <f t="shared" ca="1" si="32"/>
        <v xml:space="preserve"> </v>
      </c>
      <c r="AI37" s="74" t="str">
        <f t="shared" ca="1" si="33"/>
        <v xml:space="preserve"> </v>
      </c>
      <c r="AJ37" s="74" t="str">
        <f t="shared" ca="1" si="34"/>
        <v xml:space="preserve"> </v>
      </c>
      <c r="AK37" s="74" t="str">
        <f t="shared" ca="1" si="35"/>
        <v xml:space="preserve"> </v>
      </c>
      <c r="AL37" s="74" t="str">
        <f t="shared" ca="1" si="36"/>
        <v xml:space="preserve"> </v>
      </c>
      <c r="AM37" s="74" t="str">
        <f t="shared" ca="1" si="37"/>
        <v xml:space="preserve"> </v>
      </c>
      <c r="AN37" s="74" t="str">
        <f t="shared" ca="1" si="38"/>
        <v xml:space="preserve"> </v>
      </c>
      <c r="AO37" s="74" t="str">
        <f t="shared" ca="1" si="39"/>
        <v xml:space="preserve"> </v>
      </c>
      <c r="AP37" s="74" t="str">
        <f t="shared" ca="1" si="40"/>
        <v xml:space="preserve"> </v>
      </c>
      <c r="AQ37" s="74" t="str">
        <f t="shared" ca="1" si="41"/>
        <v xml:space="preserve"> </v>
      </c>
      <c r="AR37" s="74" t="str">
        <f t="shared" ca="1" si="42"/>
        <v xml:space="preserve"> </v>
      </c>
      <c r="AS37" s="74" t="str">
        <f t="shared" ca="1" si="43"/>
        <v xml:space="preserve"> </v>
      </c>
      <c r="AT37" s="74" t="str">
        <f t="shared" ca="1" si="44"/>
        <v xml:space="preserve"> </v>
      </c>
      <c r="AU37" s="74" t="str">
        <f t="shared" ca="1" si="45"/>
        <v xml:space="preserve"> </v>
      </c>
      <c r="AV37" s="74" t="str">
        <f t="shared" ca="1" si="46"/>
        <v xml:space="preserve"> </v>
      </c>
      <c r="AW37" s="74" t="str">
        <f t="shared" ca="1" si="47"/>
        <v xml:space="preserve"> </v>
      </c>
      <c r="AX37" s="74" t="str">
        <f t="shared" ca="1" si="48"/>
        <v xml:space="preserve"> </v>
      </c>
      <c r="AY37" s="75" t="str">
        <f t="shared" ca="1" si="49"/>
        <v xml:space="preserve"> </v>
      </c>
      <c r="AZ37" s="73" t="str">
        <f t="shared" ca="1" si="50"/>
        <v xml:space="preserve"> </v>
      </c>
      <c r="BA37" s="73" t="str">
        <f t="shared" ca="1" si="51"/>
        <v xml:space="preserve"> </v>
      </c>
      <c r="BB37" s="73" t="str">
        <f t="shared" ca="1" si="52"/>
        <v xml:space="preserve"> </v>
      </c>
      <c r="BC37" s="73" t="str">
        <f ca="1">IF(COUNTIF(Conso!P35,"*Insuffisant*"),"x"," ")</f>
        <v xml:space="preserve"> </v>
      </c>
      <c r="BD37" s="73" t="str">
        <f ca="1">IF(COUNTIF(Conso!P35,"*Faible*"),"x"," ")</f>
        <v xml:space="preserve"> </v>
      </c>
      <c r="BE37" s="73" t="str">
        <f ca="1">IF(COUNTIF(Conso!P35,"*Acceptable*"),"x"," ")</f>
        <v xml:space="preserve"> </v>
      </c>
      <c r="BF37" s="73" t="str">
        <f ca="1">IF(COUNTIF(Conso!P35,"*Maîtrisé*"),"x"," ")</f>
        <v xml:space="preserve"> </v>
      </c>
      <c r="BG37" s="73" t="str">
        <f t="shared" ca="1" si="53"/>
        <v xml:space="preserve"> </v>
      </c>
      <c r="BH37" s="73" t="str">
        <f t="shared" ca="1" si="54"/>
        <v xml:space="preserve"> </v>
      </c>
      <c r="BI37" s="73" t="str">
        <f t="shared" ca="1" si="55"/>
        <v xml:space="preserve"> </v>
      </c>
      <c r="BJ37" s="73" t="str">
        <f t="shared" ca="1" si="56"/>
        <v xml:space="preserve"> </v>
      </c>
      <c r="BK37" s="73" t="str">
        <f t="shared" ca="1" si="57"/>
        <v xml:space="preserve"> </v>
      </c>
      <c r="BL37" s="73" t="str">
        <f t="shared" ca="1" si="58"/>
        <v xml:space="preserve"> </v>
      </c>
      <c r="BM37" s="73" t="str">
        <f t="shared" ca="1" si="59"/>
        <v xml:space="preserve"> </v>
      </c>
      <c r="BN37" s="73" t="str">
        <f t="shared" ca="1" si="60"/>
        <v xml:space="preserve"> </v>
      </c>
      <c r="BO37" s="73" t="str">
        <f t="shared" ca="1" si="61"/>
        <v xml:space="preserve"> </v>
      </c>
      <c r="BP37" s="73" t="str">
        <f t="shared" ca="1" si="62"/>
        <v xml:space="preserve"> </v>
      </c>
      <c r="BQ37" s="73" t="str">
        <f t="shared" ca="1" si="63"/>
        <v xml:space="preserve"> </v>
      </c>
      <c r="BR37" s="73" t="str">
        <f t="shared" ca="1" si="64"/>
        <v xml:space="preserve"> </v>
      </c>
      <c r="BS37" s="73" t="str">
        <f t="shared" ca="1" si="65"/>
        <v xml:space="preserve"> </v>
      </c>
      <c r="BT37" s="73" t="str">
        <f t="shared" ca="1" si="66"/>
        <v xml:space="preserve"> </v>
      </c>
      <c r="BU37" s="73" t="str">
        <f t="shared" ca="1" si="67"/>
        <v xml:space="preserve"> </v>
      </c>
      <c r="BV37" s="73" t="str">
        <f t="shared" ca="1" si="68"/>
        <v xml:space="preserve"> </v>
      </c>
      <c r="BW37" s="72" t="s">
        <v>928</v>
      </c>
    </row>
    <row r="38" spans="1:75" ht="43.5" customHeight="1">
      <c r="A38" s="211" t="s">
        <v>888</v>
      </c>
      <c r="B38" s="72" t="e">
        <f>#REF!</f>
        <v>#REF!</v>
      </c>
      <c r="C38" s="73" t="str">
        <f ca="1">IF(COUNTIF(Conso!R36,"*Marginal*"),"x"," ")</f>
        <v xml:space="preserve"> </v>
      </c>
      <c r="D38" s="73" t="str">
        <f ca="1">IF(COUNTIF(Conso!R36,"*Faible*"),"x"," ")</f>
        <v xml:space="preserve"> </v>
      </c>
      <c r="E38" s="73" t="str">
        <f ca="1">IF(COUNTIF(Conso!R36,"*Modéré*"),"x"," ")</f>
        <v xml:space="preserve"> </v>
      </c>
      <c r="F38" s="73" t="str">
        <f ca="1">IF(COUNTIF(Conso!R36,"*Elevé*"),"x"," ")</f>
        <v xml:space="preserve"> </v>
      </c>
      <c r="G38" s="73" t="str">
        <f ca="1">IF(COUNTIF(Conso!R36,"*Critique*"),"x"," ")</f>
        <v xml:space="preserve"> </v>
      </c>
      <c r="H38" s="73" t="str">
        <f ca="1">IF(COUNTIF(Conso!R36,"*Catastrophique*"),"x"," ")</f>
        <v xml:space="preserve"> </v>
      </c>
      <c r="I38" s="73" t="str">
        <f ca="1">IF(COUNTIF(Conso!Q36,"*Exceptionnelle*"),"x"," ")</f>
        <v xml:space="preserve"> </v>
      </c>
      <c r="J38" s="73" t="str">
        <f ca="1">IF(COUNTIF(Conso!Q36,"*Rare*"),"x"," ")</f>
        <v xml:space="preserve"> </v>
      </c>
      <c r="K38" s="73" t="str">
        <f ca="1">IF(COUNTIF(Conso!Q36,"*Modérée*"),"x"," ")</f>
        <v xml:space="preserve"> </v>
      </c>
      <c r="L38" s="73" t="str">
        <f ca="1">IF(COUNTIF(Conso!Q36,"*Elevée*"),"x"," ")</f>
        <v xml:space="preserve"> </v>
      </c>
      <c r="M38" s="73" t="str">
        <f ca="1">IF(COUNTIF(Conso!Q36,"*Récurrente*"),"x"," ")</f>
        <v xml:space="preserve"> </v>
      </c>
      <c r="N38" s="73" t="str">
        <f ca="1">IF(COUNTIF(Conso!Q36,"*Permanente*"),"x"," ")</f>
        <v xml:space="preserve"> </v>
      </c>
      <c r="O38" s="74" t="str">
        <f t="shared" ca="1" si="13"/>
        <v xml:space="preserve"> </v>
      </c>
      <c r="P38" s="74" t="str">
        <f t="shared" ca="1" si="14"/>
        <v xml:space="preserve"> </v>
      </c>
      <c r="Q38" s="74" t="str">
        <f t="shared" ca="1" si="15"/>
        <v xml:space="preserve"> </v>
      </c>
      <c r="R38" s="74" t="str">
        <f t="shared" ca="1" si="16"/>
        <v xml:space="preserve"> </v>
      </c>
      <c r="S38" s="74" t="str">
        <f t="shared" ca="1" si="17"/>
        <v xml:space="preserve"> </v>
      </c>
      <c r="T38" s="74" t="str">
        <f t="shared" ca="1" si="18"/>
        <v xml:space="preserve"> </v>
      </c>
      <c r="U38" s="74" t="str">
        <f t="shared" ca="1" si="19"/>
        <v xml:space="preserve"> </v>
      </c>
      <c r="V38" s="74" t="str">
        <f t="shared" ca="1" si="20"/>
        <v xml:space="preserve"> </v>
      </c>
      <c r="W38" s="74" t="str">
        <f t="shared" ca="1" si="21"/>
        <v xml:space="preserve"> </v>
      </c>
      <c r="X38" s="74" t="str">
        <f t="shared" ca="1" si="22"/>
        <v xml:space="preserve"> </v>
      </c>
      <c r="Y38" s="74" t="str">
        <f t="shared" ca="1" si="23"/>
        <v xml:space="preserve"> </v>
      </c>
      <c r="Z38" s="74" t="str">
        <f t="shared" ca="1" si="24"/>
        <v xml:space="preserve"> </v>
      </c>
      <c r="AA38" s="74" t="str">
        <f t="shared" ca="1" si="25"/>
        <v xml:space="preserve"> </v>
      </c>
      <c r="AB38" s="74" t="str">
        <f t="shared" ca="1" si="26"/>
        <v xml:space="preserve"> </v>
      </c>
      <c r="AC38" s="74" t="str">
        <f t="shared" ca="1" si="27"/>
        <v xml:space="preserve"> </v>
      </c>
      <c r="AD38" s="74" t="str">
        <f t="shared" ca="1" si="28"/>
        <v xml:space="preserve"> </v>
      </c>
      <c r="AE38" s="74" t="str">
        <f t="shared" ca="1" si="29"/>
        <v xml:space="preserve"> </v>
      </c>
      <c r="AF38" s="74" t="str">
        <f t="shared" ca="1" si="30"/>
        <v xml:space="preserve"> </v>
      </c>
      <c r="AG38" s="74" t="str">
        <f t="shared" ca="1" si="31"/>
        <v xml:space="preserve"> </v>
      </c>
      <c r="AH38" s="74" t="str">
        <f t="shared" ca="1" si="32"/>
        <v xml:space="preserve"> </v>
      </c>
      <c r="AI38" s="74" t="str">
        <f t="shared" ca="1" si="33"/>
        <v xml:space="preserve"> </v>
      </c>
      <c r="AJ38" s="74" t="str">
        <f t="shared" ca="1" si="34"/>
        <v xml:space="preserve"> </v>
      </c>
      <c r="AK38" s="74" t="str">
        <f t="shared" ca="1" si="35"/>
        <v xml:space="preserve"> </v>
      </c>
      <c r="AL38" s="74" t="str">
        <f t="shared" ca="1" si="36"/>
        <v xml:space="preserve"> </v>
      </c>
      <c r="AM38" s="74" t="str">
        <f t="shared" ca="1" si="37"/>
        <v xml:space="preserve"> </v>
      </c>
      <c r="AN38" s="74" t="str">
        <f t="shared" ca="1" si="38"/>
        <v xml:space="preserve"> </v>
      </c>
      <c r="AO38" s="74" t="str">
        <f t="shared" ca="1" si="39"/>
        <v xml:space="preserve"> </v>
      </c>
      <c r="AP38" s="74" t="str">
        <f t="shared" ca="1" si="40"/>
        <v xml:space="preserve"> </v>
      </c>
      <c r="AQ38" s="74" t="str">
        <f t="shared" ca="1" si="41"/>
        <v xml:space="preserve"> </v>
      </c>
      <c r="AR38" s="74" t="str">
        <f t="shared" ca="1" si="42"/>
        <v xml:space="preserve"> </v>
      </c>
      <c r="AS38" s="74" t="str">
        <f t="shared" ca="1" si="43"/>
        <v xml:space="preserve"> </v>
      </c>
      <c r="AT38" s="74" t="str">
        <f t="shared" ca="1" si="44"/>
        <v xml:space="preserve"> </v>
      </c>
      <c r="AU38" s="74" t="str">
        <f t="shared" ca="1" si="45"/>
        <v xml:space="preserve"> </v>
      </c>
      <c r="AV38" s="74" t="str">
        <f t="shared" ca="1" si="46"/>
        <v xml:space="preserve"> </v>
      </c>
      <c r="AW38" s="74" t="str">
        <f t="shared" ca="1" si="47"/>
        <v xml:space="preserve"> </v>
      </c>
      <c r="AX38" s="74" t="str">
        <f t="shared" ca="1" si="48"/>
        <v xml:space="preserve"> </v>
      </c>
      <c r="AY38" s="75" t="str">
        <f t="shared" ca="1" si="49"/>
        <v xml:space="preserve"> </v>
      </c>
      <c r="AZ38" s="73" t="str">
        <f t="shared" ca="1" si="50"/>
        <v xml:space="preserve"> </v>
      </c>
      <c r="BA38" s="73" t="str">
        <f t="shared" ca="1" si="51"/>
        <v xml:space="preserve"> </v>
      </c>
      <c r="BB38" s="73" t="str">
        <f t="shared" ca="1" si="52"/>
        <v xml:space="preserve"> </v>
      </c>
      <c r="BC38" s="73" t="str">
        <f ca="1">IF(COUNTIF(Conso!P36,"*Insuffisant*"),"x"," ")</f>
        <v xml:space="preserve"> </v>
      </c>
      <c r="BD38" s="73" t="str">
        <f ca="1">IF(COUNTIF(Conso!P36,"*Faible*"),"x"," ")</f>
        <v xml:space="preserve"> </v>
      </c>
      <c r="BE38" s="73" t="str">
        <f ca="1">IF(COUNTIF(Conso!P36,"*Acceptable*"),"x"," ")</f>
        <v xml:space="preserve"> </v>
      </c>
      <c r="BF38" s="73" t="str">
        <f ca="1">IF(COUNTIF(Conso!P36,"*Maîtrisé*"),"x"," ")</f>
        <v xml:space="preserve"> </v>
      </c>
      <c r="BG38" s="73" t="str">
        <f t="shared" ca="1" si="53"/>
        <v xml:space="preserve"> </v>
      </c>
      <c r="BH38" s="73" t="str">
        <f t="shared" ca="1" si="54"/>
        <v xml:space="preserve"> </v>
      </c>
      <c r="BI38" s="73" t="str">
        <f t="shared" ca="1" si="55"/>
        <v xml:space="preserve"> </v>
      </c>
      <c r="BJ38" s="73" t="str">
        <f t="shared" ca="1" si="56"/>
        <v xml:space="preserve"> </v>
      </c>
      <c r="BK38" s="73" t="str">
        <f t="shared" ca="1" si="57"/>
        <v xml:space="preserve"> </v>
      </c>
      <c r="BL38" s="73" t="str">
        <f t="shared" ca="1" si="58"/>
        <v xml:space="preserve"> </v>
      </c>
      <c r="BM38" s="73" t="str">
        <f t="shared" ca="1" si="59"/>
        <v xml:space="preserve"> </v>
      </c>
      <c r="BN38" s="73" t="str">
        <f t="shared" ca="1" si="60"/>
        <v xml:space="preserve"> </v>
      </c>
      <c r="BO38" s="73" t="str">
        <f t="shared" ca="1" si="61"/>
        <v xml:space="preserve"> </v>
      </c>
      <c r="BP38" s="73" t="str">
        <f t="shared" ca="1" si="62"/>
        <v xml:space="preserve"> </v>
      </c>
      <c r="BQ38" s="73" t="str">
        <f t="shared" ca="1" si="63"/>
        <v xml:space="preserve"> </v>
      </c>
      <c r="BR38" s="73" t="str">
        <f t="shared" ca="1" si="64"/>
        <v xml:space="preserve"> </v>
      </c>
      <c r="BS38" s="73" t="str">
        <f t="shared" ca="1" si="65"/>
        <v xml:space="preserve"> </v>
      </c>
      <c r="BT38" s="73" t="str">
        <f t="shared" ca="1" si="66"/>
        <v xml:space="preserve"> </v>
      </c>
      <c r="BU38" s="73" t="str">
        <f t="shared" ca="1" si="67"/>
        <v xml:space="preserve"> </v>
      </c>
      <c r="BV38" s="73" t="str">
        <f t="shared" ca="1" si="68"/>
        <v xml:space="preserve"> </v>
      </c>
      <c r="BW38" s="72" t="s">
        <v>929</v>
      </c>
    </row>
    <row r="39" spans="1:75" ht="43.5" customHeight="1">
      <c r="A39" s="211" t="s">
        <v>889</v>
      </c>
      <c r="B39" s="72" t="e">
        <f>#REF!</f>
        <v>#REF!</v>
      </c>
      <c r="C39" s="73" t="str">
        <f ca="1">IF(COUNTIF(Conso!R37,"*Marginal*"),"x"," ")</f>
        <v xml:space="preserve"> </v>
      </c>
      <c r="D39" s="73" t="str">
        <f ca="1">IF(COUNTIF(Conso!R37,"*Faible*"),"x"," ")</f>
        <v xml:space="preserve"> </v>
      </c>
      <c r="E39" s="73" t="str">
        <f ca="1">IF(COUNTIF(Conso!R37,"*Modéré*"),"x"," ")</f>
        <v xml:space="preserve"> </v>
      </c>
      <c r="F39" s="73" t="str">
        <f ca="1">IF(COUNTIF(Conso!R37,"*Elevé*"),"x"," ")</f>
        <v xml:space="preserve"> </v>
      </c>
      <c r="G39" s="73" t="str">
        <f ca="1">IF(COUNTIF(Conso!R37,"*Critique*"),"x"," ")</f>
        <v xml:space="preserve"> </v>
      </c>
      <c r="H39" s="73" t="str">
        <f ca="1">IF(COUNTIF(Conso!R37,"*Catastrophique*"),"x"," ")</f>
        <v xml:space="preserve"> </v>
      </c>
      <c r="I39" s="73" t="str">
        <f ca="1">IF(COUNTIF(Conso!Q37,"*Exceptionnelle*"),"x"," ")</f>
        <v xml:space="preserve"> </v>
      </c>
      <c r="J39" s="73" t="str">
        <f ca="1">IF(COUNTIF(Conso!Q37,"*Rare*"),"x"," ")</f>
        <v xml:space="preserve"> </v>
      </c>
      <c r="K39" s="73" t="str">
        <f ca="1">IF(COUNTIF(Conso!Q37,"*Modérée*"),"x"," ")</f>
        <v xml:space="preserve"> </v>
      </c>
      <c r="L39" s="73" t="str">
        <f ca="1">IF(COUNTIF(Conso!Q37,"*Elevée*"),"x"," ")</f>
        <v xml:space="preserve"> </v>
      </c>
      <c r="M39" s="73" t="str">
        <f ca="1">IF(COUNTIF(Conso!Q37,"*Récurrente*"),"x"," ")</f>
        <v xml:space="preserve"> </v>
      </c>
      <c r="N39" s="73" t="str">
        <f ca="1">IF(COUNTIF(Conso!Q37,"*Permanente*"),"x"," ")</f>
        <v xml:space="preserve"> </v>
      </c>
      <c r="O39" s="74" t="str">
        <f t="shared" ca="1" si="13"/>
        <v xml:space="preserve"> </v>
      </c>
      <c r="P39" s="74" t="str">
        <f t="shared" ca="1" si="14"/>
        <v xml:space="preserve"> </v>
      </c>
      <c r="Q39" s="74" t="str">
        <f t="shared" ca="1" si="15"/>
        <v xml:space="preserve"> </v>
      </c>
      <c r="R39" s="74" t="str">
        <f t="shared" ca="1" si="16"/>
        <v xml:space="preserve"> </v>
      </c>
      <c r="S39" s="74" t="str">
        <f t="shared" ca="1" si="17"/>
        <v xml:space="preserve"> </v>
      </c>
      <c r="T39" s="74" t="str">
        <f t="shared" ca="1" si="18"/>
        <v xml:space="preserve"> </v>
      </c>
      <c r="U39" s="74" t="str">
        <f t="shared" ca="1" si="19"/>
        <v xml:space="preserve"> </v>
      </c>
      <c r="V39" s="74" t="str">
        <f t="shared" ca="1" si="20"/>
        <v xml:space="preserve"> </v>
      </c>
      <c r="W39" s="74" t="str">
        <f t="shared" ca="1" si="21"/>
        <v xml:space="preserve"> </v>
      </c>
      <c r="X39" s="74" t="str">
        <f t="shared" ca="1" si="22"/>
        <v xml:space="preserve"> </v>
      </c>
      <c r="Y39" s="74" t="str">
        <f t="shared" ca="1" si="23"/>
        <v xml:space="preserve"> </v>
      </c>
      <c r="Z39" s="74" t="str">
        <f t="shared" ca="1" si="24"/>
        <v xml:space="preserve"> </v>
      </c>
      <c r="AA39" s="74" t="str">
        <f t="shared" ca="1" si="25"/>
        <v xml:space="preserve"> </v>
      </c>
      <c r="AB39" s="74" t="str">
        <f t="shared" ca="1" si="26"/>
        <v xml:space="preserve"> </v>
      </c>
      <c r="AC39" s="74" t="str">
        <f t="shared" ca="1" si="27"/>
        <v xml:space="preserve"> </v>
      </c>
      <c r="AD39" s="74" t="str">
        <f t="shared" ca="1" si="28"/>
        <v xml:space="preserve"> </v>
      </c>
      <c r="AE39" s="74" t="str">
        <f t="shared" ca="1" si="29"/>
        <v xml:space="preserve"> </v>
      </c>
      <c r="AF39" s="74" t="str">
        <f t="shared" ca="1" si="30"/>
        <v xml:space="preserve"> </v>
      </c>
      <c r="AG39" s="74" t="str">
        <f t="shared" ca="1" si="31"/>
        <v xml:space="preserve"> </v>
      </c>
      <c r="AH39" s="74" t="str">
        <f t="shared" ca="1" si="32"/>
        <v xml:space="preserve"> </v>
      </c>
      <c r="AI39" s="74" t="str">
        <f t="shared" ca="1" si="33"/>
        <v xml:space="preserve"> </v>
      </c>
      <c r="AJ39" s="74" t="str">
        <f t="shared" ca="1" si="34"/>
        <v xml:space="preserve"> </v>
      </c>
      <c r="AK39" s="74" t="str">
        <f t="shared" ca="1" si="35"/>
        <v xml:space="preserve"> </v>
      </c>
      <c r="AL39" s="74" t="str">
        <f t="shared" ca="1" si="36"/>
        <v xml:space="preserve"> </v>
      </c>
      <c r="AM39" s="74" t="str">
        <f t="shared" ca="1" si="37"/>
        <v xml:space="preserve"> </v>
      </c>
      <c r="AN39" s="74" t="str">
        <f t="shared" ca="1" si="38"/>
        <v xml:space="preserve"> </v>
      </c>
      <c r="AO39" s="74" t="str">
        <f t="shared" ca="1" si="39"/>
        <v xml:space="preserve"> </v>
      </c>
      <c r="AP39" s="74" t="str">
        <f t="shared" ca="1" si="40"/>
        <v xml:space="preserve"> </v>
      </c>
      <c r="AQ39" s="74" t="str">
        <f t="shared" ca="1" si="41"/>
        <v xml:space="preserve"> </v>
      </c>
      <c r="AR39" s="74" t="str">
        <f t="shared" ca="1" si="42"/>
        <v xml:space="preserve"> </v>
      </c>
      <c r="AS39" s="74" t="str">
        <f t="shared" ca="1" si="43"/>
        <v xml:space="preserve"> </v>
      </c>
      <c r="AT39" s="74" t="str">
        <f t="shared" ca="1" si="44"/>
        <v xml:space="preserve"> </v>
      </c>
      <c r="AU39" s="74" t="str">
        <f t="shared" ca="1" si="45"/>
        <v xml:space="preserve"> </v>
      </c>
      <c r="AV39" s="74" t="str">
        <f t="shared" ca="1" si="46"/>
        <v xml:space="preserve"> </v>
      </c>
      <c r="AW39" s="74" t="str">
        <f t="shared" ca="1" si="47"/>
        <v xml:space="preserve"> </v>
      </c>
      <c r="AX39" s="74" t="str">
        <f t="shared" ca="1" si="48"/>
        <v xml:space="preserve"> </v>
      </c>
      <c r="AY39" s="75" t="str">
        <f t="shared" ca="1" si="49"/>
        <v xml:space="preserve"> </v>
      </c>
      <c r="AZ39" s="73" t="str">
        <f t="shared" ca="1" si="50"/>
        <v xml:space="preserve"> </v>
      </c>
      <c r="BA39" s="73" t="str">
        <f t="shared" ca="1" si="51"/>
        <v xml:space="preserve"> </v>
      </c>
      <c r="BB39" s="73" t="str">
        <f t="shared" ca="1" si="52"/>
        <v xml:space="preserve"> </v>
      </c>
      <c r="BC39" s="73" t="str">
        <f ca="1">IF(COUNTIF(Conso!P37,"*Insuffisant*"),"x"," ")</f>
        <v xml:space="preserve"> </v>
      </c>
      <c r="BD39" s="73" t="str">
        <f ca="1">IF(COUNTIF(Conso!P37,"*Faible*"),"x"," ")</f>
        <v xml:space="preserve"> </v>
      </c>
      <c r="BE39" s="73" t="str">
        <f ca="1">IF(COUNTIF(Conso!P37,"*Acceptable*"),"x"," ")</f>
        <v xml:space="preserve"> </v>
      </c>
      <c r="BF39" s="73" t="str">
        <f ca="1">IF(COUNTIF(Conso!P37,"*Maîtrisé*"),"x"," ")</f>
        <v xml:space="preserve"> </v>
      </c>
      <c r="BG39" s="73" t="str">
        <f t="shared" ca="1" si="53"/>
        <v xml:space="preserve"> </v>
      </c>
      <c r="BH39" s="73" t="str">
        <f t="shared" ca="1" si="54"/>
        <v xml:space="preserve"> </v>
      </c>
      <c r="BI39" s="73" t="str">
        <f t="shared" ca="1" si="55"/>
        <v xml:space="preserve"> </v>
      </c>
      <c r="BJ39" s="73" t="str">
        <f t="shared" ca="1" si="56"/>
        <v xml:space="preserve"> </v>
      </c>
      <c r="BK39" s="73" t="str">
        <f t="shared" ca="1" si="57"/>
        <v xml:space="preserve"> </v>
      </c>
      <c r="BL39" s="73" t="str">
        <f t="shared" ca="1" si="58"/>
        <v xml:space="preserve"> </v>
      </c>
      <c r="BM39" s="73" t="str">
        <f t="shared" ca="1" si="59"/>
        <v xml:space="preserve"> </v>
      </c>
      <c r="BN39" s="73" t="str">
        <f t="shared" ca="1" si="60"/>
        <v xml:space="preserve"> </v>
      </c>
      <c r="BO39" s="73" t="str">
        <f t="shared" ca="1" si="61"/>
        <v xml:space="preserve"> </v>
      </c>
      <c r="BP39" s="73" t="str">
        <f t="shared" ca="1" si="62"/>
        <v xml:space="preserve"> </v>
      </c>
      <c r="BQ39" s="73" t="str">
        <f t="shared" ca="1" si="63"/>
        <v xml:space="preserve"> </v>
      </c>
      <c r="BR39" s="73" t="str">
        <f t="shared" ca="1" si="64"/>
        <v xml:space="preserve"> </v>
      </c>
      <c r="BS39" s="73" t="str">
        <f t="shared" ca="1" si="65"/>
        <v xml:space="preserve"> </v>
      </c>
      <c r="BT39" s="73" t="str">
        <f t="shared" ca="1" si="66"/>
        <v xml:space="preserve"> </v>
      </c>
      <c r="BU39" s="73" t="str">
        <f t="shared" ca="1" si="67"/>
        <v xml:space="preserve"> </v>
      </c>
      <c r="BV39" s="73" t="str">
        <f t="shared" ca="1" si="68"/>
        <v xml:space="preserve"> </v>
      </c>
      <c r="BW39" s="72" t="s">
        <v>930</v>
      </c>
    </row>
    <row r="40" spans="1:75" ht="43.5" customHeight="1">
      <c r="A40" s="211" t="s">
        <v>890</v>
      </c>
      <c r="B40" s="72" t="e">
        <f>#REF!</f>
        <v>#REF!</v>
      </c>
      <c r="C40" s="73" t="str">
        <f ca="1">IF(COUNTIF(Conso!R38,"*Marginal*"),"x"," ")</f>
        <v xml:space="preserve"> </v>
      </c>
      <c r="D40" s="73" t="str">
        <f ca="1">IF(COUNTIF(Conso!R38,"*Faible*"),"x"," ")</f>
        <v xml:space="preserve"> </v>
      </c>
      <c r="E40" s="73" t="str">
        <f ca="1">IF(COUNTIF(Conso!R38,"*Modéré*"),"x"," ")</f>
        <v xml:space="preserve"> </v>
      </c>
      <c r="F40" s="73" t="str">
        <f ca="1">IF(COUNTIF(Conso!R38,"*Elevé*"),"x"," ")</f>
        <v xml:space="preserve"> </v>
      </c>
      <c r="G40" s="73" t="str">
        <f ca="1">IF(COUNTIF(Conso!R38,"*Critique*"),"x"," ")</f>
        <v xml:space="preserve"> </v>
      </c>
      <c r="H40" s="73" t="str">
        <f ca="1">IF(COUNTIF(Conso!R38,"*Catastrophique*"),"x"," ")</f>
        <v xml:space="preserve"> </v>
      </c>
      <c r="I40" s="73" t="str">
        <f ca="1">IF(COUNTIF(Conso!Q38,"*Exceptionnelle*"),"x"," ")</f>
        <v xml:space="preserve"> </v>
      </c>
      <c r="J40" s="73" t="str">
        <f ca="1">IF(COUNTIF(Conso!Q38,"*Rare*"),"x"," ")</f>
        <v xml:space="preserve"> </v>
      </c>
      <c r="K40" s="73" t="str">
        <f ca="1">IF(COUNTIF(Conso!Q38,"*Modérée*"),"x"," ")</f>
        <v xml:space="preserve"> </v>
      </c>
      <c r="L40" s="73" t="str">
        <f ca="1">IF(COUNTIF(Conso!Q38,"*Elevée*"),"x"," ")</f>
        <v xml:space="preserve"> </v>
      </c>
      <c r="M40" s="73" t="str">
        <f ca="1">IF(COUNTIF(Conso!Q38,"*Récurrente*"),"x"," ")</f>
        <v xml:space="preserve"> </v>
      </c>
      <c r="N40" s="73" t="str">
        <f ca="1">IF(COUNTIF(Conso!Q38,"*Permanente*"),"x"," ")</f>
        <v xml:space="preserve"> </v>
      </c>
      <c r="O40" s="74" t="str">
        <f t="shared" ca="1" si="13"/>
        <v xml:space="preserve"> </v>
      </c>
      <c r="P40" s="74" t="str">
        <f t="shared" ca="1" si="14"/>
        <v xml:space="preserve"> </v>
      </c>
      <c r="Q40" s="74" t="str">
        <f t="shared" ca="1" si="15"/>
        <v xml:space="preserve"> </v>
      </c>
      <c r="R40" s="74" t="str">
        <f t="shared" ca="1" si="16"/>
        <v xml:space="preserve"> </v>
      </c>
      <c r="S40" s="74" t="str">
        <f t="shared" ca="1" si="17"/>
        <v xml:space="preserve"> </v>
      </c>
      <c r="T40" s="74" t="str">
        <f t="shared" ca="1" si="18"/>
        <v xml:space="preserve"> </v>
      </c>
      <c r="U40" s="74" t="str">
        <f t="shared" ca="1" si="19"/>
        <v xml:space="preserve"> </v>
      </c>
      <c r="V40" s="74" t="str">
        <f t="shared" ca="1" si="20"/>
        <v xml:space="preserve"> </v>
      </c>
      <c r="W40" s="74" t="str">
        <f t="shared" ca="1" si="21"/>
        <v xml:space="preserve"> </v>
      </c>
      <c r="X40" s="74" t="str">
        <f t="shared" ca="1" si="22"/>
        <v xml:space="preserve"> </v>
      </c>
      <c r="Y40" s="74" t="str">
        <f t="shared" ca="1" si="23"/>
        <v xml:space="preserve"> </v>
      </c>
      <c r="Z40" s="74" t="str">
        <f t="shared" ca="1" si="24"/>
        <v xml:space="preserve"> </v>
      </c>
      <c r="AA40" s="74" t="str">
        <f t="shared" ca="1" si="25"/>
        <v xml:space="preserve"> </v>
      </c>
      <c r="AB40" s="74" t="str">
        <f t="shared" ca="1" si="26"/>
        <v xml:space="preserve"> </v>
      </c>
      <c r="AC40" s="74" t="str">
        <f t="shared" ca="1" si="27"/>
        <v xml:space="preserve"> </v>
      </c>
      <c r="AD40" s="74" t="str">
        <f t="shared" ca="1" si="28"/>
        <v xml:space="preserve"> </v>
      </c>
      <c r="AE40" s="74" t="str">
        <f t="shared" ca="1" si="29"/>
        <v xml:space="preserve"> </v>
      </c>
      <c r="AF40" s="74" t="str">
        <f t="shared" ca="1" si="30"/>
        <v xml:space="preserve"> </v>
      </c>
      <c r="AG40" s="74" t="str">
        <f t="shared" ca="1" si="31"/>
        <v xml:space="preserve"> </v>
      </c>
      <c r="AH40" s="74" t="str">
        <f t="shared" ca="1" si="32"/>
        <v xml:space="preserve"> </v>
      </c>
      <c r="AI40" s="74" t="str">
        <f t="shared" ca="1" si="33"/>
        <v xml:space="preserve"> </v>
      </c>
      <c r="AJ40" s="74" t="str">
        <f t="shared" ca="1" si="34"/>
        <v xml:space="preserve"> </v>
      </c>
      <c r="AK40" s="74" t="str">
        <f t="shared" ca="1" si="35"/>
        <v xml:space="preserve"> </v>
      </c>
      <c r="AL40" s="74" t="str">
        <f t="shared" ca="1" si="36"/>
        <v xml:space="preserve"> </v>
      </c>
      <c r="AM40" s="74" t="str">
        <f t="shared" ca="1" si="37"/>
        <v xml:space="preserve"> </v>
      </c>
      <c r="AN40" s="74" t="str">
        <f t="shared" ca="1" si="38"/>
        <v xml:space="preserve"> </v>
      </c>
      <c r="AO40" s="74" t="str">
        <f t="shared" ca="1" si="39"/>
        <v xml:space="preserve"> </v>
      </c>
      <c r="AP40" s="74" t="str">
        <f t="shared" ca="1" si="40"/>
        <v xml:space="preserve"> </v>
      </c>
      <c r="AQ40" s="74" t="str">
        <f t="shared" ca="1" si="41"/>
        <v xml:space="preserve"> </v>
      </c>
      <c r="AR40" s="74" t="str">
        <f t="shared" ca="1" si="42"/>
        <v xml:space="preserve"> </v>
      </c>
      <c r="AS40" s="74" t="str">
        <f t="shared" ca="1" si="43"/>
        <v xml:space="preserve"> </v>
      </c>
      <c r="AT40" s="74" t="str">
        <f t="shared" ca="1" si="44"/>
        <v xml:space="preserve"> </v>
      </c>
      <c r="AU40" s="74" t="str">
        <f t="shared" ca="1" si="45"/>
        <v xml:space="preserve"> </v>
      </c>
      <c r="AV40" s="74" t="str">
        <f t="shared" ca="1" si="46"/>
        <v xml:space="preserve"> </v>
      </c>
      <c r="AW40" s="74" t="str">
        <f t="shared" ca="1" si="47"/>
        <v xml:space="preserve"> </v>
      </c>
      <c r="AX40" s="74" t="str">
        <f t="shared" ca="1" si="48"/>
        <v xml:space="preserve"> </v>
      </c>
      <c r="AY40" s="75" t="str">
        <f t="shared" ca="1" si="49"/>
        <v xml:space="preserve"> </v>
      </c>
      <c r="AZ40" s="73" t="str">
        <f t="shared" ca="1" si="50"/>
        <v xml:space="preserve"> </v>
      </c>
      <c r="BA40" s="73" t="str">
        <f t="shared" ca="1" si="51"/>
        <v xml:space="preserve"> </v>
      </c>
      <c r="BB40" s="73" t="str">
        <f t="shared" ca="1" si="52"/>
        <v xml:space="preserve"> </v>
      </c>
      <c r="BC40" s="73" t="str">
        <f ca="1">IF(COUNTIF(Conso!P38,"*Insuffisant*"),"x"," ")</f>
        <v xml:space="preserve"> </v>
      </c>
      <c r="BD40" s="73" t="str">
        <f ca="1">IF(COUNTIF(Conso!P38,"*Faible*"),"x"," ")</f>
        <v xml:space="preserve"> </v>
      </c>
      <c r="BE40" s="73" t="str">
        <f ca="1">IF(COUNTIF(Conso!P38,"*Acceptable*"),"x"," ")</f>
        <v xml:space="preserve"> </v>
      </c>
      <c r="BF40" s="73" t="str">
        <f ca="1">IF(COUNTIF(Conso!P38,"*Maîtrisé*"),"x"," ")</f>
        <v xml:space="preserve"> </v>
      </c>
      <c r="BG40" s="73" t="str">
        <f t="shared" ca="1" si="53"/>
        <v xml:space="preserve"> </v>
      </c>
      <c r="BH40" s="73" t="str">
        <f t="shared" ca="1" si="54"/>
        <v xml:space="preserve"> </v>
      </c>
      <c r="BI40" s="73" t="str">
        <f t="shared" ca="1" si="55"/>
        <v xml:space="preserve"> </v>
      </c>
      <c r="BJ40" s="73" t="str">
        <f t="shared" ca="1" si="56"/>
        <v xml:space="preserve"> </v>
      </c>
      <c r="BK40" s="73" t="str">
        <f t="shared" ca="1" si="57"/>
        <v xml:space="preserve"> </v>
      </c>
      <c r="BL40" s="73" t="str">
        <f t="shared" ca="1" si="58"/>
        <v xml:space="preserve"> </v>
      </c>
      <c r="BM40" s="73" t="str">
        <f t="shared" ca="1" si="59"/>
        <v xml:space="preserve"> </v>
      </c>
      <c r="BN40" s="73" t="str">
        <f t="shared" ca="1" si="60"/>
        <v xml:space="preserve"> </v>
      </c>
      <c r="BO40" s="73" t="str">
        <f t="shared" ca="1" si="61"/>
        <v xml:space="preserve"> </v>
      </c>
      <c r="BP40" s="73" t="str">
        <f t="shared" ca="1" si="62"/>
        <v xml:space="preserve"> </v>
      </c>
      <c r="BQ40" s="73" t="str">
        <f t="shared" ca="1" si="63"/>
        <v xml:space="preserve"> </v>
      </c>
      <c r="BR40" s="73" t="str">
        <f t="shared" ca="1" si="64"/>
        <v xml:space="preserve"> </v>
      </c>
      <c r="BS40" s="73" t="str">
        <f t="shared" ca="1" si="65"/>
        <v xml:space="preserve"> </v>
      </c>
      <c r="BT40" s="73" t="str">
        <f t="shared" ca="1" si="66"/>
        <v xml:space="preserve"> </v>
      </c>
      <c r="BU40" s="73" t="str">
        <f t="shared" ca="1" si="67"/>
        <v xml:space="preserve"> </v>
      </c>
      <c r="BV40" s="73" t="str">
        <f t="shared" ca="1" si="68"/>
        <v xml:space="preserve"> </v>
      </c>
      <c r="BW40" s="72" t="s">
        <v>931</v>
      </c>
    </row>
    <row r="41" spans="1:75" ht="43.5" customHeight="1">
      <c r="A41" s="211" t="s">
        <v>891</v>
      </c>
      <c r="B41" s="72" t="e">
        <f>#REF!</f>
        <v>#REF!</v>
      </c>
      <c r="C41" s="73" t="str">
        <f ca="1">IF(COUNTIF(Conso!R39,"*Marginal*"),"x"," ")</f>
        <v xml:space="preserve"> </v>
      </c>
      <c r="D41" s="73" t="str">
        <f ca="1">IF(COUNTIF(Conso!R39,"*Faible*"),"x"," ")</f>
        <v xml:space="preserve"> </v>
      </c>
      <c r="E41" s="73" t="str">
        <f ca="1">IF(COUNTIF(Conso!R39,"*Modéré*"),"x"," ")</f>
        <v xml:space="preserve"> </v>
      </c>
      <c r="F41" s="73" t="str">
        <f ca="1">IF(COUNTIF(Conso!R39,"*Elevé*"),"x"," ")</f>
        <v xml:space="preserve"> </v>
      </c>
      <c r="G41" s="73" t="str">
        <f ca="1">IF(COUNTIF(Conso!R39,"*Critique*"),"x"," ")</f>
        <v xml:space="preserve"> </v>
      </c>
      <c r="H41" s="73" t="str">
        <f ca="1">IF(COUNTIF(Conso!R39,"*Catastrophique*"),"x"," ")</f>
        <v xml:space="preserve"> </v>
      </c>
      <c r="I41" s="73" t="str">
        <f ca="1">IF(COUNTIF(Conso!Q39,"*Exceptionnelle*"),"x"," ")</f>
        <v xml:space="preserve"> </v>
      </c>
      <c r="J41" s="73" t="str">
        <f ca="1">IF(COUNTIF(Conso!Q39,"*Rare*"),"x"," ")</f>
        <v xml:space="preserve"> </v>
      </c>
      <c r="K41" s="73" t="str">
        <f ca="1">IF(COUNTIF(Conso!Q39,"*Modérée*"),"x"," ")</f>
        <v xml:space="preserve"> </v>
      </c>
      <c r="L41" s="73" t="str">
        <f ca="1">IF(COUNTIF(Conso!Q39,"*Elevée*"),"x"," ")</f>
        <v xml:space="preserve"> </v>
      </c>
      <c r="M41" s="73" t="str">
        <f ca="1">IF(COUNTIF(Conso!Q39,"*Récurrente*"),"x"," ")</f>
        <v xml:space="preserve"> </v>
      </c>
      <c r="N41" s="73" t="str">
        <f ca="1">IF(COUNTIF(Conso!Q39,"*Permanente*"),"x"," ")</f>
        <v xml:space="preserve"> </v>
      </c>
      <c r="O41" s="74" t="str">
        <f t="shared" ca="1" si="13"/>
        <v xml:space="preserve"> </v>
      </c>
      <c r="P41" s="74" t="str">
        <f t="shared" ca="1" si="14"/>
        <v xml:space="preserve"> </v>
      </c>
      <c r="Q41" s="74" t="str">
        <f t="shared" ca="1" si="15"/>
        <v xml:space="preserve"> </v>
      </c>
      <c r="R41" s="74" t="str">
        <f t="shared" ca="1" si="16"/>
        <v xml:space="preserve"> </v>
      </c>
      <c r="S41" s="74" t="str">
        <f t="shared" ca="1" si="17"/>
        <v xml:space="preserve"> </v>
      </c>
      <c r="T41" s="74" t="str">
        <f t="shared" ca="1" si="18"/>
        <v xml:space="preserve"> </v>
      </c>
      <c r="U41" s="74" t="str">
        <f t="shared" ca="1" si="19"/>
        <v xml:space="preserve"> </v>
      </c>
      <c r="V41" s="74" t="str">
        <f t="shared" ca="1" si="20"/>
        <v xml:space="preserve"> </v>
      </c>
      <c r="W41" s="74" t="str">
        <f t="shared" ca="1" si="21"/>
        <v xml:space="preserve"> </v>
      </c>
      <c r="X41" s="74" t="str">
        <f t="shared" ca="1" si="22"/>
        <v xml:space="preserve"> </v>
      </c>
      <c r="Y41" s="74" t="str">
        <f t="shared" ca="1" si="23"/>
        <v xml:space="preserve"> </v>
      </c>
      <c r="Z41" s="74" t="str">
        <f t="shared" ca="1" si="24"/>
        <v xml:space="preserve"> </v>
      </c>
      <c r="AA41" s="74" t="str">
        <f t="shared" ca="1" si="25"/>
        <v xml:space="preserve"> </v>
      </c>
      <c r="AB41" s="74" t="str">
        <f t="shared" ca="1" si="26"/>
        <v xml:space="preserve"> </v>
      </c>
      <c r="AC41" s="74" t="str">
        <f t="shared" ca="1" si="27"/>
        <v xml:space="preserve"> </v>
      </c>
      <c r="AD41" s="74" t="str">
        <f t="shared" ca="1" si="28"/>
        <v xml:space="preserve"> </v>
      </c>
      <c r="AE41" s="74" t="str">
        <f t="shared" ca="1" si="29"/>
        <v xml:space="preserve"> </v>
      </c>
      <c r="AF41" s="74" t="str">
        <f t="shared" ca="1" si="30"/>
        <v xml:space="preserve"> </v>
      </c>
      <c r="AG41" s="74" t="str">
        <f t="shared" ca="1" si="31"/>
        <v xml:space="preserve"> </v>
      </c>
      <c r="AH41" s="74" t="str">
        <f t="shared" ca="1" si="32"/>
        <v xml:space="preserve"> </v>
      </c>
      <c r="AI41" s="74" t="str">
        <f t="shared" ca="1" si="33"/>
        <v xml:space="preserve"> </v>
      </c>
      <c r="AJ41" s="74" t="str">
        <f t="shared" ca="1" si="34"/>
        <v xml:space="preserve"> </v>
      </c>
      <c r="AK41" s="74" t="str">
        <f t="shared" ca="1" si="35"/>
        <v xml:space="preserve"> </v>
      </c>
      <c r="AL41" s="74" t="str">
        <f t="shared" ca="1" si="36"/>
        <v xml:space="preserve"> </v>
      </c>
      <c r="AM41" s="74" t="str">
        <f t="shared" ca="1" si="37"/>
        <v xml:space="preserve"> </v>
      </c>
      <c r="AN41" s="74" t="str">
        <f t="shared" ca="1" si="38"/>
        <v xml:space="preserve"> </v>
      </c>
      <c r="AO41" s="74" t="str">
        <f t="shared" ca="1" si="39"/>
        <v xml:space="preserve"> </v>
      </c>
      <c r="AP41" s="74" t="str">
        <f t="shared" ca="1" si="40"/>
        <v xml:space="preserve"> </v>
      </c>
      <c r="AQ41" s="74" t="str">
        <f t="shared" ca="1" si="41"/>
        <v xml:space="preserve"> </v>
      </c>
      <c r="AR41" s="74" t="str">
        <f t="shared" ca="1" si="42"/>
        <v xml:space="preserve"> </v>
      </c>
      <c r="AS41" s="74" t="str">
        <f t="shared" ca="1" si="43"/>
        <v xml:space="preserve"> </v>
      </c>
      <c r="AT41" s="74" t="str">
        <f t="shared" ca="1" si="44"/>
        <v xml:space="preserve"> </v>
      </c>
      <c r="AU41" s="74" t="str">
        <f t="shared" ca="1" si="45"/>
        <v xml:space="preserve"> </v>
      </c>
      <c r="AV41" s="74" t="str">
        <f t="shared" ca="1" si="46"/>
        <v xml:space="preserve"> </v>
      </c>
      <c r="AW41" s="74" t="str">
        <f t="shared" ca="1" si="47"/>
        <v xml:space="preserve"> </v>
      </c>
      <c r="AX41" s="74" t="str">
        <f t="shared" ca="1" si="48"/>
        <v xml:space="preserve"> </v>
      </c>
      <c r="AY41" s="75" t="str">
        <f t="shared" ca="1" si="49"/>
        <v xml:space="preserve"> </v>
      </c>
      <c r="AZ41" s="73" t="str">
        <f t="shared" ca="1" si="50"/>
        <v xml:space="preserve"> </v>
      </c>
      <c r="BA41" s="73" t="str">
        <f t="shared" ca="1" si="51"/>
        <v xml:space="preserve"> </v>
      </c>
      <c r="BB41" s="73" t="str">
        <f t="shared" ca="1" si="52"/>
        <v xml:space="preserve"> </v>
      </c>
      <c r="BC41" s="73" t="str">
        <f ca="1">IF(COUNTIF(Conso!P39,"*Insuffisant*"),"x"," ")</f>
        <v xml:space="preserve"> </v>
      </c>
      <c r="BD41" s="73" t="str">
        <f ca="1">IF(COUNTIF(Conso!P39,"*Faible*"),"x"," ")</f>
        <v xml:space="preserve"> </v>
      </c>
      <c r="BE41" s="73" t="str">
        <f ca="1">IF(COUNTIF(Conso!P39,"*Acceptable*"),"x"," ")</f>
        <v xml:space="preserve"> </v>
      </c>
      <c r="BF41" s="73" t="str">
        <f ca="1">IF(COUNTIF(Conso!P39,"*Maîtrisé*"),"x"," ")</f>
        <v xml:space="preserve"> </v>
      </c>
      <c r="BG41" s="73" t="str">
        <f t="shared" ca="1" si="53"/>
        <v xml:space="preserve"> </v>
      </c>
      <c r="BH41" s="73" t="str">
        <f t="shared" ca="1" si="54"/>
        <v xml:space="preserve"> </v>
      </c>
      <c r="BI41" s="73" t="str">
        <f t="shared" ca="1" si="55"/>
        <v xml:space="preserve"> </v>
      </c>
      <c r="BJ41" s="73" t="str">
        <f t="shared" ca="1" si="56"/>
        <v xml:space="preserve"> </v>
      </c>
      <c r="BK41" s="73" t="str">
        <f t="shared" ca="1" si="57"/>
        <v xml:space="preserve"> </v>
      </c>
      <c r="BL41" s="73" t="str">
        <f t="shared" ca="1" si="58"/>
        <v xml:space="preserve"> </v>
      </c>
      <c r="BM41" s="73" t="str">
        <f t="shared" ca="1" si="59"/>
        <v xml:space="preserve"> </v>
      </c>
      <c r="BN41" s="73" t="str">
        <f t="shared" ca="1" si="60"/>
        <v xml:space="preserve"> </v>
      </c>
      <c r="BO41" s="73" t="str">
        <f t="shared" ca="1" si="61"/>
        <v xml:space="preserve"> </v>
      </c>
      <c r="BP41" s="73" t="str">
        <f t="shared" ca="1" si="62"/>
        <v xml:space="preserve"> </v>
      </c>
      <c r="BQ41" s="73" t="str">
        <f t="shared" ca="1" si="63"/>
        <v xml:space="preserve"> </v>
      </c>
      <c r="BR41" s="73" t="str">
        <f t="shared" ca="1" si="64"/>
        <v xml:space="preserve"> </v>
      </c>
      <c r="BS41" s="73" t="str">
        <f t="shared" ca="1" si="65"/>
        <v xml:space="preserve"> </v>
      </c>
      <c r="BT41" s="73" t="str">
        <f t="shared" ca="1" si="66"/>
        <v xml:space="preserve"> </v>
      </c>
      <c r="BU41" s="73" t="str">
        <f t="shared" ca="1" si="67"/>
        <v xml:space="preserve"> </v>
      </c>
      <c r="BV41" s="73" t="str">
        <f t="shared" ca="1" si="68"/>
        <v xml:space="preserve"> </v>
      </c>
      <c r="BW41" s="72" t="s">
        <v>932</v>
      </c>
    </row>
    <row r="42" spans="1:75" ht="43.5" customHeight="1">
      <c r="A42" s="211" t="s">
        <v>892</v>
      </c>
      <c r="B42" s="72" t="e">
        <f>#REF!</f>
        <v>#REF!</v>
      </c>
      <c r="C42" s="73" t="str">
        <f ca="1">IF(COUNTIF(Conso!R40,"*Marginal*"),"x"," ")</f>
        <v xml:space="preserve"> </v>
      </c>
      <c r="D42" s="73" t="str">
        <f ca="1">IF(COUNTIF(Conso!R40,"*Faible*"),"x"," ")</f>
        <v xml:space="preserve"> </v>
      </c>
      <c r="E42" s="73" t="str">
        <f ca="1">IF(COUNTIF(Conso!R40,"*Modéré*"),"x"," ")</f>
        <v xml:space="preserve"> </v>
      </c>
      <c r="F42" s="73" t="str">
        <f ca="1">IF(COUNTIF(Conso!R40,"*Elevé*"),"x"," ")</f>
        <v xml:space="preserve"> </v>
      </c>
      <c r="G42" s="73" t="str">
        <f ca="1">IF(COUNTIF(Conso!R40,"*Critique*"),"x"," ")</f>
        <v xml:space="preserve"> </v>
      </c>
      <c r="H42" s="73" t="str">
        <f ca="1">IF(COUNTIF(Conso!R40,"*Catastrophique*"),"x"," ")</f>
        <v xml:space="preserve"> </v>
      </c>
      <c r="I42" s="73" t="str">
        <f ca="1">IF(COUNTIF(Conso!Q40,"*Exceptionnelle*"),"x"," ")</f>
        <v xml:space="preserve"> </v>
      </c>
      <c r="J42" s="73" t="str">
        <f ca="1">IF(COUNTIF(Conso!Q40,"*Rare*"),"x"," ")</f>
        <v xml:space="preserve"> </v>
      </c>
      <c r="K42" s="73" t="str">
        <f ca="1">IF(COUNTIF(Conso!Q40,"*Modérée*"),"x"," ")</f>
        <v xml:space="preserve"> </v>
      </c>
      <c r="L42" s="73" t="str">
        <f ca="1">IF(COUNTIF(Conso!Q40,"*Elevée*"),"x"," ")</f>
        <v xml:space="preserve"> </v>
      </c>
      <c r="M42" s="73" t="str">
        <f ca="1">IF(COUNTIF(Conso!Q40,"*Récurrente*"),"x"," ")</f>
        <v xml:space="preserve"> </v>
      </c>
      <c r="N42" s="73" t="str">
        <f ca="1">IF(COUNTIF(Conso!Q40,"*Permanente*"),"x"," ")</f>
        <v xml:space="preserve"> </v>
      </c>
      <c r="O42" s="74" t="str">
        <f t="shared" ca="1" si="13"/>
        <v xml:space="preserve"> </v>
      </c>
      <c r="P42" s="74" t="str">
        <f t="shared" ca="1" si="14"/>
        <v xml:space="preserve"> </v>
      </c>
      <c r="Q42" s="74" t="str">
        <f t="shared" ca="1" si="15"/>
        <v xml:space="preserve"> </v>
      </c>
      <c r="R42" s="74" t="str">
        <f t="shared" ca="1" si="16"/>
        <v xml:space="preserve"> </v>
      </c>
      <c r="S42" s="74" t="str">
        <f t="shared" ca="1" si="17"/>
        <v xml:space="preserve"> </v>
      </c>
      <c r="T42" s="74" t="str">
        <f t="shared" ca="1" si="18"/>
        <v xml:space="preserve"> </v>
      </c>
      <c r="U42" s="74" t="str">
        <f t="shared" ca="1" si="19"/>
        <v xml:space="preserve"> </v>
      </c>
      <c r="V42" s="74" t="str">
        <f t="shared" ca="1" si="20"/>
        <v xml:space="preserve"> </v>
      </c>
      <c r="W42" s="74" t="str">
        <f t="shared" ca="1" si="21"/>
        <v xml:space="preserve"> </v>
      </c>
      <c r="X42" s="74" t="str">
        <f t="shared" ca="1" si="22"/>
        <v xml:space="preserve"> </v>
      </c>
      <c r="Y42" s="74" t="str">
        <f t="shared" ca="1" si="23"/>
        <v xml:space="preserve"> </v>
      </c>
      <c r="Z42" s="74" t="str">
        <f t="shared" ca="1" si="24"/>
        <v xml:space="preserve"> </v>
      </c>
      <c r="AA42" s="74" t="str">
        <f t="shared" ca="1" si="25"/>
        <v xml:space="preserve"> </v>
      </c>
      <c r="AB42" s="74" t="str">
        <f t="shared" ca="1" si="26"/>
        <v xml:space="preserve"> </v>
      </c>
      <c r="AC42" s="74" t="str">
        <f t="shared" ca="1" si="27"/>
        <v xml:space="preserve"> </v>
      </c>
      <c r="AD42" s="74" t="str">
        <f t="shared" ca="1" si="28"/>
        <v xml:space="preserve"> </v>
      </c>
      <c r="AE42" s="74" t="str">
        <f t="shared" ca="1" si="29"/>
        <v xml:space="preserve"> </v>
      </c>
      <c r="AF42" s="74" t="str">
        <f t="shared" ca="1" si="30"/>
        <v xml:space="preserve"> </v>
      </c>
      <c r="AG42" s="74" t="str">
        <f t="shared" ca="1" si="31"/>
        <v xml:space="preserve"> </v>
      </c>
      <c r="AH42" s="74" t="str">
        <f t="shared" ca="1" si="32"/>
        <v xml:space="preserve"> </v>
      </c>
      <c r="AI42" s="74" t="str">
        <f t="shared" ca="1" si="33"/>
        <v xml:space="preserve"> </v>
      </c>
      <c r="AJ42" s="74" t="str">
        <f t="shared" ca="1" si="34"/>
        <v xml:space="preserve"> </v>
      </c>
      <c r="AK42" s="74" t="str">
        <f t="shared" ca="1" si="35"/>
        <v xml:space="preserve"> </v>
      </c>
      <c r="AL42" s="74" t="str">
        <f t="shared" ca="1" si="36"/>
        <v xml:space="preserve"> </v>
      </c>
      <c r="AM42" s="74" t="str">
        <f t="shared" ca="1" si="37"/>
        <v xml:space="preserve"> </v>
      </c>
      <c r="AN42" s="74" t="str">
        <f t="shared" ca="1" si="38"/>
        <v xml:space="preserve"> </v>
      </c>
      <c r="AO42" s="74" t="str">
        <f t="shared" ca="1" si="39"/>
        <v xml:space="preserve"> </v>
      </c>
      <c r="AP42" s="74" t="str">
        <f t="shared" ca="1" si="40"/>
        <v xml:space="preserve"> </v>
      </c>
      <c r="AQ42" s="74" t="str">
        <f t="shared" ca="1" si="41"/>
        <v xml:space="preserve"> </v>
      </c>
      <c r="AR42" s="74" t="str">
        <f t="shared" ca="1" si="42"/>
        <v xml:space="preserve"> </v>
      </c>
      <c r="AS42" s="74" t="str">
        <f t="shared" ca="1" si="43"/>
        <v xml:space="preserve"> </v>
      </c>
      <c r="AT42" s="74" t="str">
        <f t="shared" ca="1" si="44"/>
        <v xml:space="preserve"> </v>
      </c>
      <c r="AU42" s="74" t="str">
        <f t="shared" ca="1" si="45"/>
        <v xml:space="preserve"> </v>
      </c>
      <c r="AV42" s="74" t="str">
        <f t="shared" ca="1" si="46"/>
        <v xml:space="preserve"> </v>
      </c>
      <c r="AW42" s="74" t="str">
        <f t="shared" ca="1" si="47"/>
        <v xml:space="preserve"> </v>
      </c>
      <c r="AX42" s="74" t="str">
        <f t="shared" ca="1" si="48"/>
        <v xml:space="preserve"> </v>
      </c>
      <c r="AY42" s="75" t="str">
        <f t="shared" ca="1" si="49"/>
        <v xml:space="preserve"> </v>
      </c>
      <c r="AZ42" s="73" t="str">
        <f t="shared" ca="1" si="50"/>
        <v xml:space="preserve"> </v>
      </c>
      <c r="BA42" s="73" t="str">
        <f t="shared" ca="1" si="51"/>
        <v xml:space="preserve"> </v>
      </c>
      <c r="BB42" s="73" t="str">
        <f t="shared" ca="1" si="52"/>
        <v xml:space="preserve"> </v>
      </c>
      <c r="BC42" s="73" t="str">
        <f ca="1">IF(COUNTIF(Conso!P40,"*Insuffisant*"),"x"," ")</f>
        <v xml:space="preserve"> </v>
      </c>
      <c r="BD42" s="73" t="str">
        <f ca="1">IF(COUNTIF(Conso!P40,"*Faible*"),"x"," ")</f>
        <v xml:space="preserve"> </v>
      </c>
      <c r="BE42" s="73" t="str">
        <f ca="1">IF(COUNTIF(Conso!P40,"*Acceptable*"),"x"," ")</f>
        <v xml:space="preserve"> </v>
      </c>
      <c r="BF42" s="73" t="str">
        <f ca="1">IF(COUNTIF(Conso!P40,"*Maîtrisé*"),"x"," ")</f>
        <v xml:space="preserve"> </v>
      </c>
      <c r="BG42" s="73" t="str">
        <f t="shared" ca="1" si="53"/>
        <v xml:space="preserve"> </v>
      </c>
      <c r="BH42" s="73" t="str">
        <f t="shared" ca="1" si="54"/>
        <v xml:space="preserve"> </v>
      </c>
      <c r="BI42" s="73" t="str">
        <f t="shared" ca="1" si="55"/>
        <v xml:space="preserve"> </v>
      </c>
      <c r="BJ42" s="73" t="str">
        <f t="shared" ca="1" si="56"/>
        <v xml:space="preserve"> </v>
      </c>
      <c r="BK42" s="73" t="str">
        <f t="shared" ca="1" si="57"/>
        <v xml:space="preserve"> </v>
      </c>
      <c r="BL42" s="73" t="str">
        <f t="shared" ca="1" si="58"/>
        <v xml:space="preserve"> </v>
      </c>
      <c r="BM42" s="73" t="str">
        <f t="shared" ca="1" si="59"/>
        <v xml:space="preserve"> </v>
      </c>
      <c r="BN42" s="73" t="str">
        <f t="shared" ca="1" si="60"/>
        <v xml:space="preserve"> </v>
      </c>
      <c r="BO42" s="73" t="str">
        <f t="shared" ca="1" si="61"/>
        <v xml:space="preserve"> </v>
      </c>
      <c r="BP42" s="73" t="str">
        <f t="shared" ca="1" si="62"/>
        <v xml:space="preserve"> </v>
      </c>
      <c r="BQ42" s="73" t="str">
        <f t="shared" ca="1" si="63"/>
        <v xml:space="preserve"> </v>
      </c>
      <c r="BR42" s="73" t="str">
        <f t="shared" ca="1" si="64"/>
        <v xml:space="preserve"> </v>
      </c>
      <c r="BS42" s="73" t="str">
        <f t="shared" ca="1" si="65"/>
        <v xml:space="preserve"> </v>
      </c>
      <c r="BT42" s="73" t="str">
        <f t="shared" ca="1" si="66"/>
        <v xml:space="preserve"> </v>
      </c>
      <c r="BU42" s="73" t="str">
        <f t="shared" ca="1" si="67"/>
        <v xml:space="preserve"> </v>
      </c>
      <c r="BV42" s="73" t="str">
        <f t="shared" ca="1" si="68"/>
        <v xml:space="preserve"> </v>
      </c>
      <c r="BW42" s="72" t="s">
        <v>933</v>
      </c>
    </row>
    <row r="63" ht="11.25" customHeight="1"/>
  </sheetData>
  <sheetProtection password="EEE6" sheet="1" objects="1" scenarios="1"/>
  <autoFilter ref="A1:BW40">
    <filterColumn colId="2" showButton="0"/>
    <filterColumn colId="3" showButton="0"/>
    <filterColumn colId="4" showButton="0"/>
    <filterColumn colId="5" showButton="0"/>
    <filterColumn colId="6" showButton="0"/>
    <filterColumn colId="8" showButton="0"/>
    <filterColumn colId="9" showButton="0"/>
    <filterColumn colId="10" showButton="0"/>
    <filterColumn colId="11" showButton="0"/>
    <filterColumn colId="12" showButton="0"/>
    <filterColumn colId="14" showButton="0"/>
    <filterColumn colId="15" showButton="0"/>
    <filterColumn colId="16" showButton="0"/>
    <filterColumn colId="17" showButton="0"/>
    <filterColumn colId="18" showButton="0"/>
    <filterColumn colId="20" showButton="0"/>
    <filterColumn colId="21" showButton="0"/>
    <filterColumn colId="22" showButton="0"/>
    <filterColumn colId="23" showButton="0"/>
    <filterColumn colId="24" showButton="0"/>
    <filterColumn colId="26" showButton="0"/>
    <filterColumn colId="27" showButton="0"/>
    <filterColumn colId="28" showButton="0"/>
    <filterColumn colId="29" showButton="0"/>
    <filterColumn colId="30" showButton="0"/>
    <filterColumn colId="32" showButton="0"/>
    <filterColumn colId="33" showButton="0"/>
    <filterColumn colId="34" showButton="0"/>
    <filterColumn colId="35" showButton="0"/>
    <filterColumn colId="36" showButton="0"/>
    <filterColumn colId="38" showButton="0"/>
    <filterColumn colId="39" showButton="0"/>
    <filterColumn colId="40" showButton="0"/>
    <filterColumn colId="41" showButton="0"/>
    <filterColumn colId="42" showButton="0"/>
    <filterColumn colId="44" showButton="0"/>
    <filterColumn colId="45" showButton="0"/>
    <filterColumn colId="46" showButton="0"/>
    <filterColumn colId="47" showButton="0"/>
    <filterColumn colId="48" showButton="0"/>
    <filterColumn colId="50"/>
    <filterColumn colId="51"/>
    <filterColumn colId="52"/>
    <filterColumn colId="53"/>
    <filterColumn colId="61"/>
    <filterColumn colId="62"/>
    <filterColumn colId="64"/>
    <filterColumn colId="65"/>
    <filterColumn colId="68"/>
    <filterColumn colId="70"/>
    <filterColumn colId="71"/>
    <filterColumn colId="72"/>
  </autoFilter>
  <mergeCells count="14">
    <mergeCell ref="U1:V1"/>
    <mergeCell ref="A1:A2"/>
    <mergeCell ref="B1:B2"/>
    <mergeCell ref="C1:H1"/>
    <mergeCell ref="I1:N1"/>
    <mergeCell ref="O1:Q1"/>
    <mergeCell ref="BT1:BV1"/>
    <mergeCell ref="BW1:BW2"/>
    <mergeCell ref="AS1:AX1"/>
    <mergeCell ref="AY1:BB1"/>
    <mergeCell ref="BG1:BH1"/>
    <mergeCell ref="BI1:BK1"/>
    <mergeCell ref="BO1:BQ1"/>
    <mergeCell ref="BR1:BS1"/>
  </mergeCells>
  <pageMargins left="0.27" right="0.5" top="0.5" bottom="0.39" header="0.33" footer="0.21"/>
  <pageSetup paperSize="9" scale="38" orientation="landscape" r:id="rId1"/>
  <headerFooter alignWithMargins="0">
    <oddHeader>&amp;R&amp;"Arial,Italique"&amp;8&amp;D</oddHeader>
  </headerFooter>
</worksheet>
</file>

<file path=xl/worksheets/sheet8.xml><?xml version="1.0" encoding="utf-8"?>
<worksheet xmlns="http://schemas.openxmlformats.org/spreadsheetml/2006/main" xmlns:r="http://schemas.openxmlformats.org/officeDocument/2006/relationships">
  <sheetPr codeName="Feuil9">
    <tabColor rgb="FFFF0000"/>
  </sheetPr>
  <dimension ref="A1:C24"/>
  <sheetViews>
    <sheetView showGridLines="0" zoomScaleNormal="100" workbookViewId="0">
      <selection activeCell="G32" sqref="G32"/>
    </sheetView>
  </sheetViews>
  <sheetFormatPr baseColWidth="10" defaultColWidth="11.5703125" defaultRowHeight="12.75"/>
  <cols>
    <col min="1" max="1" width="13" style="110" customWidth="1"/>
    <col min="2" max="16384" width="11.5703125" style="110"/>
  </cols>
  <sheetData>
    <row r="1" spans="1:3" ht="16.149999999999999" customHeight="1">
      <c r="A1" s="108" t="s">
        <v>316</v>
      </c>
      <c r="B1" s="109" t="s">
        <v>317</v>
      </c>
    </row>
    <row r="2" spans="1:3" ht="16.149999999999999" customHeight="1">
      <c r="B2" s="110" t="s">
        <v>318</v>
      </c>
    </row>
    <row r="3" spans="1:3" ht="16.149999999999999" customHeight="1"/>
    <row r="4" spans="1:3" ht="16.149999999999999" customHeight="1"/>
    <row r="5" spans="1:3" ht="16.149999999999999" customHeight="1">
      <c r="A5" s="111" t="s">
        <v>319</v>
      </c>
      <c r="B5" s="110" t="s">
        <v>320</v>
      </c>
    </row>
    <row r="6" spans="1:3" ht="16.149999999999999" customHeight="1">
      <c r="B6" s="110" t="s">
        <v>321</v>
      </c>
    </row>
    <row r="7" spans="1:3" ht="16.149999999999999" customHeight="1"/>
    <row r="8" spans="1:3" ht="16.149999999999999" customHeight="1">
      <c r="B8" s="112"/>
      <c r="C8" s="110" t="s">
        <v>322</v>
      </c>
    </row>
    <row r="9" spans="1:3" ht="16.149999999999999" customHeight="1"/>
    <row r="10" spans="1:3" ht="16.149999999999999" customHeight="1">
      <c r="B10" s="113"/>
      <c r="C10" s="110" t="s">
        <v>323</v>
      </c>
    </row>
    <row r="11" spans="1:3" ht="16.149999999999999" customHeight="1">
      <c r="C11" s="110" t="s">
        <v>324</v>
      </c>
    </row>
    <row r="12" spans="1:3" ht="16.149999999999999" customHeight="1"/>
    <row r="13" spans="1:3" ht="16.149999999999999" customHeight="1">
      <c r="B13" s="114"/>
      <c r="C13" s="110" t="s">
        <v>325</v>
      </c>
    </row>
    <row r="14" spans="1:3" ht="16.149999999999999" customHeight="1"/>
    <row r="15" spans="1:3" ht="16.149999999999999" customHeight="1">
      <c r="B15" s="115"/>
      <c r="C15" s="110" t="s">
        <v>326</v>
      </c>
    </row>
    <row r="16" spans="1:3" ht="16.149999999999999" customHeight="1">
      <c r="C16" s="110" t="s">
        <v>327</v>
      </c>
    </row>
    <row r="17" spans="1:2" ht="16.149999999999999" customHeight="1"/>
    <row r="18" spans="1:2" ht="16.149999999999999" customHeight="1">
      <c r="A18" s="116" t="s">
        <v>328</v>
      </c>
      <c r="B18" s="110" t="s">
        <v>329</v>
      </c>
    </row>
    <row r="19" spans="1:2" ht="16.149999999999999" customHeight="1">
      <c r="B19" s="110" t="s">
        <v>330</v>
      </c>
    </row>
    <row r="20" spans="1:2" ht="16.149999999999999" customHeight="1"/>
    <row r="21" spans="1:2" ht="16.149999999999999" customHeight="1"/>
    <row r="22" spans="1:2" ht="16.149999999999999" customHeight="1">
      <c r="A22" s="117" t="s">
        <v>331</v>
      </c>
      <c r="B22" s="110" t="s">
        <v>332</v>
      </c>
    </row>
    <row r="23" spans="1:2" ht="16.149999999999999" customHeight="1"/>
    <row r="24" spans="1:2" ht="16.149999999999999" customHeight="1"/>
  </sheetData>
  <sheetProtection password="EEE6" sheet="1" objects="1" scenarios="1"/>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sheetPr codeName="Feuil10">
    <tabColor theme="9" tint="-0.499984740745262"/>
  </sheetPr>
  <dimension ref="A3:I222"/>
  <sheetViews>
    <sheetView showGridLines="0" zoomScaleNormal="100" workbookViewId="0">
      <selection activeCell="G32" sqref="G32"/>
    </sheetView>
  </sheetViews>
  <sheetFormatPr baseColWidth="10" defaultRowHeight="15"/>
  <cols>
    <col min="1" max="1" width="10.7109375" style="96" customWidth="1"/>
    <col min="2" max="8" width="18.28515625" style="96" customWidth="1"/>
    <col min="9" max="9" width="15.7109375" style="96" customWidth="1"/>
    <col min="10" max="16384" width="11.42578125" style="96"/>
  </cols>
  <sheetData>
    <row r="3" spans="2:9" ht="33.75">
      <c r="B3" s="306" t="s">
        <v>333</v>
      </c>
      <c r="C3" s="306"/>
      <c r="D3" s="306"/>
      <c r="E3" s="306"/>
      <c r="F3" s="306"/>
      <c r="G3" s="306"/>
      <c r="H3" s="306"/>
      <c r="I3" s="118"/>
    </row>
    <row r="4" spans="2:9">
      <c r="D4" s="119"/>
      <c r="E4" s="119"/>
      <c r="F4" s="119"/>
      <c r="G4" s="119"/>
      <c r="H4" s="119"/>
      <c r="I4" s="119"/>
    </row>
    <row r="5" spans="2:9">
      <c r="D5" s="119"/>
      <c r="E5" s="119"/>
      <c r="F5" s="119"/>
      <c r="G5" s="119"/>
      <c r="H5" s="119"/>
      <c r="I5" s="119"/>
    </row>
    <row r="6" spans="2:9" ht="33.75">
      <c r="B6" s="306" t="s">
        <v>334</v>
      </c>
      <c r="C6" s="306"/>
      <c r="D6" s="306"/>
      <c r="E6" s="306"/>
      <c r="F6" s="306"/>
      <c r="G6" s="306"/>
      <c r="H6" s="306"/>
      <c r="I6" s="118"/>
    </row>
    <row r="7" spans="2:9">
      <c r="D7" s="119"/>
      <c r="E7" s="119"/>
      <c r="F7" s="119"/>
      <c r="G7" s="119"/>
      <c r="H7" s="119"/>
      <c r="I7" s="119"/>
    </row>
    <row r="8" spans="2:9">
      <c r="D8" s="119"/>
      <c r="E8" s="119"/>
      <c r="F8" s="119"/>
      <c r="G8" s="119"/>
      <c r="H8" s="119"/>
      <c r="I8" s="119"/>
    </row>
    <row r="9" spans="2:9" ht="33.75">
      <c r="B9" s="306" t="s">
        <v>335</v>
      </c>
      <c r="C9" s="306"/>
      <c r="D9" s="306"/>
      <c r="E9" s="306"/>
      <c r="F9" s="306"/>
      <c r="G9" s="306"/>
      <c r="H9" s="306"/>
      <c r="I9" s="118"/>
    </row>
    <row r="20" spans="2:9" ht="15.75" thickBot="1"/>
    <row r="21" spans="2:9" ht="14.45" customHeight="1">
      <c r="B21" s="307" t="s">
        <v>336</v>
      </c>
      <c r="C21" s="308"/>
      <c r="D21" s="308"/>
      <c r="E21" s="308"/>
      <c r="F21" s="308"/>
      <c r="G21" s="308"/>
      <c r="H21" s="309"/>
      <c r="I21" s="313" t="s">
        <v>337</v>
      </c>
    </row>
    <row r="22" spans="2:9">
      <c r="B22" s="310"/>
      <c r="C22" s="311"/>
      <c r="D22" s="311"/>
      <c r="E22" s="311"/>
      <c r="F22" s="311"/>
      <c r="G22" s="311"/>
      <c r="H22" s="312"/>
      <c r="I22" s="313"/>
    </row>
    <row r="23" spans="2:9">
      <c r="B23" s="120"/>
      <c r="C23" s="121"/>
      <c r="D23" s="121"/>
      <c r="E23" s="121"/>
      <c r="F23" s="122"/>
      <c r="G23" s="122"/>
      <c r="H23" s="123"/>
      <c r="I23" s="313"/>
    </row>
    <row r="24" spans="2:9">
      <c r="B24" s="124"/>
      <c r="C24" s="314" t="s">
        <v>338</v>
      </c>
      <c r="D24" s="314"/>
      <c r="E24" s="314"/>
      <c r="F24" s="314"/>
      <c r="G24" s="314"/>
      <c r="H24" s="315"/>
      <c r="I24" s="313"/>
    </row>
    <row r="25" spans="2:9">
      <c r="B25" s="125"/>
      <c r="C25" s="316" t="s">
        <v>8</v>
      </c>
      <c r="D25" s="318" t="s">
        <v>9</v>
      </c>
      <c r="E25" s="320" t="s">
        <v>10</v>
      </c>
      <c r="F25" s="322" t="s">
        <v>339</v>
      </c>
      <c r="G25" s="324" t="s">
        <v>12</v>
      </c>
      <c r="H25" s="326" t="s">
        <v>19</v>
      </c>
      <c r="I25" s="313"/>
    </row>
    <row r="26" spans="2:9" ht="15.75" thickBot="1">
      <c r="B26" s="126"/>
      <c r="C26" s="317"/>
      <c r="D26" s="319"/>
      <c r="E26" s="321"/>
      <c r="F26" s="323"/>
      <c r="G26" s="325"/>
      <c r="H26" s="327"/>
      <c r="I26" s="313"/>
    </row>
    <row r="27" spans="2:9" ht="72">
      <c r="B27" s="328" t="s">
        <v>78</v>
      </c>
      <c r="C27" s="127" t="s">
        <v>340</v>
      </c>
      <c r="D27" s="127" t="s">
        <v>341</v>
      </c>
      <c r="E27" s="128" t="s">
        <v>342</v>
      </c>
      <c r="F27" s="128" t="s">
        <v>343</v>
      </c>
      <c r="G27" s="127" t="s">
        <v>344</v>
      </c>
      <c r="H27" s="129" t="s">
        <v>345</v>
      </c>
      <c r="I27" s="313"/>
    </row>
    <row r="28" spans="2:9" ht="24">
      <c r="B28" s="329"/>
      <c r="C28" s="130" t="s">
        <v>346</v>
      </c>
      <c r="D28" s="130" t="s">
        <v>347</v>
      </c>
      <c r="E28" s="131" t="s">
        <v>348</v>
      </c>
      <c r="F28" s="131" t="s">
        <v>349</v>
      </c>
      <c r="G28" s="130" t="s">
        <v>350</v>
      </c>
      <c r="H28" s="132" t="s">
        <v>351</v>
      </c>
      <c r="I28" s="313"/>
    </row>
    <row r="29" spans="2:9" ht="36">
      <c r="B29" s="329"/>
      <c r="C29" s="130" t="s">
        <v>352</v>
      </c>
      <c r="D29" s="130" t="s">
        <v>353</v>
      </c>
      <c r="E29" s="131" t="s">
        <v>354</v>
      </c>
      <c r="F29" s="131" t="s">
        <v>355</v>
      </c>
      <c r="G29" s="130" t="s">
        <v>356</v>
      </c>
      <c r="H29" s="132" t="s">
        <v>357</v>
      </c>
      <c r="I29" s="313"/>
    </row>
    <row r="30" spans="2:9">
      <c r="B30" s="329"/>
      <c r="C30" s="133" t="s">
        <v>358</v>
      </c>
      <c r="D30" s="133" t="s">
        <v>359</v>
      </c>
      <c r="E30" s="134" t="s">
        <v>360</v>
      </c>
      <c r="F30" s="134" t="s">
        <v>361</v>
      </c>
      <c r="G30" s="133" t="s">
        <v>362</v>
      </c>
      <c r="H30" s="135" t="s">
        <v>363</v>
      </c>
      <c r="I30" s="313"/>
    </row>
    <row r="31" spans="2:9" ht="24">
      <c r="B31" s="329"/>
      <c r="C31" s="136" t="s">
        <v>364</v>
      </c>
      <c r="D31" s="136" t="s">
        <v>365</v>
      </c>
      <c r="E31" s="137" t="s">
        <v>366</v>
      </c>
      <c r="F31" s="137" t="s">
        <v>367</v>
      </c>
      <c r="G31" s="137" t="s">
        <v>368</v>
      </c>
      <c r="H31" s="138" t="s">
        <v>369</v>
      </c>
      <c r="I31" s="313"/>
    </row>
    <row r="32" spans="2:9" ht="24.75" thickBot="1">
      <c r="B32" s="329"/>
      <c r="C32" s="136" t="s">
        <v>370</v>
      </c>
      <c r="D32" s="136" t="s">
        <v>371</v>
      </c>
      <c r="E32" s="136" t="s">
        <v>372</v>
      </c>
      <c r="F32" s="136" t="s">
        <v>373</v>
      </c>
      <c r="G32" s="136" t="s">
        <v>374</v>
      </c>
      <c r="H32" s="139" t="s">
        <v>375</v>
      </c>
      <c r="I32" s="313"/>
    </row>
    <row r="33" spans="2:9" ht="36">
      <c r="B33" s="328" t="s">
        <v>376</v>
      </c>
      <c r="C33" s="140" t="s">
        <v>377</v>
      </c>
      <c r="D33" s="140" t="s">
        <v>378</v>
      </c>
      <c r="E33" s="141" t="s">
        <v>379</v>
      </c>
      <c r="F33" s="141" t="s">
        <v>380</v>
      </c>
      <c r="G33" s="140" t="s">
        <v>381</v>
      </c>
      <c r="H33" s="142" t="s">
        <v>382</v>
      </c>
      <c r="I33" s="313"/>
    </row>
    <row r="34" spans="2:9" ht="72">
      <c r="B34" s="329"/>
      <c r="C34" s="143" t="s">
        <v>383</v>
      </c>
      <c r="D34" s="143" t="s">
        <v>384</v>
      </c>
      <c r="E34" s="131" t="s">
        <v>385</v>
      </c>
      <c r="F34" s="131" t="s">
        <v>386</v>
      </c>
      <c r="G34" s="143" t="s">
        <v>387</v>
      </c>
      <c r="H34" s="138" t="s">
        <v>388</v>
      </c>
      <c r="I34" s="313"/>
    </row>
    <row r="35" spans="2:9" ht="36">
      <c r="B35" s="329"/>
      <c r="C35" s="144" t="s">
        <v>389</v>
      </c>
      <c r="D35" s="144" t="s">
        <v>390</v>
      </c>
      <c r="E35" s="131" t="s">
        <v>391</v>
      </c>
      <c r="F35" s="131" t="s">
        <v>392</v>
      </c>
      <c r="G35" s="144" t="s">
        <v>393</v>
      </c>
      <c r="H35" s="145" t="s">
        <v>394</v>
      </c>
      <c r="I35" s="313"/>
    </row>
    <row r="36" spans="2:9" ht="36">
      <c r="B36" s="329"/>
      <c r="C36" s="144" t="s">
        <v>395</v>
      </c>
      <c r="D36" s="144" t="s">
        <v>396</v>
      </c>
      <c r="E36" s="131" t="s">
        <v>397</v>
      </c>
      <c r="F36" s="131" t="s">
        <v>398</v>
      </c>
      <c r="G36" s="144" t="s">
        <v>399</v>
      </c>
      <c r="H36" s="145" t="s">
        <v>400</v>
      </c>
      <c r="I36" s="313"/>
    </row>
    <row r="37" spans="2:9" ht="72.75" thickBot="1">
      <c r="B37" s="330"/>
      <c r="C37" s="146" t="s">
        <v>401</v>
      </c>
      <c r="D37" s="146" t="s">
        <v>402</v>
      </c>
      <c r="E37" s="147" t="s">
        <v>403</v>
      </c>
      <c r="F37" s="147" t="s">
        <v>404</v>
      </c>
      <c r="G37" s="148" t="s">
        <v>405</v>
      </c>
      <c r="H37" s="139" t="s">
        <v>406</v>
      </c>
      <c r="I37" s="313"/>
    </row>
    <row r="38" spans="2:9" ht="84">
      <c r="B38" s="331" t="s">
        <v>407</v>
      </c>
      <c r="C38" s="140" t="s">
        <v>408</v>
      </c>
      <c r="D38" s="140" t="s">
        <v>409</v>
      </c>
      <c r="E38" s="140" t="s">
        <v>410</v>
      </c>
      <c r="F38" s="141" t="s">
        <v>411</v>
      </c>
      <c r="G38" s="334" t="s">
        <v>412</v>
      </c>
      <c r="H38" s="337" t="s">
        <v>413</v>
      </c>
      <c r="I38" s="313"/>
    </row>
    <row r="39" spans="2:9">
      <c r="B39" s="332"/>
      <c r="C39" s="340" t="s">
        <v>414</v>
      </c>
      <c r="D39" s="340" t="s">
        <v>415</v>
      </c>
      <c r="E39" s="340" t="s">
        <v>416</v>
      </c>
      <c r="F39" s="340" t="s">
        <v>417</v>
      </c>
      <c r="G39" s="335"/>
      <c r="H39" s="338"/>
      <c r="I39" s="313"/>
    </row>
    <row r="40" spans="2:9" ht="51.6" customHeight="1" thickBot="1">
      <c r="B40" s="333"/>
      <c r="C40" s="341"/>
      <c r="D40" s="341"/>
      <c r="E40" s="341"/>
      <c r="F40" s="341"/>
      <c r="G40" s="336"/>
      <c r="H40" s="339"/>
      <c r="I40" s="313"/>
    </row>
    <row r="41" spans="2:9" ht="60">
      <c r="B41" s="328" t="s">
        <v>418</v>
      </c>
      <c r="C41" s="342" t="s">
        <v>419</v>
      </c>
      <c r="D41" s="140" t="s">
        <v>420</v>
      </c>
      <c r="E41" s="140" t="s">
        <v>421</v>
      </c>
      <c r="F41" s="140" t="s">
        <v>422</v>
      </c>
      <c r="G41" s="140" t="s">
        <v>423</v>
      </c>
      <c r="H41" s="337" t="s">
        <v>424</v>
      </c>
      <c r="I41" s="313"/>
    </row>
    <row r="42" spans="2:9" ht="60">
      <c r="B42" s="329"/>
      <c r="C42" s="343"/>
      <c r="D42" s="340" t="s">
        <v>425</v>
      </c>
      <c r="E42" s="340" t="s">
        <v>426</v>
      </c>
      <c r="F42" s="340" t="s">
        <v>427</v>
      </c>
      <c r="G42" s="144" t="s">
        <v>428</v>
      </c>
      <c r="H42" s="338"/>
      <c r="I42" s="313"/>
    </row>
    <row r="43" spans="2:9" ht="24">
      <c r="B43" s="329"/>
      <c r="C43" s="343"/>
      <c r="D43" s="343"/>
      <c r="E43" s="343"/>
      <c r="F43" s="344"/>
      <c r="G43" s="144" t="s">
        <v>429</v>
      </c>
      <c r="H43" s="338"/>
      <c r="I43" s="313"/>
    </row>
    <row r="44" spans="2:9" ht="60.75" thickBot="1">
      <c r="B44" s="330"/>
      <c r="C44" s="341"/>
      <c r="D44" s="341"/>
      <c r="E44" s="341"/>
      <c r="F44" s="146" t="s">
        <v>430</v>
      </c>
      <c r="G44" s="146" t="s">
        <v>431</v>
      </c>
      <c r="H44" s="339"/>
      <c r="I44" s="313"/>
    </row>
    <row r="45" spans="2:9">
      <c r="B45" s="149"/>
      <c r="C45" s="141"/>
      <c r="D45" s="141"/>
      <c r="E45" s="141"/>
      <c r="F45" s="141"/>
      <c r="G45" s="141"/>
      <c r="H45" s="142"/>
      <c r="I45" s="313"/>
    </row>
    <row r="46" spans="2:9" ht="24">
      <c r="B46" s="150"/>
      <c r="C46" s="151" t="s">
        <v>432</v>
      </c>
      <c r="D46" s="152" t="s">
        <v>433</v>
      </c>
      <c r="E46" s="153" t="s">
        <v>434</v>
      </c>
      <c r="F46" s="154" t="s">
        <v>435</v>
      </c>
      <c r="G46" s="155" t="s">
        <v>436</v>
      </c>
      <c r="H46" s="156" t="s">
        <v>437</v>
      </c>
      <c r="I46" s="313"/>
    </row>
    <row r="47" spans="2:9" ht="211.9" customHeight="1">
      <c r="B47" s="157" t="s">
        <v>438</v>
      </c>
      <c r="C47" s="158" t="s">
        <v>439</v>
      </c>
      <c r="D47" s="158" t="s">
        <v>440</v>
      </c>
      <c r="E47" s="158" t="s">
        <v>441</v>
      </c>
      <c r="F47" s="158" t="s">
        <v>442</v>
      </c>
      <c r="G47" s="158" t="s">
        <v>443</v>
      </c>
      <c r="H47" s="159" t="s">
        <v>444</v>
      </c>
      <c r="I47" s="313"/>
    </row>
    <row r="48" spans="2:9" ht="37.15" customHeight="1">
      <c r="B48" s="346" t="s">
        <v>445</v>
      </c>
      <c r="C48" s="346"/>
      <c r="D48" s="346"/>
      <c r="E48" s="346"/>
      <c r="F48" s="346"/>
      <c r="G48" s="346"/>
      <c r="H48" s="346"/>
      <c r="I48" s="346"/>
    </row>
    <row r="53" spans="1:9" ht="3" customHeight="1"/>
    <row r="54" spans="1:9" s="160" customFormat="1" ht="37.9" customHeight="1">
      <c r="A54" s="347" t="s">
        <v>446</v>
      </c>
      <c r="B54" s="347"/>
      <c r="C54" s="347"/>
      <c r="D54" s="347" t="s">
        <v>447</v>
      </c>
      <c r="E54" s="347"/>
      <c r="F54" s="347" t="s">
        <v>448</v>
      </c>
      <c r="G54" s="347"/>
      <c r="H54" s="348"/>
      <c r="I54" s="313" t="s">
        <v>449</v>
      </c>
    </row>
    <row r="55" spans="1:9" ht="16.899999999999999" customHeight="1">
      <c r="A55" s="161" t="s">
        <v>450</v>
      </c>
      <c r="B55" s="161"/>
      <c r="C55" s="161"/>
      <c r="D55" s="161" t="s">
        <v>451</v>
      </c>
      <c r="E55" s="161"/>
      <c r="F55" s="161" t="s">
        <v>452</v>
      </c>
      <c r="G55" s="161"/>
      <c r="H55" s="161"/>
      <c r="I55" s="313"/>
    </row>
    <row r="56" spans="1:9" ht="16.899999999999999" customHeight="1">
      <c r="A56" s="161" t="s">
        <v>450</v>
      </c>
      <c r="B56" s="161"/>
      <c r="C56" s="161"/>
      <c r="D56" s="161" t="s">
        <v>453</v>
      </c>
      <c r="E56" s="161"/>
      <c r="F56" s="161" t="s">
        <v>454</v>
      </c>
      <c r="G56" s="161"/>
      <c r="H56" s="161"/>
      <c r="I56" s="313"/>
    </row>
    <row r="57" spans="1:9" ht="16.899999999999999" customHeight="1">
      <c r="A57" s="161" t="s">
        <v>450</v>
      </c>
      <c r="B57" s="161"/>
      <c r="C57" s="161"/>
      <c r="D57" s="161" t="s">
        <v>453</v>
      </c>
      <c r="E57" s="161"/>
      <c r="F57" s="161" t="s">
        <v>455</v>
      </c>
      <c r="G57" s="161"/>
      <c r="H57" s="161"/>
      <c r="I57" s="313"/>
    </row>
    <row r="58" spans="1:9" ht="16.899999999999999" customHeight="1">
      <c r="A58" s="161" t="s">
        <v>450</v>
      </c>
      <c r="B58" s="161"/>
      <c r="C58" s="161"/>
      <c r="D58" s="161" t="s">
        <v>456</v>
      </c>
      <c r="E58" s="161"/>
      <c r="F58" s="161" t="s">
        <v>457</v>
      </c>
      <c r="G58" s="161"/>
      <c r="H58" s="161"/>
      <c r="I58" s="313"/>
    </row>
    <row r="59" spans="1:9" ht="16.899999999999999" customHeight="1">
      <c r="A59" s="161" t="s">
        <v>450</v>
      </c>
      <c r="B59" s="161"/>
      <c r="C59" s="161"/>
      <c r="D59" s="161" t="s">
        <v>456</v>
      </c>
      <c r="E59" s="161"/>
      <c r="F59" s="161" t="s">
        <v>458</v>
      </c>
      <c r="G59" s="161"/>
      <c r="H59" s="161"/>
      <c r="I59" s="313"/>
    </row>
    <row r="60" spans="1:9" ht="16.899999999999999" customHeight="1">
      <c r="A60" s="161" t="s">
        <v>450</v>
      </c>
      <c r="B60" s="161"/>
      <c r="C60" s="161"/>
      <c r="D60" s="161" t="s">
        <v>456</v>
      </c>
      <c r="E60" s="161"/>
      <c r="F60" s="161" t="s">
        <v>459</v>
      </c>
      <c r="G60" s="161"/>
      <c r="H60" s="161"/>
      <c r="I60" s="313"/>
    </row>
    <row r="61" spans="1:9" ht="16.899999999999999" customHeight="1">
      <c r="A61" s="161" t="s">
        <v>450</v>
      </c>
      <c r="B61" s="161"/>
      <c r="C61" s="161"/>
      <c r="D61" s="161" t="s">
        <v>460</v>
      </c>
      <c r="E61" s="161"/>
      <c r="F61" s="161" t="s">
        <v>461</v>
      </c>
      <c r="G61" s="161"/>
      <c r="H61" s="161"/>
      <c r="I61" s="313"/>
    </row>
    <row r="62" spans="1:9" ht="16.899999999999999" customHeight="1">
      <c r="A62" s="161" t="s">
        <v>450</v>
      </c>
      <c r="B62" s="161"/>
      <c r="C62" s="161"/>
      <c r="D62" s="161" t="s">
        <v>462</v>
      </c>
      <c r="E62" s="161"/>
      <c r="F62" s="161" t="s">
        <v>463</v>
      </c>
      <c r="G62" s="161"/>
      <c r="H62" s="161"/>
      <c r="I62" s="313"/>
    </row>
    <row r="63" spans="1:9" ht="16.899999999999999" customHeight="1">
      <c r="A63" s="161" t="s">
        <v>450</v>
      </c>
      <c r="B63" s="161"/>
      <c r="C63" s="161"/>
      <c r="D63" s="161" t="s">
        <v>462</v>
      </c>
      <c r="E63" s="161"/>
      <c r="F63" s="161" t="s">
        <v>464</v>
      </c>
      <c r="G63" s="161"/>
      <c r="H63" s="161"/>
      <c r="I63" s="313"/>
    </row>
    <row r="64" spans="1:9" ht="16.899999999999999" customHeight="1">
      <c r="A64" s="161" t="s">
        <v>465</v>
      </c>
      <c r="B64" s="161"/>
      <c r="C64" s="161"/>
      <c r="D64" s="161" t="s">
        <v>466</v>
      </c>
      <c r="E64" s="161"/>
      <c r="F64" s="161" t="s">
        <v>467</v>
      </c>
      <c r="G64" s="161"/>
      <c r="H64" s="161"/>
      <c r="I64" s="313"/>
    </row>
    <row r="65" spans="1:9" ht="16.899999999999999" customHeight="1">
      <c r="A65" s="161" t="s">
        <v>465</v>
      </c>
      <c r="B65" s="161"/>
      <c r="C65" s="161"/>
      <c r="D65" s="161" t="s">
        <v>468</v>
      </c>
      <c r="E65" s="161"/>
      <c r="F65" s="161" t="s">
        <v>469</v>
      </c>
      <c r="G65" s="161"/>
      <c r="H65" s="161"/>
      <c r="I65" s="313"/>
    </row>
    <row r="66" spans="1:9" ht="16.899999999999999" customHeight="1">
      <c r="A66" s="161" t="s">
        <v>465</v>
      </c>
      <c r="B66" s="161"/>
      <c r="C66" s="161"/>
      <c r="D66" s="161" t="s">
        <v>470</v>
      </c>
      <c r="E66" s="161"/>
      <c r="F66" s="161" t="s">
        <v>471</v>
      </c>
      <c r="G66" s="161"/>
      <c r="H66" s="161"/>
      <c r="I66" s="313"/>
    </row>
    <row r="67" spans="1:9" ht="16.899999999999999" customHeight="1">
      <c r="A67" s="161" t="s">
        <v>465</v>
      </c>
      <c r="B67" s="161"/>
      <c r="C67" s="161"/>
      <c r="D67" s="161" t="s">
        <v>472</v>
      </c>
      <c r="E67" s="161"/>
      <c r="F67" s="161" t="s">
        <v>473</v>
      </c>
      <c r="G67" s="161"/>
      <c r="H67" s="161"/>
      <c r="I67" s="313"/>
    </row>
    <row r="68" spans="1:9" ht="16.899999999999999" customHeight="1">
      <c r="A68" s="161" t="s">
        <v>465</v>
      </c>
      <c r="B68" s="161"/>
      <c r="C68" s="161"/>
      <c r="D68" s="161" t="s">
        <v>472</v>
      </c>
      <c r="E68" s="161"/>
      <c r="F68" s="161" t="s">
        <v>474</v>
      </c>
      <c r="G68" s="161"/>
      <c r="H68" s="161"/>
      <c r="I68" s="313"/>
    </row>
    <row r="69" spans="1:9" ht="16.899999999999999" customHeight="1">
      <c r="A69" s="161" t="s">
        <v>465</v>
      </c>
      <c r="B69" s="161"/>
      <c r="C69" s="161"/>
      <c r="D69" s="161" t="s">
        <v>472</v>
      </c>
      <c r="E69" s="161"/>
      <c r="F69" s="161" t="s">
        <v>475</v>
      </c>
      <c r="G69" s="161"/>
      <c r="H69" s="161"/>
      <c r="I69" s="313"/>
    </row>
    <row r="70" spans="1:9" ht="16.899999999999999" customHeight="1">
      <c r="A70" s="161" t="s">
        <v>476</v>
      </c>
      <c r="B70" s="161"/>
      <c r="C70" s="161"/>
      <c r="D70" s="161" t="s">
        <v>477</v>
      </c>
      <c r="E70" s="161"/>
      <c r="F70" s="161" t="s">
        <v>478</v>
      </c>
      <c r="G70" s="161"/>
      <c r="H70" s="161"/>
      <c r="I70" s="313"/>
    </row>
    <row r="71" spans="1:9" ht="16.899999999999999" customHeight="1">
      <c r="A71" s="161" t="s">
        <v>476</v>
      </c>
      <c r="B71" s="161"/>
      <c r="C71" s="161"/>
      <c r="D71" s="161" t="s">
        <v>477</v>
      </c>
      <c r="E71" s="161"/>
      <c r="F71" s="161" t="s">
        <v>479</v>
      </c>
      <c r="G71" s="161"/>
      <c r="H71" s="161"/>
      <c r="I71" s="313"/>
    </row>
    <row r="72" spans="1:9" ht="16.899999999999999" customHeight="1">
      <c r="A72" s="161" t="s">
        <v>476</v>
      </c>
      <c r="B72" s="161"/>
      <c r="C72" s="161"/>
      <c r="D72" s="161" t="s">
        <v>477</v>
      </c>
      <c r="E72" s="161"/>
      <c r="F72" s="161" t="s">
        <v>480</v>
      </c>
      <c r="G72" s="161"/>
      <c r="H72" s="161"/>
      <c r="I72" s="313"/>
    </row>
    <row r="73" spans="1:9" ht="16.899999999999999" customHeight="1">
      <c r="A73" s="161" t="s">
        <v>476</v>
      </c>
      <c r="B73" s="161"/>
      <c r="C73" s="161"/>
      <c r="D73" s="161" t="s">
        <v>477</v>
      </c>
      <c r="E73" s="161"/>
      <c r="F73" s="161" t="s">
        <v>481</v>
      </c>
      <c r="G73" s="161"/>
      <c r="H73" s="161"/>
      <c r="I73" s="313"/>
    </row>
    <row r="74" spans="1:9" ht="16.899999999999999" customHeight="1">
      <c r="A74" s="161" t="s">
        <v>482</v>
      </c>
      <c r="B74" s="161"/>
      <c r="C74" s="161"/>
      <c r="D74" s="161" t="s">
        <v>483</v>
      </c>
      <c r="E74" s="161"/>
      <c r="F74" s="161" t="s">
        <v>484</v>
      </c>
      <c r="G74" s="161"/>
      <c r="H74" s="161"/>
      <c r="I74" s="313"/>
    </row>
    <row r="75" spans="1:9" ht="16.899999999999999" customHeight="1">
      <c r="A75" s="161" t="s">
        <v>482</v>
      </c>
      <c r="B75" s="161"/>
      <c r="C75" s="161"/>
      <c r="D75" s="161" t="s">
        <v>485</v>
      </c>
      <c r="E75" s="161"/>
      <c r="F75" s="161" t="s">
        <v>486</v>
      </c>
      <c r="G75" s="161"/>
      <c r="H75" s="161"/>
      <c r="I75" s="313"/>
    </row>
    <row r="76" spans="1:9" ht="16.899999999999999" customHeight="1">
      <c r="A76" s="161" t="s">
        <v>482</v>
      </c>
      <c r="B76" s="161"/>
      <c r="C76" s="161"/>
      <c r="D76" s="161" t="s">
        <v>485</v>
      </c>
      <c r="E76" s="161"/>
      <c r="F76" s="161" t="s">
        <v>487</v>
      </c>
      <c r="G76" s="161"/>
      <c r="H76" s="161"/>
      <c r="I76" s="313"/>
    </row>
    <row r="77" spans="1:9" ht="16.899999999999999" customHeight="1">
      <c r="A77" s="161" t="s">
        <v>482</v>
      </c>
      <c r="B77" s="161"/>
      <c r="C77" s="161"/>
      <c r="D77" s="161" t="s">
        <v>485</v>
      </c>
      <c r="E77" s="161"/>
      <c r="F77" s="161" t="s">
        <v>488</v>
      </c>
      <c r="G77" s="161"/>
      <c r="H77" s="161"/>
      <c r="I77" s="313"/>
    </row>
    <row r="78" spans="1:9" ht="16.899999999999999" customHeight="1">
      <c r="A78" s="161" t="s">
        <v>489</v>
      </c>
      <c r="B78" s="161"/>
      <c r="C78" s="161"/>
      <c r="D78" s="161" t="s">
        <v>490</v>
      </c>
      <c r="E78" s="161"/>
      <c r="F78" s="161" t="s">
        <v>491</v>
      </c>
      <c r="G78" s="161"/>
      <c r="H78" s="161"/>
      <c r="I78" s="313"/>
    </row>
    <row r="79" spans="1:9" ht="16.899999999999999" customHeight="1">
      <c r="A79" s="161" t="s">
        <v>489</v>
      </c>
      <c r="B79" s="161"/>
      <c r="C79" s="161"/>
      <c r="D79" s="161" t="s">
        <v>492</v>
      </c>
      <c r="E79" s="161"/>
      <c r="F79" s="161" t="s">
        <v>493</v>
      </c>
      <c r="G79" s="161"/>
      <c r="H79" s="161"/>
      <c r="I79" s="313"/>
    </row>
    <row r="80" spans="1:9" ht="16.899999999999999" customHeight="1">
      <c r="A80" s="161" t="s">
        <v>489</v>
      </c>
      <c r="B80" s="161"/>
      <c r="C80" s="161"/>
      <c r="D80" s="161" t="s">
        <v>492</v>
      </c>
      <c r="E80" s="161"/>
      <c r="F80" s="161" t="s">
        <v>494</v>
      </c>
      <c r="G80" s="161"/>
      <c r="H80" s="161"/>
      <c r="I80" s="313"/>
    </row>
    <row r="81" spans="1:9" ht="16.899999999999999" customHeight="1">
      <c r="A81" s="161" t="s">
        <v>489</v>
      </c>
      <c r="B81" s="161"/>
      <c r="C81" s="161"/>
      <c r="D81" s="161" t="s">
        <v>492</v>
      </c>
      <c r="E81" s="161"/>
      <c r="F81" s="161" t="s">
        <v>495</v>
      </c>
      <c r="G81" s="161"/>
      <c r="H81" s="161"/>
      <c r="I81" s="313"/>
    </row>
    <row r="82" spans="1:9" ht="16.899999999999999" customHeight="1">
      <c r="A82" s="161" t="s">
        <v>489</v>
      </c>
      <c r="B82" s="161"/>
      <c r="C82" s="161"/>
      <c r="D82" s="161" t="s">
        <v>496</v>
      </c>
      <c r="E82" s="161"/>
      <c r="F82" s="161" t="s">
        <v>497</v>
      </c>
      <c r="G82" s="161"/>
      <c r="H82" s="161"/>
      <c r="I82" s="313"/>
    </row>
    <row r="83" spans="1:9" ht="16.899999999999999" customHeight="1">
      <c r="A83" s="161" t="s">
        <v>498</v>
      </c>
      <c r="B83" s="161"/>
      <c r="C83" s="161"/>
      <c r="D83" s="161" t="s">
        <v>499</v>
      </c>
      <c r="E83" s="161"/>
      <c r="F83" s="161" t="s">
        <v>500</v>
      </c>
      <c r="G83" s="161"/>
      <c r="H83" s="161"/>
      <c r="I83" s="313"/>
    </row>
    <row r="84" spans="1:9" ht="16.899999999999999" customHeight="1">
      <c r="A84" s="161" t="s">
        <v>498</v>
      </c>
      <c r="B84" s="161"/>
      <c r="C84" s="161"/>
      <c r="D84" s="161" t="s">
        <v>499</v>
      </c>
      <c r="E84" s="161"/>
      <c r="F84" s="161" t="s">
        <v>501</v>
      </c>
      <c r="G84" s="161"/>
      <c r="H84" s="161"/>
      <c r="I84" s="313"/>
    </row>
    <row r="85" spans="1:9" ht="16.899999999999999" customHeight="1">
      <c r="A85" s="161" t="s">
        <v>498</v>
      </c>
      <c r="B85" s="161"/>
      <c r="C85" s="161"/>
      <c r="D85" s="161" t="s">
        <v>502</v>
      </c>
      <c r="E85" s="161"/>
      <c r="F85" s="161" t="s">
        <v>503</v>
      </c>
      <c r="G85" s="161"/>
      <c r="H85" s="161"/>
      <c r="I85" s="313"/>
    </row>
    <row r="86" spans="1:9" ht="16.899999999999999" customHeight="1">
      <c r="A86" s="161" t="s">
        <v>498</v>
      </c>
      <c r="B86" s="161"/>
      <c r="C86" s="161"/>
      <c r="D86" s="161" t="s">
        <v>504</v>
      </c>
      <c r="E86" s="161"/>
      <c r="F86" s="161" t="s">
        <v>505</v>
      </c>
      <c r="G86" s="161"/>
      <c r="H86" s="161"/>
      <c r="I86" s="313"/>
    </row>
    <row r="87" spans="1:9" ht="16.899999999999999" customHeight="1">
      <c r="A87" s="161" t="s">
        <v>498</v>
      </c>
      <c r="B87" s="161"/>
      <c r="C87" s="161"/>
      <c r="D87" s="161" t="s">
        <v>504</v>
      </c>
      <c r="E87" s="161"/>
      <c r="F87" s="161" t="s">
        <v>506</v>
      </c>
      <c r="G87" s="161"/>
      <c r="H87" s="161"/>
      <c r="I87" s="313"/>
    </row>
    <row r="88" spans="1:9" ht="16.899999999999999" customHeight="1">
      <c r="A88" s="161" t="s">
        <v>498</v>
      </c>
      <c r="B88" s="161"/>
      <c r="C88" s="161"/>
      <c r="D88" s="161" t="s">
        <v>504</v>
      </c>
      <c r="E88" s="161"/>
      <c r="F88" s="161" t="s">
        <v>507</v>
      </c>
      <c r="G88" s="161"/>
      <c r="H88" s="161"/>
      <c r="I88" s="313"/>
    </row>
    <row r="89" spans="1:9" ht="16.899999999999999" customHeight="1">
      <c r="A89" s="161" t="s">
        <v>498</v>
      </c>
      <c r="B89" s="161"/>
      <c r="C89" s="161"/>
      <c r="D89" s="161" t="s">
        <v>508</v>
      </c>
      <c r="E89" s="161"/>
      <c r="F89" s="161" t="s">
        <v>509</v>
      </c>
      <c r="G89" s="161"/>
      <c r="H89" s="161"/>
      <c r="I89" s="313"/>
    </row>
    <row r="90" spans="1:9" ht="16.899999999999999" customHeight="1">
      <c r="A90" s="161" t="s">
        <v>498</v>
      </c>
      <c r="B90" s="161"/>
      <c r="C90" s="161"/>
      <c r="D90" s="161" t="s">
        <v>508</v>
      </c>
      <c r="E90" s="161"/>
      <c r="F90" s="161" t="s">
        <v>510</v>
      </c>
      <c r="G90" s="161"/>
      <c r="H90" s="161"/>
      <c r="I90" s="313"/>
    </row>
    <row r="91" spans="1:9" ht="16.899999999999999" customHeight="1">
      <c r="A91" s="161" t="s">
        <v>498</v>
      </c>
      <c r="B91" s="161"/>
      <c r="C91" s="161"/>
      <c r="D91" s="161" t="s">
        <v>508</v>
      </c>
      <c r="E91" s="161"/>
      <c r="F91" s="161" t="s">
        <v>511</v>
      </c>
      <c r="G91" s="161"/>
      <c r="H91" s="161"/>
      <c r="I91" s="313"/>
    </row>
    <row r="92" spans="1:9" ht="16.899999999999999" customHeight="1">
      <c r="A92" s="161" t="s">
        <v>498</v>
      </c>
      <c r="B92" s="161"/>
      <c r="C92" s="161"/>
      <c r="D92" s="161" t="s">
        <v>508</v>
      </c>
      <c r="E92" s="161"/>
      <c r="F92" s="161" t="s">
        <v>512</v>
      </c>
      <c r="G92" s="161"/>
      <c r="H92" s="161"/>
      <c r="I92" s="313"/>
    </row>
    <row r="93" spans="1:9" ht="16.899999999999999" customHeight="1">
      <c r="A93" s="161" t="s">
        <v>498</v>
      </c>
      <c r="B93" s="161"/>
      <c r="C93" s="161"/>
      <c r="D93" s="161" t="s">
        <v>513</v>
      </c>
      <c r="E93" s="161"/>
      <c r="F93" s="161" t="s">
        <v>514</v>
      </c>
      <c r="G93" s="161"/>
      <c r="H93" s="161"/>
      <c r="I93" s="313"/>
    </row>
    <row r="94" spans="1:9" ht="16.899999999999999" customHeight="1">
      <c r="A94" s="161" t="s">
        <v>498</v>
      </c>
      <c r="B94" s="161"/>
      <c r="C94" s="161"/>
      <c r="D94" s="161" t="s">
        <v>513</v>
      </c>
      <c r="E94" s="161"/>
      <c r="F94" s="161" t="s">
        <v>515</v>
      </c>
      <c r="G94" s="161"/>
      <c r="H94" s="161"/>
      <c r="I94" s="313"/>
    </row>
    <row r="95" spans="1:9" ht="16.899999999999999" customHeight="1">
      <c r="A95" s="161" t="s">
        <v>498</v>
      </c>
      <c r="B95" s="161"/>
      <c r="C95" s="161"/>
      <c r="D95" s="161" t="s">
        <v>516</v>
      </c>
      <c r="E95" s="161"/>
      <c r="F95" s="161" t="s">
        <v>517</v>
      </c>
      <c r="G95" s="161"/>
      <c r="H95" s="161"/>
      <c r="I95" s="313"/>
    </row>
    <row r="96" spans="1:9" ht="16.899999999999999" customHeight="1">
      <c r="A96" s="161" t="s">
        <v>518</v>
      </c>
      <c r="B96" s="161"/>
      <c r="C96" s="161"/>
      <c r="D96" s="161" t="s">
        <v>519</v>
      </c>
      <c r="E96" s="161"/>
      <c r="F96" s="161" t="s">
        <v>520</v>
      </c>
      <c r="G96" s="161"/>
      <c r="H96" s="161"/>
      <c r="I96" s="313"/>
    </row>
    <row r="97" spans="1:9" ht="16.899999999999999" customHeight="1">
      <c r="A97" s="161" t="s">
        <v>518</v>
      </c>
      <c r="B97" s="161"/>
      <c r="C97" s="161"/>
      <c r="D97" s="161" t="s">
        <v>519</v>
      </c>
      <c r="E97" s="161"/>
      <c r="F97" s="161" t="s">
        <v>300</v>
      </c>
      <c r="G97" s="161"/>
      <c r="H97" s="161"/>
      <c r="I97" s="313"/>
    </row>
    <row r="98" spans="1:9" ht="16.899999999999999" customHeight="1">
      <c r="A98" s="161" t="s">
        <v>518</v>
      </c>
      <c r="B98" s="161"/>
      <c r="C98" s="161"/>
      <c r="D98" s="161" t="s">
        <v>521</v>
      </c>
      <c r="E98" s="161"/>
      <c r="F98" s="161" t="s">
        <v>522</v>
      </c>
      <c r="G98" s="161"/>
      <c r="H98" s="161"/>
      <c r="I98" s="313"/>
    </row>
    <row r="99" spans="1:9" ht="16.899999999999999" customHeight="1">
      <c r="A99" s="161" t="s">
        <v>518</v>
      </c>
      <c r="B99" s="161"/>
      <c r="C99" s="161"/>
      <c r="D99" s="161" t="s">
        <v>521</v>
      </c>
      <c r="E99" s="161"/>
      <c r="F99" s="161" t="s">
        <v>523</v>
      </c>
      <c r="G99" s="161"/>
      <c r="H99" s="161"/>
      <c r="I99" s="313"/>
    </row>
    <row r="100" spans="1:9" ht="16.899999999999999" customHeight="1">
      <c r="A100" s="161" t="s">
        <v>518</v>
      </c>
      <c r="B100" s="161"/>
      <c r="C100" s="161"/>
      <c r="D100" s="161" t="s">
        <v>521</v>
      </c>
      <c r="E100" s="161"/>
      <c r="F100" s="161" t="s">
        <v>524</v>
      </c>
      <c r="G100" s="161"/>
      <c r="H100" s="161"/>
      <c r="I100" s="313"/>
    </row>
    <row r="101" spans="1:9" ht="16.899999999999999" customHeight="1">
      <c r="A101" s="161" t="s">
        <v>518</v>
      </c>
      <c r="B101" s="161"/>
      <c r="C101" s="161"/>
      <c r="D101" s="161" t="s">
        <v>521</v>
      </c>
      <c r="E101" s="161"/>
      <c r="F101" s="161" t="s">
        <v>301</v>
      </c>
      <c r="G101" s="161"/>
      <c r="H101" s="161"/>
      <c r="I101" s="313"/>
    </row>
    <row r="102" spans="1:9" ht="16.899999999999999" customHeight="1">
      <c r="A102" s="161" t="s">
        <v>518</v>
      </c>
      <c r="B102" s="161"/>
      <c r="C102" s="161"/>
      <c r="D102" s="161" t="s">
        <v>521</v>
      </c>
      <c r="E102" s="161"/>
      <c r="F102" s="161" t="s">
        <v>303</v>
      </c>
      <c r="G102" s="161"/>
      <c r="H102" s="161"/>
      <c r="I102" s="313"/>
    </row>
    <row r="103" spans="1:9" ht="16.899999999999999" customHeight="1">
      <c r="A103" s="161" t="s">
        <v>518</v>
      </c>
      <c r="B103" s="161"/>
      <c r="C103" s="161"/>
      <c r="D103" s="161" t="s">
        <v>521</v>
      </c>
      <c r="E103" s="161"/>
      <c r="F103" s="161" t="s">
        <v>525</v>
      </c>
      <c r="G103" s="161"/>
      <c r="H103" s="161"/>
      <c r="I103" s="313"/>
    </row>
    <row r="104" spans="1:9" ht="16.899999999999999" customHeight="1">
      <c r="A104" s="161" t="s">
        <v>518</v>
      </c>
      <c r="B104" s="161"/>
      <c r="C104" s="161"/>
      <c r="D104" s="161" t="s">
        <v>526</v>
      </c>
      <c r="E104" s="161"/>
      <c r="F104" s="161" t="s">
        <v>302</v>
      </c>
      <c r="G104" s="161"/>
      <c r="H104" s="161"/>
      <c r="I104" s="313"/>
    </row>
    <row r="105" spans="1:9" ht="16.899999999999999" customHeight="1">
      <c r="A105" s="161" t="s">
        <v>518</v>
      </c>
      <c r="B105" s="161"/>
      <c r="C105" s="161"/>
      <c r="D105" s="161" t="s">
        <v>526</v>
      </c>
      <c r="E105" s="161"/>
      <c r="F105" s="161" t="s">
        <v>304</v>
      </c>
      <c r="G105" s="161"/>
      <c r="H105" s="161"/>
      <c r="I105" s="313"/>
    </row>
    <row r="106" spans="1:9" ht="16.899999999999999" customHeight="1">
      <c r="A106" s="161" t="s">
        <v>527</v>
      </c>
      <c r="B106" s="161"/>
      <c r="C106" s="161"/>
      <c r="D106" s="161" t="s">
        <v>528</v>
      </c>
      <c r="E106" s="161"/>
      <c r="F106" s="161" t="s">
        <v>529</v>
      </c>
      <c r="G106" s="161"/>
      <c r="H106" s="161"/>
      <c r="I106" s="313"/>
    </row>
    <row r="107" spans="1:9" ht="16.899999999999999" customHeight="1">
      <c r="A107" s="161" t="s">
        <v>527</v>
      </c>
      <c r="B107" s="161"/>
      <c r="C107" s="161"/>
      <c r="D107" s="161" t="s">
        <v>528</v>
      </c>
      <c r="E107" s="161"/>
      <c r="F107" s="161" t="s">
        <v>530</v>
      </c>
      <c r="G107" s="161"/>
      <c r="H107" s="161"/>
      <c r="I107" s="313"/>
    </row>
    <row r="108" spans="1:9" ht="16.899999999999999" customHeight="1">
      <c r="A108" s="161" t="s">
        <v>527</v>
      </c>
      <c r="B108" s="161"/>
      <c r="C108" s="161"/>
      <c r="D108" s="161" t="s">
        <v>528</v>
      </c>
      <c r="E108" s="161"/>
      <c r="F108" s="161" t="s">
        <v>531</v>
      </c>
      <c r="G108" s="161"/>
      <c r="H108" s="161"/>
      <c r="I108" s="313"/>
    </row>
    <row r="109" spans="1:9" ht="16.899999999999999" customHeight="1">
      <c r="A109" s="161" t="s">
        <v>527</v>
      </c>
      <c r="B109" s="161"/>
      <c r="C109" s="161"/>
      <c r="D109" s="161" t="s">
        <v>528</v>
      </c>
      <c r="E109" s="161"/>
      <c r="F109" s="161" t="s">
        <v>532</v>
      </c>
      <c r="G109" s="161"/>
      <c r="H109" s="161"/>
      <c r="I109" s="313"/>
    </row>
    <row r="110" spans="1:9" ht="16.899999999999999" customHeight="1">
      <c r="A110" s="161" t="s">
        <v>527</v>
      </c>
      <c r="B110" s="161"/>
      <c r="C110" s="161"/>
      <c r="D110" s="161" t="s">
        <v>533</v>
      </c>
      <c r="E110" s="161"/>
      <c r="F110" s="161" t="s">
        <v>534</v>
      </c>
      <c r="G110" s="161"/>
      <c r="H110" s="161"/>
      <c r="I110" s="313"/>
    </row>
    <row r="111" spans="1:9" ht="16.899999999999999" customHeight="1">
      <c r="A111" s="161" t="s">
        <v>527</v>
      </c>
      <c r="B111" s="161"/>
      <c r="C111" s="161"/>
      <c r="D111" s="161" t="s">
        <v>533</v>
      </c>
      <c r="E111" s="161"/>
      <c r="F111" s="161" t="s">
        <v>535</v>
      </c>
      <c r="G111" s="161"/>
      <c r="H111" s="161"/>
      <c r="I111" s="313"/>
    </row>
    <row r="112" spans="1:9" ht="16.899999999999999" customHeight="1">
      <c r="A112" s="161" t="s">
        <v>527</v>
      </c>
      <c r="B112" s="161"/>
      <c r="C112" s="161"/>
      <c r="D112" s="161" t="s">
        <v>533</v>
      </c>
      <c r="E112" s="161"/>
      <c r="F112" s="161" t="s">
        <v>536</v>
      </c>
      <c r="G112" s="161"/>
      <c r="H112" s="161"/>
      <c r="I112" s="313"/>
    </row>
    <row r="113" spans="1:9" ht="16.899999999999999" customHeight="1">
      <c r="A113" s="161" t="s">
        <v>527</v>
      </c>
      <c r="B113" s="161"/>
      <c r="C113" s="161"/>
      <c r="D113" s="161" t="s">
        <v>533</v>
      </c>
      <c r="E113" s="161"/>
      <c r="F113" s="161" t="s">
        <v>537</v>
      </c>
      <c r="G113" s="161"/>
      <c r="H113" s="161"/>
      <c r="I113" s="313"/>
    </row>
    <row r="114" spans="1:9" ht="16.899999999999999" customHeight="1">
      <c r="A114" s="161" t="s">
        <v>527</v>
      </c>
      <c r="B114" s="161"/>
      <c r="C114" s="161"/>
      <c r="D114" s="161" t="s">
        <v>538</v>
      </c>
      <c r="E114" s="161"/>
      <c r="F114" s="161" t="s">
        <v>539</v>
      </c>
      <c r="G114" s="161"/>
      <c r="H114" s="161"/>
      <c r="I114" s="313"/>
    </row>
    <row r="115" spans="1:9" ht="16.899999999999999" customHeight="1">
      <c r="A115" s="161" t="s">
        <v>540</v>
      </c>
      <c r="B115" s="161"/>
      <c r="C115" s="161"/>
      <c r="D115" s="161" t="s">
        <v>541</v>
      </c>
      <c r="E115" s="161"/>
      <c r="F115" s="161" t="s">
        <v>542</v>
      </c>
      <c r="G115" s="161"/>
      <c r="H115" s="161"/>
      <c r="I115" s="313"/>
    </row>
    <row r="116" spans="1:9" ht="16.899999999999999" customHeight="1">
      <c r="A116" s="161" t="s">
        <v>540</v>
      </c>
      <c r="B116" s="161"/>
      <c r="C116" s="161"/>
      <c r="D116" s="161" t="s">
        <v>541</v>
      </c>
      <c r="E116" s="161"/>
      <c r="F116" s="161" t="s">
        <v>543</v>
      </c>
      <c r="G116" s="161"/>
      <c r="H116" s="161"/>
      <c r="I116" s="313"/>
    </row>
    <row r="117" spans="1:9" ht="16.899999999999999" customHeight="1">
      <c r="A117" s="161" t="s">
        <v>540</v>
      </c>
      <c r="B117" s="161"/>
      <c r="C117" s="161"/>
      <c r="D117" s="161" t="s">
        <v>541</v>
      </c>
      <c r="E117" s="161"/>
      <c r="F117" s="161" t="s">
        <v>544</v>
      </c>
      <c r="G117" s="161"/>
      <c r="H117" s="161"/>
      <c r="I117" s="313"/>
    </row>
    <row r="118" spans="1:9" ht="16.899999999999999" customHeight="1">
      <c r="A118" s="161" t="s">
        <v>540</v>
      </c>
      <c r="B118" s="161"/>
      <c r="C118" s="161"/>
      <c r="D118" s="161" t="s">
        <v>538</v>
      </c>
      <c r="E118" s="161"/>
      <c r="F118" s="161" t="s">
        <v>545</v>
      </c>
      <c r="G118" s="161"/>
      <c r="H118" s="161"/>
      <c r="I118" s="313"/>
    </row>
    <row r="119" spans="1:9" ht="16.899999999999999" customHeight="1">
      <c r="A119" s="161" t="s">
        <v>540</v>
      </c>
      <c r="B119" s="161"/>
      <c r="C119" s="161"/>
      <c r="D119" s="161" t="s">
        <v>538</v>
      </c>
      <c r="E119" s="161"/>
      <c r="F119" s="161" t="s">
        <v>546</v>
      </c>
      <c r="G119" s="161"/>
      <c r="H119" s="161"/>
      <c r="I119" s="313"/>
    </row>
    <row r="120" spans="1:9" ht="16.899999999999999" customHeight="1">
      <c r="A120" s="161" t="s">
        <v>540</v>
      </c>
      <c r="B120" s="161"/>
      <c r="C120" s="161"/>
      <c r="D120" s="161" t="s">
        <v>538</v>
      </c>
      <c r="E120" s="161"/>
      <c r="F120" s="161" t="s">
        <v>547</v>
      </c>
      <c r="G120" s="161"/>
      <c r="H120" s="161"/>
      <c r="I120" s="313"/>
    </row>
    <row r="121" spans="1:9" ht="16.899999999999999" customHeight="1">
      <c r="A121" s="161" t="s">
        <v>540</v>
      </c>
      <c r="B121" s="161"/>
      <c r="C121" s="161"/>
      <c r="D121" s="161" t="s">
        <v>538</v>
      </c>
      <c r="E121" s="161"/>
      <c r="F121" s="161" t="s">
        <v>548</v>
      </c>
      <c r="G121" s="161"/>
      <c r="H121" s="161"/>
      <c r="I121" s="313"/>
    </row>
    <row r="122" spans="1:9" ht="16.899999999999999" customHeight="1">
      <c r="A122" s="161" t="s">
        <v>540</v>
      </c>
      <c r="B122" s="161"/>
      <c r="C122" s="161"/>
      <c r="D122" s="161" t="s">
        <v>538</v>
      </c>
      <c r="E122" s="161"/>
      <c r="F122" s="161" t="s">
        <v>549</v>
      </c>
      <c r="G122" s="161"/>
      <c r="H122" s="161"/>
      <c r="I122" s="313"/>
    </row>
    <row r="123" spans="1:9" ht="16.899999999999999" customHeight="1">
      <c r="A123" s="161" t="s">
        <v>540</v>
      </c>
      <c r="B123" s="161"/>
      <c r="C123" s="161"/>
      <c r="D123" s="161" t="s">
        <v>550</v>
      </c>
      <c r="E123" s="161"/>
      <c r="F123" s="161" t="s">
        <v>551</v>
      </c>
      <c r="G123" s="161"/>
      <c r="H123" s="161"/>
      <c r="I123" s="313"/>
    </row>
    <row r="124" spans="1:9" ht="16.899999999999999" customHeight="1">
      <c r="A124" s="161" t="s">
        <v>540</v>
      </c>
      <c r="B124" s="161"/>
      <c r="C124" s="161"/>
      <c r="D124" s="161" t="s">
        <v>550</v>
      </c>
      <c r="E124" s="161"/>
      <c r="F124" s="161" t="s">
        <v>552</v>
      </c>
      <c r="G124" s="161"/>
      <c r="H124" s="161"/>
      <c r="I124" s="313"/>
    </row>
    <row r="125" spans="1:9" ht="16.899999999999999" customHeight="1">
      <c r="A125" s="161" t="s">
        <v>540</v>
      </c>
      <c r="B125" s="161"/>
      <c r="C125" s="161"/>
      <c r="D125" s="161" t="s">
        <v>553</v>
      </c>
      <c r="E125" s="161"/>
      <c r="F125" s="161" t="s">
        <v>554</v>
      </c>
      <c r="G125" s="161"/>
      <c r="H125" s="161"/>
      <c r="I125" s="313"/>
    </row>
    <row r="126" spans="1:9" ht="16.899999999999999" customHeight="1">
      <c r="A126" s="161" t="s">
        <v>540</v>
      </c>
      <c r="B126" s="161"/>
      <c r="C126" s="161"/>
      <c r="D126" s="161" t="s">
        <v>553</v>
      </c>
      <c r="E126" s="161"/>
      <c r="F126" s="161" t="s">
        <v>555</v>
      </c>
      <c r="G126" s="161"/>
      <c r="H126" s="161"/>
      <c r="I126" s="313"/>
    </row>
    <row r="127" spans="1:9" ht="16.899999999999999" customHeight="1">
      <c r="A127" s="161" t="s">
        <v>556</v>
      </c>
      <c r="B127" s="161"/>
      <c r="C127" s="161"/>
      <c r="D127" s="161" t="s">
        <v>557</v>
      </c>
      <c r="E127" s="161"/>
      <c r="F127" s="161" t="s">
        <v>558</v>
      </c>
      <c r="G127" s="161"/>
      <c r="H127" s="161"/>
      <c r="I127" s="313"/>
    </row>
    <row r="128" spans="1:9" ht="16.899999999999999" customHeight="1">
      <c r="A128" s="161" t="s">
        <v>556</v>
      </c>
      <c r="B128" s="161"/>
      <c r="C128" s="161"/>
      <c r="D128" s="161" t="s">
        <v>557</v>
      </c>
      <c r="E128" s="161"/>
      <c r="F128" s="161" t="s">
        <v>559</v>
      </c>
      <c r="G128" s="161"/>
      <c r="H128" s="161"/>
      <c r="I128" s="313"/>
    </row>
    <row r="129" spans="1:9" ht="16.899999999999999" customHeight="1">
      <c r="A129" s="161" t="s">
        <v>556</v>
      </c>
      <c r="B129" s="161"/>
      <c r="C129" s="161"/>
      <c r="D129" s="161" t="s">
        <v>560</v>
      </c>
      <c r="E129" s="161"/>
      <c r="F129" s="161" t="s">
        <v>561</v>
      </c>
      <c r="G129" s="161"/>
      <c r="H129" s="161"/>
      <c r="I129" s="313"/>
    </row>
    <row r="134" spans="1:9" ht="31.15" customHeight="1">
      <c r="A134" s="347" t="s">
        <v>562</v>
      </c>
      <c r="B134" s="347"/>
      <c r="C134" s="347"/>
    </row>
    <row r="135" spans="1:9" ht="14.45" customHeight="1">
      <c r="A135" s="345" t="s">
        <v>563</v>
      </c>
      <c r="B135" s="345"/>
      <c r="C135" s="345" t="s">
        <v>564</v>
      </c>
      <c r="D135" s="345"/>
      <c r="E135" s="345"/>
      <c r="F135" s="345"/>
      <c r="G135" s="345"/>
      <c r="H135" s="345"/>
      <c r="I135" s="313" t="s">
        <v>565</v>
      </c>
    </row>
    <row r="136" spans="1:9">
      <c r="A136" s="161" t="s">
        <v>566</v>
      </c>
      <c r="B136" s="161"/>
      <c r="C136" s="161" t="s">
        <v>567</v>
      </c>
      <c r="D136" s="161"/>
      <c r="E136" s="161"/>
      <c r="F136" s="161"/>
      <c r="G136" s="161"/>
      <c r="H136" s="161"/>
      <c r="I136" s="313"/>
    </row>
    <row r="137" spans="1:9">
      <c r="A137" s="161" t="s">
        <v>568</v>
      </c>
      <c r="B137" s="161"/>
      <c r="C137" s="161" t="s">
        <v>569</v>
      </c>
      <c r="D137" s="161"/>
      <c r="E137" s="161"/>
      <c r="F137" s="161"/>
      <c r="G137" s="161"/>
      <c r="H137" s="161"/>
      <c r="I137" s="313"/>
    </row>
    <row r="138" spans="1:9">
      <c r="A138" s="161" t="s">
        <v>570</v>
      </c>
      <c r="B138" s="161"/>
      <c r="C138" s="161" t="s">
        <v>571</v>
      </c>
      <c r="D138" s="161"/>
      <c r="E138" s="161"/>
      <c r="F138" s="161"/>
      <c r="G138" s="161"/>
      <c r="H138" s="161"/>
      <c r="I138" s="313"/>
    </row>
    <row r="139" spans="1:9">
      <c r="A139" s="161" t="s">
        <v>572</v>
      </c>
      <c r="B139" s="161"/>
      <c r="C139" s="161" t="s">
        <v>573</v>
      </c>
      <c r="D139" s="161"/>
      <c r="E139" s="161"/>
      <c r="F139" s="161"/>
      <c r="G139" s="161"/>
      <c r="H139" s="161"/>
      <c r="I139" s="313"/>
    </row>
    <row r="140" spans="1:9">
      <c r="A140" s="161" t="s">
        <v>574</v>
      </c>
      <c r="B140" s="161"/>
      <c r="C140" s="161" t="s">
        <v>575</v>
      </c>
      <c r="D140" s="161"/>
      <c r="E140" s="161"/>
      <c r="F140" s="161"/>
      <c r="G140" s="161"/>
      <c r="H140" s="161"/>
      <c r="I140" s="313"/>
    </row>
    <row r="141" spans="1:9">
      <c r="A141" s="161" t="s">
        <v>576</v>
      </c>
      <c r="B141" s="161"/>
      <c r="C141" s="161" t="s">
        <v>577</v>
      </c>
      <c r="D141" s="161"/>
      <c r="E141" s="161"/>
      <c r="F141" s="161"/>
      <c r="G141" s="161"/>
      <c r="H141" s="161"/>
      <c r="I141" s="313"/>
    </row>
    <row r="142" spans="1:9">
      <c r="A142" s="161" t="s">
        <v>578</v>
      </c>
      <c r="B142" s="161"/>
      <c r="C142" s="161" t="s">
        <v>579</v>
      </c>
      <c r="D142" s="161"/>
      <c r="E142" s="161"/>
      <c r="F142" s="161"/>
      <c r="G142" s="161"/>
      <c r="H142" s="161"/>
      <c r="I142" s="313"/>
    </row>
    <row r="143" spans="1:9">
      <c r="A143" s="161" t="s">
        <v>580</v>
      </c>
      <c r="B143" s="161"/>
      <c r="C143" s="161" t="s">
        <v>581</v>
      </c>
      <c r="D143" s="161"/>
      <c r="E143" s="161"/>
      <c r="F143" s="161"/>
      <c r="G143" s="161"/>
      <c r="H143" s="161"/>
      <c r="I143" s="313"/>
    </row>
    <row r="144" spans="1:9">
      <c r="A144" s="161" t="s">
        <v>582</v>
      </c>
      <c r="B144" s="161"/>
      <c r="C144" s="161" t="s">
        <v>583</v>
      </c>
      <c r="D144" s="161"/>
      <c r="E144" s="161"/>
      <c r="F144" s="161"/>
      <c r="G144" s="161"/>
      <c r="H144" s="161"/>
      <c r="I144" s="313"/>
    </row>
    <row r="145" spans="1:9">
      <c r="A145" s="161" t="s">
        <v>584</v>
      </c>
      <c r="B145" s="161"/>
      <c r="C145" s="161" t="s">
        <v>585</v>
      </c>
      <c r="D145" s="161"/>
      <c r="E145" s="161"/>
      <c r="F145" s="161"/>
      <c r="G145" s="161"/>
      <c r="H145" s="161"/>
      <c r="I145" s="313"/>
    </row>
    <row r="146" spans="1:9">
      <c r="A146" s="161" t="s">
        <v>586</v>
      </c>
      <c r="B146" s="161"/>
      <c r="C146" s="161" t="s">
        <v>278</v>
      </c>
      <c r="D146" s="161"/>
      <c r="E146" s="161"/>
      <c r="F146" s="161"/>
      <c r="G146" s="161"/>
      <c r="H146" s="161"/>
      <c r="I146" s="313"/>
    </row>
    <row r="147" spans="1:9">
      <c r="A147" s="161" t="s">
        <v>587</v>
      </c>
      <c r="B147" s="161"/>
      <c r="C147" s="161" t="s">
        <v>588</v>
      </c>
      <c r="D147" s="161"/>
      <c r="E147" s="161"/>
      <c r="F147" s="161"/>
      <c r="G147" s="161"/>
      <c r="H147" s="161"/>
      <c r="I147" s="313"/>
    </row>
    <row r="148" spans="1:9">
      <c r="A148" s="161" t="s">
        <v>589</v>
      </c>
      <c r="B148" s="161"/>
      <c r="C148" s="161" t="s">
        <v>590</v>
      </c>
      <c r="D148" s="161"/>
      <c r="E148" s="161"/>
      <c r="F148" s="161"/>
      <c r="G148" s="161"/>
      <c r="H148" s="161"/>
      <c r="I148" s="313"/>
    </row>
    <row r="149" spans="1:9">
      <c r="A149" s="161" t="s">
        <v>591</v>
      </c>
      <c r="B149" s="161"/>
      <c r="C149" s="161" t="s">
        <v>592</v>
      </c>
      <c r="D149" s="161"/>
      <c r="E149" s="161"/>
      <c r="F149" s="161"/>
      <c r="G149" s="161"/>
      <c r="H149" s="161"/>
      <c r="I149" s="313"/>
    </row>
    <row r="150" spans="1:9">
      <c r="A150" s="161" t="s">
        <v>593</v>
      </c>
      <c r="B150" s="161"/>
      <c r="C150" s="161" t="s">
        <v>594</v>
      </c>
      <c r="D150" s="161"/>
      <c r="E150" s="161"/>
      <c r="F150" s="161"/>
      <c r="G150" s="161"/>
      <c r="H150" s="161"/>
      <c r="I150" s="313"/>
    </row>
    <row r="151" spans="1:9">
      <c r="A151" s="161" t="s">
        <v>595</v>
      </c>
      <c r="B151" s="161"/>
      <c r="C151" s="161" t="s">
        <v>596</v>
      </c>
      <c r="D151" s="161"/>
      <c r="E151" s="161"/>
      <c r="F151" s="161"/>
      <c r="G151" s="161"/>
      <c r="H151" s="161"/>
      <c r="I151" s="313"/>
    </row>
    <row r="152" spans="1:9">
      <c r="A152" s="161" t="s">
        <v>597</v>
      </c>
      <c r="B152" s="161"/>
      <c r="C152" s="161" t="s">
        <v>598</v>
      </c>
      <c r="D152" s="161"/>
      <c r="E152" s="161"/>
      <c r="F152" s="161"/>
      <c r="G152" s="161"/>
      <c r="H152" s="161"/>
      <c r="I152" s="313"/>
    </row>
    <row r="153" spans="1:9">
      <c r="A153" s="161" t="s">
        <v>599</v>
      </c>
      <c r="B153" s="161"/>
      <c r="C153" s="161" t="s">
        <v>600</v>
      </c>
      <c r="D153" s="161"/>
      <c r="E153" s="161"/>
      <c r="F153" s="161"/>
      <c r="G153" s="161"/>
      <c r="H153" s="161"/>
      <c r="I153" s="313"/>
    </row>
    <row r="154" spans="1:9">
      <c r="A154" s="161" t="s">
        <v>601</v>
      </c>
      <c r="B154" s="161"/>
      <c r="C154" s="161" t="s">
        <v>602</v>
      </c>
      <c r="D154" s="161"/>
      <c r="E154" s="161"/>
      <c r="F154" s="161"/>
      <c r="G154" s="161"/>
      <c r="H154" s="161"/>
      <c r="I154" s="313"/>
    </row>
    <row r="155" spans="1:9">
      <c r="A155" s="161" t="s">
        <v>603</v>
      </c>
      <c r="B155" s="161"/>
      <c r="C155" s="161" t="s">
        <v>604</v>
      </c>
      <c r="D155" s="161"/>
      <c r="E155" s="161"/>
      <c r="F155" s="161"/>
      <c r="G155" s="161"/>
      <c r="H155" s="161"/>
      <c r="I155" s="313"/>
    </row>
    <row r="156" spans="1:9">
      <c r="A156" s="161" t="s">
        <v>605</v>
      </c>
      <c r="B156" s="161"/>
      <c r="C156" s="161" t="s">
        <v>606</v>
      </c>
      <c r="D156" s="161"/>
      <c r="E156" s="161"/>
      <c r="F156" s="161"/>
      <c r="G156" s="161"/>
      <c r="H156" s="161"/>
      <c r="I156" s="313"/>
    </row>
    <row r="157" spans="1:9">
      <c r="A157" s="161" t="s">
        <v>607</v>
      </c>
      <c r="B157" s="161"/>
      <c r="C157" s="161" t="s">
        <v>608</v>
      </c>
      <c r="D157" s="161"/>
      <c r="E157" s="161"/>
      <c r="F157" s="161"/>
      <c r="G157" s="161"/>
      <c r="H157" s="161"/>
      <c r="I157" s="313"/>
    </row>
    <row r="158" spans="1:9">
      <c r="A158" s="161" t="s">
        <v>609</v>
      </c>
      <c r="B158" s="161"/>
      <c r="C158" s="161" t="s">
        <v>610</v>
      </c>
      <c r="D158" s="161"/>
      <c r="E158" s="161"/>
      <c r="F158" s="161"/>
      <c r="G158" s="161"/>
      <c r="H158" s="161"/>
      <c r="I158" s="313"/>
    </row>
    <row r="159" spans="1:9">
      <c r="A159" s="161" t="s">
        <v>611</v>
      </c>
      <c r="B159" s="161"/>
      <c r="C159" s="161" t="s">
        <v>612</v>
      </c>
      <c r="D159" s="161"/>
      <c r="E159" s="161"/>
      <c r="F159" s="161"/>
      <c r="G159" s="161"/>
      <c r="H159" s="161"/>
      <c r="I159" s="313"/>
    </row>
    <row r="160" spans="1:9">
      <c r="A160" s="161" t="s">
        <v>613</v>
      </c>
      <c r="B160" s="161"/>
      <c r="C160" s="161" t="s">
        <v>614</v>
      </c>
      <c r="D160" s="161"/>
      <c r="E160" s="161"/>
      <c r="F160" s="161"/>
      <c r="G160" s="161"/>
      <c r="H160" s="161"/>
      <c r="I160" s="313"/>
    </row>
    <row r="161" spans="1:9">
      <c r="A161" s="161" t="s">
        <v>615</v>
      </c>
      <c r="B161" s="161"/>
      <c r="C161" s="161" t="s">
        <v>616</v>
      </c>
      <c r="D161" s="161"/>
      <c r="E161" s="161"/>
      <c r="F161" s="161"/>
      <c r="G161" s="161"/>
      <c r="H161" s="161"/>
      <c r="I161" s="313"/>
    </row>
    <row r="162" spans="1:9">
      <c r="A162" s="161" t="s">
        <v>617</v>
      </c>
      <c r="B162" s="161"/>
      <c r="C162" s="161" t="s">
        <v>618</v>
      </c>
      <c r="D162" s="161"/>
      <c r="E162" s="161"/>
      <c r="F162" s="161"/>
      <c r="G162" s="161"/>
      <c r="H162" s="161"/>
      <c r="I162" s="313"/>
    </row>
    <row r="163" spans="1:9">
      <c r="A163" s="161" t="s">
        <v>619</v>
      </c>
      <c r="B163" s="161"/>
      <c r="C163" s="161" t="s">
        <v>620</v>
      </c>
      <c r="D163" s="161"/>
      <c r="E163" s="161"/>
      <c r="F163" s="161"/>
      <c r="G163" s="161"/>
      <c r="H163" s="161"/>
      <c r="I163" s="313"/>
    </row>
    <row r="164" spans="1:9">
      <c r="A164" s="161" t="s">
        <v>621</v>
      </c>
      <c r="B164" s="161"/>
      <c r="C164" s="161" t="s">
        <v>622</v>
      </c>
      <c r="D164" s="161"/>
      <c r="E164" s="161"/>
      <c r="F164" s="161"/>
      <c r="G164" s="161"/>
      <c r="H164" s="161"/>
      <c r="I164" s="313"/>
    </row>
    <row r="165" spans="1:9">
      <c r="A165" s="161" t="s">
        <v>623</v>
      </c>
      <c r="B165" s="161"/>
      <c r="C165" s="161" t="s">
        <v>624</v>
      </c>
      <c r="D165" s="161"/>
      <c r="E165" s="161"/>
      <c r="F165" s="161"/>
      <c r="G165" s="161"/>
      <c r="H165" s="161"/>
      <c r="I165" s="313"/>
    </row>
    <row r="166" spans="1:9">
      <c r="A166" s="161" t="s">
        <v>625</v>
      </c>
      <c r="B166" s="161"/>
      <c r="C166" s="161" t="s">
        <v>626</v>
      </c>
      <c r="D166" s="161"/>
      <c r="E166" s="161"/>
      <c r="F166" s="161"/>
      <c r="G166" s="161"/>
      <c r="H166" s="161"/>
      <c r="I166" s="313"/>
    </row>
    <row r="167" spans="1:9">
      <c r="A167" s="161" t="s">
        <v>627</v>
      </c>
      <c r="B167" s="161"/>
      <c r="C167" s="161" t="s">
        <v>628</v>
      </c>
      <c r="D167" s="161"/>
      <c r="E167" s="161"/>
      <c r="F167" s="161"/>
      <c r="G167" s="161"/>
      <c r="H167" s="161"/>
      <c r="I167" s="313"/>
    </row>
    <row r="168" spans="1:9">
      <c r="A168" s="161" t="s">
        <v>629</v>
      </c>
      <c r="B168" s="161"/>
      <c r="C168" s="161" t="s">
        <v>630</v>
      </c>
      <c r="D168" s="161"/>
      <c r="E168" s="161"/>
      <c r="F168" s="161"/>
      <c r="G168" s="161"/>
      <c r="H168" s="161"/>
      <c r="I168" s="313"/>
    </row>
    <row r="169" spans="1:9">
      <c r="A169" s="161" t="s">
        <v>631</v>
      </c>
      <c r="B169" s="161"/>
      <c r="C169" s="161" t="s">
        <v>632</v>
      </c>
      <c r="D169" s="161"/>
      <c r="E169" s="161"/>
      <c r="F169" s="161"/>
      <c r="G169" s="161"/>
      <c r="H169" s="161"/>
      <c r="I169" s="313"/>
    </row>
    <row r="170" spans="1:9">
      <c r="A170" s="161" t="s">
        <v>633</v>
      </c>
      <c r="B170" s="161"/>
      <c r="C170" s="161" t="s">
        <v>634</v>
      </c>
      <c r="D170" s="161"/>
      <c r="E170" s="161"/>
      <c r="F170" s="161"/>
      <c r="G170" s="161"/>
      <c r="H170" s="161"/>
      <c r="I170" s="313"/>
    </row>
    <row r="171" spans="1:9">
      <c r="A171" s="161" t="s">
        <v>635</v>
      </c>
      <c r="B171" s="161"/>
      <c r="C171" s="161" t="s">
        <v>636</v>
      </c>
      <c r="D171" s="161"/>
      <c r="E171" s="161"/>
      <c r="F171" s="161"/>
      <c r="G171" s="161"/>
      <c r="H171" s="161"/>
      <c r="I171" s="313"/>
    </row>
    <row r="172" spans="1:9">
      <c r="A172" s="161" t="s">
        <v>637</v>
      </c>
      <c r="B172" s="161"/>
      <c r="C172" s="161" t="s">
        <v>638</v>
      </c>
      <c r="D172" s="161"/>
      <c r="E172" s="161"/>
      <c r="F172" s="161"/>
      <c r="G172" s="161"/>
      <c r="H172" s="161"/>
      <c r="I172" s="313"/>
    </row>
    <row r="173" spans="1:9">
      <c r="A173" s="161" t="s">
        <v>639</v>
      </c>
      <c r="B173" s="161"/>
      <c r="C173" s="161" t="s">
        <v>640</v>
      </c>
      <c r="D173" s="161"/>
      <c r="E173" s="161"/>
      <c r="F173" s="161"/>
      <c r="G173" s="161"/>
      <c r="H173" s="161"/>
      <c r="I173" s="313"/>
    </row>
    <row r="174" spans="1:9">
      <c r="A174" s="161" t="s">
        <v>641</v>
      </c>
      <c r="B174" s="161"/>
      <c r="C174" s="161" t="s">
        <v>642</v>
      </c>
      <c r="D174" s="161"/>
      <c r="E174" s="161"/>
      <c r="F174" s="161"/>
      <c r="G174" s="161"/>
      <c r="H174" s="161"/>
      <c r="I174" s="313"/>
    </row>
    <row r="175" spans="1:9">
      <c r="A175" s="161" t="s">
        <v>643</v>
      </c>
      <c r="B175" s="161"/>
      <c r="C175" s="161" t="s">
        <v>644</v>
      </c>
      <c r="D175" s="161"/>
      <c r="E175" s="161"/>
      <c r="F175" s="161"/>
      <c r="G175" s="161"/>
      <c r="H175" s="161"/>
      <c r="I175" s="313"/>
    </row>
    <row r="176" spans="1:9">
      <c r="A176" s="161" t="s">
        <v>645</v>
      </c>
      <c r="B176" s="161"/>
      <c r="C176" s="161" t="s">
        <v>646</v>
      </c>
      <c r="D176" s="161"/>
      <c r="E176" s="161"/>
      <c r="F176" s="161"/>
      <c r="G176" s="161"/>
      <c r="H176" s="161"/>
      <c r="I176" s="313"/>
    </row>
    <row r="177" spans="1:9">
      <c r="A177" s="161" t="s">
        <v>647</v>
      </c>
      <c r="B177" s="161"/>
      <c r="C177" s="161" t="s">
        <v>648</v>
      </c>
      <c r="D177" s="161"/>
      <c r="E177" s="161"/>
      <c r="F177" s="161"/>
      <c r="G177" s="161"/>
      <c r="H177" s="161"/>
      <c r="I177" s="313"/>
    </row>
    <row r="178" spans="1:9">
      <c r="A178" s="161" t="s">
        <v>649</v>
      </c>
      <c r="B178" s="161"/>
      <c r="C178" s="161" t="s">
        <v>650</v>
      </c>
      <c r="D178" s="161"/>
      <c r="E178" s="161"/>
      <c r="F178" s="161"/>
      <c r="G178" s="161"/>
      <c r="H178" s="161"/>
      <c r="I178" s="313"/>
    </row>
    <row r="179" spans="1:9">
      <c r="A179" s="161" t="s">
        <v>651</v>
      </c>
      <c r="B179" s="161"/>
      <c r="C179" s="161" t="s">
        <v>652</v>
      </c>
      <c r="D179" s="161"/>
      <c r="E179" s="161"/>
      <c r="F179" s="161"/>
      <c r="G179" s="161"/>
      <c r="H179" s="161"/>
      <c r="I179" s="313"/>
    </row>
    <row r="180" spans="1:9">
      <c r="A180" s="161" t="s">
        <v>653</v>
      </c>
      <c r="B180" s="161"/>
      <c r="C180" s="161" t="s">
        <v>654</v>
      </c>
      <c r="D180" s="161"/>
      <c r="E180" s="161"/>
      <c r="F180" s="161"/>
      <c r="G180" s="161"/>
      <c r="H180" s="161"/>
      <c r="I180" s="313"/>
    </row>
    <row r="181" spans="1:9">
      <c r="A181" s="161" t="s">
        <v>655</v>
      </c>
      <c r="B181" s="161"/>
      <c r="C181" s="161" t="s">
        <v>656</v>
      </c>
      <c r="D181" s="161"/>
      <c r="E181" s="161"/>
      <c r="F181" s="161"/>
      <c r="G181" s="161"/>
      <c r="H181" s="161"/>
      <c r="I181" s="313"/>
    </row>
    <row r="182" spans="1:9">
      <c r="A182" s="161" t="s">
        <v>657</v>
      </c>
      <c r="B182" s="161"/>
      <c r="C182" s="161" t="s">
        <v>658</v>
      </c>
      <c r="D182" s="161"/>
      <c r="E182" s="161"/>
      <c r="F182" s="161"/>
      <c r="G182" s="161"/>
      <c r="H182" s="161"/>
      <c r="I182" s="313"/>
    </row>
    <row r="183" spans="1:9">
      <c r="A183" s="161" t="s">
        <v>659</v>
      </c>
      <c r="B183" s="161"/>
      <c r="C183" s="161" t="s">
        <v>660</v>
      </c>
      <c r="D183" s="161"/>
      <c r="E183" s="161"/>
      <c r="F183" s="161"/>
      <c r="G183" s="161"/>
      <c r="H183" s="161"/>
      <c r="I183" s="313"/>
    </row>
    <row r="184" spans="1:9">
      <c r="A184" s="161" t="s">
        <v>661</v>
      </c>
      <c r="B184" s="161"/>
      <c r="C184" s="161" t="s">
        <v>662</v>
      </c>
      <c r="D184" s="161"/>
      <c r="E184" s="161"/>
      <c r="F184" s="161"/>
      <c r="G184" s="161"/>
      <c r="H184" s="161"/>
      <c r="I184" s="313"/>
    </row>
    <row r="185" spans="1:9">
      <c r="A185" s="161" t="s">
        <v>663</v>
      </c>
      <c r="B185" s="161"/>
      <c r="C185" s="161" t="s">
        <v>664</v>
      </c>
      <c r="D185" s="161"/>
      <c r="E185" s="161"/>
      <c r="F185" s="161"/>
      <c r="G185" s="161"/>
      <c r="H185" s="161"/>
      <c r="I185" s="313"/>
    </row>
    <row r="186" spans="1:9">
      <c r="A186" s="161" t="s">
        <v>665</v>
      </c>
      <c r="B186" s="161"/>
      <c r="C186" s="161" t="s">
        <v>666</v>
      </c>
      <c r="D186" s="161"/>
      <c r="E186" s="161"/>
      <c r="F186" s="161"/>
      <c r="G186" s="161"/>
      <c r="H186" s="161"/>
      <c r="I186" s="313"/>
    </row>
    <row r="187" spans="1:9">
      <c r="A187" s="161" t="s">
        <v>667</v>
      </c>
      <c r="B187" s="161"/>
      <c r="C187" s="161" t="s">
        <v>668</v>
      </c>
      <c r="D187" s="161"/>
      <c r="E187" s="161"/>
      <c r="F187" s="161"/>
      <c r="G187" s="161"/>
      <c r="H187" s="161"/>
      <c r="I187" s="313"/>
    </row>
    <row r="188" spans="1:9">
      <c r="A188" s="161" t="s">
        <v>669</v>
      </c>
      <c r="B188" s="161"/>
      <c r="C188" s="161" t="s">
        <v>670</v>
      </c>
      <c r="D188" s="161"/>
      <c r="E188" s="161"/>
      <c r="F188" s="161"/>
      <c r="G188" s="161"/>
      <c r="H188" s="161"/>
      <c r="I188" s="313"/>
    </row>
    <row r="189" spans="1:9">
      <c r="A189" s="161" t="s">
        <v>671</v>
      </c>
      <c r="B189" s="161"/>
      <c r="C189" s="161" t="s">
        <v>672</v>
      </c>
      <c r="D189" s="161"/>
      <c r="E189" s="161"/>
      <c r="F189" s="161"/>
      <c r="G189" s="161"/>
      <c r="H189" s="161"/>
      <c r="I189" s="313"/>
    </row>
    <row r="190" spans="1:9">
      <c r="A190" s="161" t="s">
        <v>673</v>
      </c>
      <c r="B190" s="161"/>
      <c r="C190" s="161" t="s">
        <v>674</v>
      </c>
      <c r="D190" s="161"/>
      <c r="E190" s="161"/>
      <c r="F190" s="161"/>
      <c r="G190" s="161"/>
      <c r="H190" s="161"/>
      <c r="I190" s="313"/>
    </row>
    <row r="191" spans="1:9">
      <c r="A191" s="161" t="s">
        <v>675</v>
      </c>
      <c r="B191" s="161"/>
      <c r="C191" s="161" t="s">
        <v>676</v>
      </c>
      <c r="D191" s="161"/>
      <c r="E191" s="161"/>
      <c r="F191" s="161"/>
      <c r="G191" s="161"/>
      <c r="H191" s="161"/>
      <c r="I191" s="313"/>
    </row>
    <row r="192" spans="1:9">
      <c r="A192" s="161" t="s">
        <v>677</v>
      </c>
      <c r="B192" s="161"/>
      <c r="C192" s="161" t="s">
        <v>678</v>
      </c>
      <c r="D192" s="161"/>
      <c r="E192" s="161"/>
      <c r="F192" s="161"/>
      <c r="G192" s="161"/>
      <c r="H192" s="161"/>
      <c r="I192" s="313"/>
    </row>
    <row r="193" spans="1:9">
      <c r="A193" s="161" t="s">
        <v>679</v>
      </c>
      <c r="B193" s="161"/>
      <c r="C193" s="161" t="s">
        <v>680</v>
      </c>
      <c r="D193" s="161"/>
      <c r="E193" s="161"/>
      <c r="F193" s="161"/>
      <c r="G193" s="161"/>
      <c r="H193" s="161"/>
      <c r="I193" s="313"/>
    </row>
    <row r="194" spans="1:9">
      <c r="A194" s="161" t="s">
        <v>681</v>
      </c>
      <c r="B194" s="161"/>
      <c r="C194" s="161" t="s">
        <v>682</v>
      </c>
      <c r="D194" s="161"/>
      <c r="E194" s="161"/>
      <c r="F194" s="161"/>
      <c r="G194" s="161"/>
      <c r="H194" s="161"/>
      <c r="I194" s="313"/>
    </row>
    <row r="195" spans="1:9">
      <c r="A195" s="161" t="s">
        <v>683</v>
      </c>
      <c r="B195" s="161"/>
      <c r="C195" s="161" t="s">
        <v>684</v>
      </c>
      <c r="D195" s="161"/>
      <c r="E195" s="161"/>
      <c r="F195" s="161"/>
      <c r="G195" s="161"/>
      <c r="H195" s="161"/>
      <c r="I195" s="313"/>
    </row>
    <row r="196" spans="1:9">
      <c r="A196" s="161" t="s">
        <v>685</v>
      </c>
      <c r="B196" s="161"/>
      <c r="C196" s="161" t="s">
        <v>686</v>
      </c>
      <c r="D196" s="161"/>
      <c r="E196" s="161"/>
      <c r="F196" s="161"/>
      <c r="G196" s="161"/>
      <c r="H196" s="161"/>
      <c r="I196" s="313"/>
    </row>
    <row r="197" spans="1:9">
      <c r="A197" s="161" t="s">
        <v>687</v>
      </c>
      <c r="B197" s="161"/>
      <c r="C197" s="161" t="s">
        <v>688</v>
      </c>
      <c r="D197" s="161"/>
      <c r="E197" s="161"/>
      <c r="F197" s="161"/>
      <c r="G197" s="161"/>
      <c r="H197" s="161"/>
      <c r="I197" s="313"/>
    </row>
    <row r="198" spans="1:9">
      <c r="A198" s="161" t="s">
        <v>689</v>
      </c>
      <c r="B198" s="161"/>
      <c r="C198" s="161" t="s">
        <v>690</v>
      </c>
      <c r="D198" s="161"/>
      <c r="E198" s="161"/>
      <c r="F198" s="161"/>
      <c r="G198" s="161"/>
      <c r="H198" s="161"/>
      <c r="I198" s="313"/>
    </row>
    <row r="199" spans="1:9">
      <c r="A199" s="161" t="s">
        <v>691</v>
      </c>
      <c r="B199" s="161"/>
      <c r="C199" s="161" t="s">
        <v>692</v>
      </c>
      <c r="D199" s="161"/>
      <c r="E199" s="161"/>
      <c r="F199" s="161"/>
      <c r="G199" s="161"/>
      <c r="H199" s="161"/>
      <c r="I199" s="313"/>
    </row>
    <row r="200" spans="1:9">
      <c r="A200" s="161" t="s">
        <v>693</v>
      </c>
      <c r="B200" s="161"/>
      <c r="C200" s="161" t="s">
        <v>694</v>
      </c>
      <c r="D200" s="161"/>
      <c r="E200" s="161"/>
      <c r="F200" s="161"/>
      <c r="G200" s="161"/>
      <c r="H200" s="161"/>
      <c r="I200" s="313"/>
    </row>
    <row r="201" spans="1:9">
      <c r="A201" s="161" t="s">
        <v>695</v>
      </c>
      <c r="B201" s="161"/>
      <c r="C201" s="161" t="s">
        <v>696</v>
      </c>
      <c r="D201" s="161"/>
      <c r="E201" s="161"/>
      <c r="F201" s="161"/>
      <c r="G201" s="161"/>
      <c r="H201" s="161"/>
      <c r="I201" s="313"/>
    </row>
    <row r="202" spans="1:9">
      <c r="A202" s="161" t="s">
        <v>697</v>
      </c>
      <c r="B202" s="161"/>
      <c r="C202" s="161" t="s">
        <v>698</v>
      </c>
      <c r="D202" s="161"/>
      <c r="E202" s="161"/>
      <c r="F202" s="161"/>
      <c r="G202" s="161"/>
      <c r="H202" s="161"/>
      <c r="I202" s="313"/>
    </row>
    <row r="203" spans="1:9">
      <c r="A203" s="161" t="s">
        <v>699</v>
      </c>
      <c r="B203" s="161"/>
      <c r="C203" s="161" t="s">
        <v>700</v>
      </c>
      <c r="D203" s="161"/>
      <c r="E203" s="161"/>
      <c r="F203" s="161"/>
      <c r="G203" s="161"/>
      <c r="H203" s="161"/>
      <c r="I203" s="313"/>
    </row>
    <row r="204" spans="1:9">
      <c r="A204" s="161" t="s">
        <v>701</v>
      </c>
      <c r="B204" s="161"/>
      <c r="C204" s="161" t="s">
        <v>702</v>
      </c>
      <c r="D204" s="161"/>
      <c r="E204" s="161"/>
      <c r="F204" s="161"/>
      <c r="G204" s="161"/>
      <c r="H204" s="161"/>
      <c r="I204" s="313"/>
    </row>
    <row r="205" spans="1:9">
      <c r="A205" s="161" t="s">
        <v>703</v>
      </c>
      <c r="B205" s="161"/>
      <c r="C205" s="161" t="s">
        <v>704</v>
      </c>
      <c r="D205" s="161"/>
      <c r="E205" s="161"/>
      <c r="F205" s="161"/>
      <c r="G205" s="161"/>
      <c r="H205" s="161"/>
      <c r="I205" s="313"/>
    </row>
    <row r="206" spans="1:9">
      <c r="A206" s="161" t="s">
        <v>705</v>
      </c>
      <c r="B206" s="161"/>
      <c r="C206" s="161" t="s">
        <v>706</v>
      </c>
      <c r="D206" s="161"/>
      <c r="E206" s="161"/>
      <c r="F206" s="161"/>
      <c r="G206" s="161"/>
      <c r="H206" s="161"/>
      <c r="I206" s="313"/>
    </row>
    <row r="207" spans="1:9">
      <c r="A207" s="161" t="s">
        <v>707</v>
      </c>
      <c r="B207" s="161"/>
      <c r="C207" s="161" t="s">
        <v>708</v>
      </c>
      <c r="D207" s="161"/>
      <c r="E207" s="161"/>
      <c r="F207" s="161"/>
      <c r="G207" s="161"/>
      <c r="H207" s="161"/>
      <c r="I207" s="313"/>
    </row>
    <row r="208" spans="1:9">
      <c r="A208" s="161" t="s">
        <v>709</v>
      </c>
      <c r="B208" s="161"/>
      <c r="C208" s="161" t="s">
        <v>710</v>
      </c>
      <c r="D208" s="161"/>
      <c r="E208" s="161"/>
      <c r="F208" s="161"/>
      <c r="G208" s="161"/>
      <c r="H208" s="161"/>
      <c r="I208" s="313"/>
    </row>
    <row r="209" spans="1:9">
      <c r="A209" s="161" t="s">
        <v>711</v>
      </c>
      <c r="B209" s="161"/>
      <c r="C209" s="161" t="s">
        <v>712</v>
      </c>
      <c r="D209" s="161"/>
      <c r="E209" s="161"/>
      <c r="F209" s="161"/>
      <c r="G209" s="161"/>
      <c r="H209" s="161"/>
      <c r="I209" s="313"/>
    </row>
    <row r="210" spans="1:9">
      <c r="A210" s="161" t="s">
        <v>713</v>
      </c>
      <c r="B210" s="161"/>
      <c r="C210" s="161" t="s">
        <v>714</v>
      </c>
      <c r="D210" s="161"/>
      <c r="E210" s="161"/>
      <c r="F210" s="161"/>
      <c r="G210" s="161"/>
      <c r="H210" s="161"/>
      <c r="I210" s="313"/>
    </row>
    <row r="211" spans="1:9">
      <c r="A211" s="161" t="s">
        <v>715</v>
      </c>
      <c r="B211" s="161"/>
      <c r="C211" s="161" t="s">
        <v>716</v>
      </c>
      <c r="D211" s="161"/>
      <c r="E211" s="161"/>
      <c r="F211" s="161"/>
      <c r="G211" s="161"/>
      <c r="H211" s="161"/>
      <c r="I211" s="313"/>
    </row>
    <row r="212" spans="1:9">
      <c r="A212" s="161" t="s">
        <v>717</v>
      </c>
      <c r="B212" s="161"/>
      <c r="C212" s="161" t="s">
        <v>718</v>
      </c>
      <c r="D212" s="161"/>
      <c r="E212" s="161"/>
      <c r="F212" s="161"/>
      <c r="G212" s="161"/>
      <c r="H212" s="161"/>
      <c r="I212" s="313"/>
    </row>
    <row r="213" spans="1:9">
      <c r="A213" s="161" t="s">
        <v>719</v>
      </c>
      <c r="B213" s="161"/>
      <c r="C213" s="161" t="s">
        <v>720</v>
      </c>
      <c r="D213" s="161"/>
      <c r="E213" s="161"/>
      <c r="F213" s="161"/>
      <c r="G213" s="161"/>
      <c r="H213" s="161"/>
      <c r="I213" s="313"/>
    </row>
    <row r="214" spans="1:9">
      <c r="A214" s="161" t="s">
        <v>721</v>
      </c>
      <c r="B214" s="161"/>
      <c r="C214" s="161" t="s">
        <v>722</v>
      </c>
      <c r="D214" s="161"/>
      <c r="E214" s="161"/>
      <c r="F214" s="161"/>
      <c r="G214" s="161"/>
      <c r="H214" s="161"/>
      <c r="I214" s="313"/>
    </row>
    <row r="215" spans="1:9">
      <c r="A215" s="161" t="s">
        <v>723</v>
      </c>
      <c r="B215" s="161"/>
      <c r="C215" s="161" t="s">
        <v>724</v>
      </c>
      <c r="D215" s="161"/>
      <c r="E215" s="161"/>
      <c r="F215" s="161"/>
      <c r="G215" s="161"/>
      <c r="H215" s="161"/>
      <c r="I215" s="313"/>
    </row>
    <row r="216" spans="1:9">
      <c r="A216" s="161" t="s">
        <v>725</v>
      </c>
      <c r="B216" s="161"/>
      <c r="C216" s="161" t="s">
        <v>726</v>
      </c>
      <c r="D216" s="161"/>
      <c r="E216" s="161"/>
      <c r="F216" s="161"/>
      <c r="G216" s="161"/>
      <c r="H216" s="161"/>
      <c r="I216" s="313"/>
    </row>
    <row r="217" spans="1:9">
      <c r="A217" s="161" t="s">
        <v>727</v>
      </c>
      <c r="B217" s="161"/>
      <c r="C217" s="161" t="s">
        <v>728</v>
      </c>
      <c r="D217" s="161"/>
      <c r="E217" s="161"/>
      <c r="F217" s="161"/>
      <c r="G217" s="161"/>
      <c r="H217" s="161"/>
      <c r="I217" s="313"/>
    </row>
    <row r="218" spans="1:9">
      <c r="A218" s="161" t="s">
        <v>729</v>
      </c>
      <c r="B218" s="161"/>
      <c r="C218" s="161" t="s">
        <v>730</v>
      </c>
      <c r="D218" s="161"/>
      <c r="E218" s="161"/>
      <c r="F218" s="161"/>
      <c r="G218" s="161"/>
      <c r="H218" s="161"/>
      <c r="I218" s="313"/>
    </row>
    <row r="219" spans="1:9">
      <c r="A219" s="161" t="s">
        <v>731</v>
      </c>
      <c r="B219" s="161"/>
      <c r="C219" s="161" t="s">
        <v>732</v>
      </c>
      <c r="D219" s="161"/>
      <c r="E219" s="161"/>
      <c r="F219" s="161"/>
      <c r="G219" s="161"/>
      <c r="H219" s="161"/>
      <c r="I219" s="313"/>
    </row>
    <row r="220" spans="1:9">
      <c r="A220" s="161" t="s">
        <v>733</v>
      </c>
      <c r="B220" s="161"/>
      <c r="C220" s="161" t="s">
        <v>734</v>
      </c>
      <c r="D220" s="161"/>
      <c r="E220" s="161"/>
      <c r="F220" s="161"/>
      <c r="G220" s="161"/>
      <c r="H220" s="161"/>
      <c r="I220" s="313"/>
    </row>
    <row r="221" spans="1:9">
      <c r="A221" s="161" t="s">
        <v>735</v>
      </c>
      <c r="B221" s="161"/>
      <c r="C221" s="161" t="s">
        <v>279</v>
      </c>
      <c r="D221" s="161"/>
      <c r="E221" s="161"/>
      <c r="F221" s="161"/>
      <c r="G221" s="161"/>
      <c r="H221" s="161"/>
      <c r="I221" s="313"/>
    </row>
    <row r="222" spans="1:9">
      <c r="A222" s="161" t="s">
        <v>736</v>
      </c>
      <c r="B222" s="161"/>
      <c r="C222" s="161" t="s">
        <v>281</v>
      </c>
      <c r="D222" s="161"/>
      <c r="E222" s="161"/>
      <c r="F222" s="161"/>
      <c r="G222" s="161"/>
      <c r="H222" s="161"/>
      <c r="I222" s="313"/>
    </row>
  </sheetData>
  <autoFilter ref="A54:H54">
    <filterColumn colId="0" showButton="0"/>
    <filterColumn colId="1" showButton="0"/>
    <filterColumn colId="3" showButton="0"/>
    <filterColumn colId="5" showButton="0"/>
    <filterColumn colId="6" showButton="0"/>
  </autoFilter>
  <mergeCells count="36">
    <mergeCell ref="A135:B135"/>
    <mergeCell ref="C135:H135"/>
    <mergeCell ref="I135:I222"/>
    <mergeCell ref="B48:I48"/>
    <mergeCell ref="A54:C54"/>
    <mergeCell ref="D54:E54"/>
    <mergeCell ref="F54:H54"/>
    <mergeCell ref="I54:I129"/>
    <mergeCell ref="A134:C134"/>
    <mergeCell ref="B41:B44"/>
    <mergeCell ref="C41:C44"/>
    <mergeCell ref="H41:H44"/>
    <mergeCell ref="D42:D44"/>
    <mergeCell ref="E42:E44"/>
    <mergeCell ref="F42:F43"/>
    <mergeCell ref="H38:H40"/>
    <mergeCell ref="C39:C40"/>
    <mergeCell ref="D39:D40"/>
    <mergeCell ref="E39:E40"/>
    <mergeCell ref="F39:F40"/>
    <mergeCell ref="B3:H3"/>
    <mergeCell ref="B6:H6"/>
    <mergeCell ref="B9:H9"/>
    <mergeCell ref="B21:H22"/>
    <mergeCell ref="I21:I47"/>
    <mergeCell ref="C24:H24"/>
    <mergeCell ref="C25:C26"/>
    <mergeCell ref="D25:D26"/>
    <mergeCell ref="E25:E26"/>
    <mergeCell ref="F25:F26"/>
    <mergeCell ref="G25:G26"/>
    <mergeCell ref="H25:H26"/>
    <mergeCell ref="B27:B32"/>
    <mergeCell ref="B33:B37"/>
    <mergeCell ref="B38:B40"/>
    <mergeCell ref="G38:G40"/>
  </mergeCells>
  <hyperlinks>
    <hyperlink ref="B3:H3" location="Scoring" display="GRILLE DE SCORING DES IMPACTS DES INCIDENTS"/>
    <hyperlink ref="I21:I47" location="Annexes!A1" display="RETOUR MENU          RETOUR MENU            RETOUR MENU"/>
    <hyperlink ref="B48:I48" location="Annexes!A1" display="RETOUR MENU"/>
    <hyperlink ref="I54:I65" location="Annexes!A1" display="RETOUR MENU"/>
    <hyperlink ref="B6:H6" location="Annexes!A74" display="LISTE DES PROCESSUS MÉTIER NIVEAU 1, 2 et 3"/>
    <hyperlink ref="I135:I172" location="Annexes!A1" display="RETOUR MENU"/>
    <hyperlink ref="B9:H9" location="Annexes!A158" display="LISTE DES RISQUES"/>
  </hyperlink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sheetPr codeName="Feuil11"/>
  <dimension ref="B2:J94"/>
  <sheetViews>
    <sheetView zoomScale="73" zoomScaleNormal="73" workbookViewId="0">
      <selection activeCell="E57" sqref="E57"/>
    </sheetView>
  </sheetViews>
  <sheetFormatPr baseColWidth="10" defaultRowHeight="15"/>
  <cols>
    <col min="1" max="1" width="11.42578125" style="197"/>
    <col min="2" max="2" width="20.7109375" style="197" customWidth="1"/>
    <col min="3" max="3" width="42.28515625" style="197" customWidth="1"/>
    <col min="4" max="8" width="40.7109375" style="197" customWidth="1"/>
    <col min="9" max="16384" width="11.42578125" style="197"/>
  </cols>
  <sheetData>
    <row r="2" spans="2:7" ht="39" customHeight="1">
      <c r="B2" s="199" t="s">
        <v>992</v>
      </c>
      <c r="D2" s="200"/>
    </row>
    <row r="3" spans="2:7">
      <c r="B3" s="201" t="s">
        <v>64</v>
      </c>
      <c r="C3" s="259" t="s">
        <v>964</v>
      </c>
      <c r="D3" s="202" t="s">
        <v>64</v>
      </c>
      <c r="E3" s="203">
        <v>1</v>
      </c>
      <c r="F3" s="202"/>
      <c r="G3" s="198"/>
    </row>
    <row r="4" spans="2:7" ht="24">
      <c r="B4" s="204" t="s">
        <v>4</v>
      </c>
      <c r="C4" s="259" t="s">
        <v>965</v>
      </c>
      <c r="D4" s="202" t="s">
        <v>4</v>
      </c>
      <c r="E4" s="203">
        <v>2</v>
      </c>
      <c r="F4" s="202"/>
      <c r="G4" s="198"/>
    </row>
    <row r="5" spans="2:7" ht="24">
      <c r="B5" s="205" t="s">
        <v>5</v>
      </c>
      <c r="C5" s="259" t="s">
        <v>966</v>
      </c>
      <c r="D5" s="202" t="s">
        <v>5</v>
      </c>
      <c r="E5" s="203">
        <v>3</v>
      </c>
      <c r="F5" s="202"/>
      <c r="G5" s="198"/>
    </row>
    <row r="6" spans="2:7" ht="24">
      <c r="B6" s="206" t="s">
        <v>6</v>
      </c>
      <c r="C6" s="259" t="s">
        <v>967</v>
      </c>
      <c r="D6" s="202" t="s">
        <v>6</v>
      </c>
      <c r="E6" s="203">
        <v>4</v>
      </c>
      <c r="F6" s="202"/>
      <c r="G6" s="198"/>
    </row>
    <row r="7" spans="2:7" ht="24">
      <c r="B7" s="207" t="s">
        <v>21</v>
      </c>
      <c r="C7" s="259" t="s">
        <v>968</v>
      </c>
      <c r="D7" s="202" t="s">
        <v>21</v>
      </c>
      <c r="E7" s="203">
        <v>5</v>
      </c>
      <c r="F7" s="202"/>
      <c r="G7" s="198"/>
    </row>
    <row r="8" spans="2:7" ht="24">
      <c r="B8" s="208" t="s">
        <v>7</v>
      </c>
      <c r="C8" s="259" t="s">
        <v>969</v>
      </c>
      <c r="D8" s="202" t="s">
        <v>7</v>
      </c>
      <c r="E8" s="203">
        <v>6</v>
      </c>
      <c r="F8" s="202"/>
      <c r="G8" s="198"/>
    </row>
    <row r="9" spans="2:7">
      <c r="F9" s="209"/>
      <c r="G9" s="198"/>
    </row>
    <row r="10" spans="2:7" ht="32.25" customHeight="1">
      <c r="B10" s="199" t="s">
        <v>993</v>
      </c>
      <c r="D10" s="200"/>
    </row>
    <row r="11" spans="2:7" ht="48">
      <c r="B11" s="201" t="s">
        <v>8</v>
      </c>
      <c r="C11" s="259" t="s">
        <v>439</v>
      </c>
      <c r="D11" s="202" t="s">
        <v>8</v>
      </c>
      <c r="E11" s="203">
        <v>1</v>
      </c>
    </row>
    <row r="12" spans="2:7" ht="48">
      <c r="B12" s="204" t="s">
        <v>9</v>
      </c>
      <c r="C12" s="259" t="s">
        <v>440</v>
      </c>
      <c r="D12" s="202" t="s">
        <v>9</v>
      </c>
      <c r="E12" s="203">
        <v>2</v>
      </c>
    </row>
    <row r="13" spans="2:7" ht="60">
      <c r="B13" s="205" t="s">
        <v>10</v>
      </c>
      <c r="C13" s="259" t="s">
        <v>441</v>
      </c>
      <c r="D13" s="202" t="s">
        <v>10</v>
      </c>
      <c r="E13" s="203">
        <v>3</v>
      </c>
    </row>
    <row r="14" spans="2:7" ht="72">
      <c r="B14" s="206" t="s">
        <v>11</v>
      </c>
      <c r="C14" s="259" t="s">
        <v>442</v>
      </c>
      <c r="D14" s="202" t="s">
        <v>11</v>
      </c>
      <c r="E14" s="203">
        <v>4</v>
      </c>
    </row>
    <row r="15" spans="2:7" ht="72">
      <c r="B15" s="207" t="s">
        <v>12</v>
      </c>
      <c r="C15" s="259" t="s">
        <v>777</v>
      </c>
      <c r="D15" s="202" t="s">
        <v>12</v>
      </c>
      <c r="E15" s="203">
        <v>5</v>
      </c>
    </row>
    <row r="16" spans="2:7" ht="24">
      <c r="B16" s="208" t="s">
        <v>19</v>
      </c>
      <c r="C16" s="259" t="s">
        <v>444</v>
      </c>
      <c r="D16" s="202" t="s">
        <v>19</v>
      </c>
      <c r="E16" s="203">
        <v>6</v>
      </c>
    </row>
    <row r="19" spans="2:5">
      <c r="B19" s="199" t="s">
        <v>1006</v>
      </c>
      <c r="D19" s="200"/>
    </row>
    <row r="20" spans="2:5" ht="24">
      <c r="B20" s="201" t="s">
        <v>8</v>
      </c>
      <c r="C20" s="259" t="s">
        <v>970</v>
      </c>
      <c r="D20" s="202" t="s">
        <v>8</v>
      </c>
      <c r="E20" s="203">
        <v>1</v>
      </c>
    </row>
    <row r="21" spans="2:5" ht="24">
      <c r="B21" s="204" t="s">
        <v>9</v>
      </c>
      <c r="C21" s="259" t="s">
        <v>971</v>
      </c>
      <c r="D21" s="202" t="s">
        <v>9</v>
      </c>
      <c r="E21" s="203">
        <v>2</v>
      </c>
    </row>
    <row r="22" spans="2:5">
      <c r="B22" s="205" t="s">
        <v>10</v>
      </c>
      <c r="C22" s="259" t="s">
        <v>972</v>
      </c>
      <c r="D22" s="202" t="s">
        <v>10</v>
      </c>
      <c r="E22" s="203">
        <v>3</v>
      </c>
    </row>
    <row r="23" spans="2:5" ht="24">
      <c r="B23" s="206" t="s">
        <v>11</v>
      </c>
      <c r="C23" s="259" t="s">
        <v>973</v>
      </c>
      <c r="D23" s="202" t="s">
        <v>11</v>
      </c>
      <c r="E23" s="203">
        <v>4</v>
      </c>
    </row>
    <row r="24" spans="2:5" ht="24">
      <c r="B24" s="207" t="s">
        <v>12</v>
      </c>
      <c r="C24" s="259" t="s">
        <v>974</v>
      </c>
      <c r="D24" s="202" t="s">
        <v>12</v>
      </c>
      <c r="E24" s="203">
        <v>5</v>
      </c>
    </row>
    <row r="25" spans="2:5">
      <c r="B25" s="208" t="s">
        <v>19</v>
      </c>
      <c r="C25" s="259" t="s">
        <v>975</v>
      </c>
      <c r="D25" s="202" t="s">
        <v>19</v>
      </c>
      <c r="E25" s="203">
        <v>6</v>
      </c>
    </row>
    <row r="27" spans="2:5">
      <c r="B27" s="199" t="s">
        <v>1007</v>
      </c>
      <c r="D27" s="200"/>
    </row>
    <row r="28" spans="2:5" ht="96">
      <c r="B28" s="201" t="s">
        <v>8</v>
      </c>
      <c r="C28" s="259" t="s">
        <v>1008</v>
      </c>
      <c r="D28" s="202" t="s">
        <v>8</v>
      </c>
      <c r="E28" s="203">
        <v>1</v>
      </c>
    </row>
    <row r="29" spans="2:5" ht="72">
      <c r="B29" s="204" t="s">
        <v>9</v>
      </c>
      <c r="C29" s="259" t="s">
        <v>768</v>
      </c>
      <c r="D29" s="202" t="s">
        <v>9</v>
      </c>
      <c r="E29" s="203">
        <v>2</v>
      </c>
    </row>
    <row r="30" spans="2:5" ht="108">
      <c r="B30" s="205" t="s">
        <v>10</v>
      </c>
      <c r="C30" s="259" t="s">
        <v>1009</v>
      </c>
      <c r="D30" s="202" t="s">
        <v>10</v>
      </c>
      <c r="E30" s="203">
        <v>3</v>
      </c>
    </row>
    <row r="31" spans="2:5" ht="115.5" customHeight="1">
      <c r="B31" s="206" t="s">
        <v>11</v>
      </c>
      <c r="C31" s="259" t="s">
        <v>1011</v>
      </c>
      <c r="D31" s="202" t="s">
        <v>11</v>
      </c>
      <c r="E31" s="203">
        <v>4</v>
      </c>
    </row>
    <row r="32" spans="2:5" ht="96">
      <c r="B32" s="207" t="s">
        <v>12</v>
      </c>
      <c r="C32" s="259" t="s">
        <v>1010</v>
      </c>
      <c r="D32" s="202" t="s">
        <v>12</v>
      </c>
      <c r="E32" s="203">
        <v>5</v>
      </c>
    </row>
    <row r="33" spans="2:5" ht="96">
      <c r="B33" s="208" t="s">
        <v>19</v>
      </c>
      <c r="C33" s="259" t="s">
        <v>1012</v>
      </c>
      <c r="D33" s="202" t="s">
        <v>19</v>
      </c>
      <c r="E33" s="203">
        <v>6</v>
      </c>
    </row>
    <row r="36" spans="2:5">
      <c r="B36" s="199" t="s">
        <v>1013</v>
      </c>
      <c r="D36" s="200"/>
    </row>
    <row r="37" spans="2:5" ht="24">
      <c r="B37" s="201" t="s">
        <v>8</v>
      </c>
      <c r="C37" s="259" t="s">
        <v>769</v>
      </c>
      <c r="D37" s="202" t="s">
        <v>8</v>
      </c>
      <c r="E37" s="203">
        <v>1</v>
      </c>
    </row>
    <row r="38" spans="2:5" ht="24">
      <c r="B38" s="204" t="s">
        <v>9</v>
      </c>
      <c r="C38" s="259" t="s">
        <v>770</v>
      </c>
      <c r="D38" s="202" t="s">
        <v>9</v>
      </c>
      <c r="E38" s="203">
        <v>2</v>
      </c>
    </row>
    <row r="39" spans="2:5" ht="48">
      <c r="B39" s="205" t="s">
        <v>10</v>
      </c>
      <c r="C39" s="259" t="s">
        <v>771</v>
      </c>
      <c r="D39" s="202" t="s">
        <v>10</v>
      </c>
      <c r="E39" s="203">
        <v>3</v>
      </c>
    </row>
    <row r="40" spans="2:5" ht="48">
      <c r="B40" s="206" t="s">
        <v>11</v>
      </c>
      <c r="C40" s="259" t="s">
        <v>772</v>
      </c>
      <c r="D40" s="202" t="s">
        <v>11</v>
      </c>
      <c r="E40" s="203">
        <v>4</v>
      </c>
    </row>
    <row r="41" spans="2:5" ht="24">
      <c r="B41" s="207" t="s">
        <v>12</v>
      </c>
      <c r="C41" s="259" t="s">
        <v>412</v>
      </c>
      <c r="D41" s="202" t="s">
        <v>12</v>
      </c>
      <c r="E41" s="203">
        <v>5</v>
      </c>
    </row>
    <row r="42" spans="2:5">
      <c r="B42" s="208" t="s">
        <v>19</v>
      </c>
      <c r="C42" s="259" t="s">
        <v>413</v>
      </c>
      <c r="D42" s="202" t="s">
        <v>19</v>
      </c>
      <c r="E42" s="203">
        <v>6</v>
      </c>
    </row>
    <row r="45" spans="2:5">
      <c r="B45" s="199" t="s">
        <v>1014</v>
      </c>
      <c r="D45" s="200"/>
    </row>
    <row r="46" spans="2:5" ht="24">
      <c r="B46" s="201" t="s">
        <v>8</v>
      </c>
      <c r="C46" s="259" t="s">
        <v>419</v>
      </c>
      <c r="D46" s="202" t="s">
        <v>8</v>
      </c>
      <c r="E46" s="203">
        <v>1</v>
      </c>
    </row>
    <row r="47" spans="2:5" ht="36">
      <c r="B47" s="204" t="s">
        <v>9</v>
      </c>
      <c r="C47" s="259" t="s">
        <v>773</v>
      </c>
      <c r="D47" s="202" t="s">
        <v>9</v>
      </c>
      <c r="E47" s="203">
        <v>2</v>
      </c>
    </row>
    <row r="48" spans="2:5" ht="48">
      <c r="B48" s="205" t="s">
        <v>10</v>
      </c>
      <c r="C48" s="259" t="s">
        <v>774</v>
      </c>
      <c r="D48" s="202" t="s">
        <v>10</v>
      </c>
      <c r="E48" s="203">
        <v>3</v>
      </c>
    </row>
    <row r="49" spans="2:10" ht="72">
      <c r="B49" s="206" t="s">
        <v>11</v>
      </c>
      <c r="C49" s="259" t="s">
        <v>775</v>
      </c>
      <c r="D49" s="202" t="s">
        <v>11</v>
      </c>
      <c r="E49" s="203">
        <v>4</v>
      </c>
    </row>
    <row r="50" spans="2:10" ht="80.25" customHeight="1">
      <c r="B50" s="207" t="s">
        <v>12</v>
      </c>
      <c r="C50" s="259" t="s">
        <v>1015</v>
      </c>
      <c r="D50" s="202" t="s">
        <v>12</v>
      </c>
      <c r="E50" s="203">
        <v>5</v>
      </c>
    </row>
    <row r="51" spans="2:10" ht="24">
      <c r="B51" s="208" t="s">
        <v>19</v>
      </c>
      <c r="C51" s="259" t="s">
        <v>424</v>
      </c>
      <c r="D51" s="202" t="s">
        <v>19</v>
      </c>
      <c r="E51" s="203">
        <v>6</v>
      </c>
    </row>
    <row r="55" spans="2:10">
      <c r="B55" s="199" t="s">
        <v>991</v>
      </c>
      <c r="D55" s="200"/>
    </row>
    <row r="56" spans="2:10" ht="48">
      <c r="B56" s="207" t="s">
        <v>34</v>
      </c>
      <c r="C56" s="259" t="s">
        <v>985</v>
      </c>
      <c r="D56" s="202" t="s">
        <v>34</v>
      </c>
      <c r="E56" s="203">
        <v>1</v>
      </c>
    </row>
    <row r="57" spans="2:10" ht="60">
      <c r="B57" s="206" t="s">
        <v>9</v>
      </c>
      <c r="C57" s="259" t="s">
        <v>986</v>
      </c>
      <c r="D57" s="202" t="s">
        <v>9</v>
      </c>
      <c r="E57" s="203">
        <v>2</v>
      </c>
    </row>
    <row r="58" spans="2:10" ht="60">
      <c r="B58" s="205" t="s">
        <v>32</v>
      </c>
      <c r="C58" s="259" t="s">
        <v>987</v>
      </c>
      <c r="D58" s="202" t="s">
        <v>32</v>
      </c>
      <c r="E58" s="203">
        <v>3</v>
      </c>
    </row>
    <row r="59" spans="2:10" ht="60">
      <c r="B59" s="201" t="s">
        <v>88</v>
      </c>
      <c r="C59" s="259" t="s">
        <v>988</v>
      </c>
      <c r="D59" s="202" t="s">
        <v>88</v>
      </c>
      <c r="E59" s="203">
        <v>4</v>
      </c>
    </row>
    <row r="62" spans="2:10">
      <c r="B62" s="251"/>
      <c r="C62" s="250"/>
      <c r="D62" s="250"/>
      <c r="E62" s="250"/>
      <c r="F62" s="250"/>
      <c r="G62" s="250"/>
      <c r="H62" s="250"/>
      <c r="I62" s="248"/>
      <c r="J62" s="248"/>
    </row>
    <row r="63" spans="2:10">
      <c r="B63" s="199" t="s">
        <v>994</v>
      </c>
      <c r="D63" s="200"/>
      <c r="F63" s="250"/>
      <c r="G63" s="250"/>
      <c r="H63" s="250"/>
      <c r="I63" s="248"/>
      <c r="J63" s="248"/>
    </row>
    <row r="64" spans="2:10" ht="24">
      <c r="B64" s="207" t="s">
        <v>34</v>
      </c>
      <c r="C64" s="259" t="s">
        <v>976</v>
      </c>
      <c r="D64" s="202" t="s">
        <v>34</v>
      </c>
      <c r="E64" s="203">
        <v>1</v>
      </c>
      <c r="F64" s="250"/>
      <c r="G64" s="250"/>
      <c r="H64" s="250"/>
      <c r="I64" s="248"/>
      <c r="J64" s="248"/>
    </row>
    <row r="65" spans="2:10" ht="24">
      <c r="B65" s="206" t="s">
        <v>9</v>
      </c>
      <c r="C65" s="259" t="s">
        <v>977</v>
      </c>
      <c r="D65" s="202" t="s">
        <v>9</v>
      </c>
      <c r="E65" s="203">
        <v>2</v>
      </c>
      <c r="F65" s="250"/>
      <c r="G65" s="250"/>
      <c r="H65" s="250"/>
      <c r="I65" s="248"/>
      <c r="J65" s="248"/>
    </row>
    <row r="66" spans="2:10" ht="24">
      <c r="B66" s="205" t="s">
        <v>32</v>
      </c>
      <c r="C66" s="259" t="s">
        <v>995</v>
      </c>
      <c r="D66" s="202" t="s">
        <v>32</v>
      </c>
      <c r="E66" s="203">
        <v>3</v>
      </c>
      <c r="F66" s="250"/>
      <c r="G66" s="250"/>
      <c r="H66" s="250"/>
      <c r="I66" s="248"/>
      <c r="J66" s="248"/>
    </row>
    <row r="67" spans="2:10" ht="24">
      <c r="B67" s="201" t="s">
        <v>88</v>
      </c>
      <c r="C67" s="259" t="s">
        <v>978</v>
      </c>
      <c r="D67" s="202" t="s">
        <v>88</v>
      </c>
      <c r="E67" s="203">
        <v>4</v>
      </c>
      <c r="F67" s="250"/>
      <c r="G67" s="250"/>
      <c r="H67" s="250"/>
      <c r="I67" s="248"/>
      <c r="J67" s="248"/>
    </row>
    <row r="68" spans="2:10">
      <c r="B68" s="251"/>
      <c r="C68" s="250"/>
      <c r="D68" s="250"/>
      <c r="E68" s="250"/>
      <c r="F68" s="250"/>
      <c r="G68" s="250"/>
      <c r="H68" s="250"/>
      <c r="I68" s="248"/>
      <c r="J68" s="248"/>
    </row>
    <row r="69" spans="2:10">
      <c r="B69" s="199" t="s">
        <v>996</v>
      </c>
      <c r="D69" s="200"/>
      <c r="F69" s="250"/>
      <c r="G69" s="250"/>
      <c r="H69" s="250"/>
      <c r="I69" s="248"/>
      <c r="J69" s="248"/>
    </row>
    <row r="70" spans="2:10" ht="36">
      <c r="B70" s="207" t="s">
        <v>34</v>
      </c>
      <c r="C70" s="259" t="s">
        <v>997</v>
      </c>
      <c r="D70" s="202" t="s">
        <v>34</v>
      </c>
      <c r="E70" s="203">
        <v>1</v>
      </c>
      <c r="F70" s="250"/>
      <c r="G70" s="250"/>
      <c r="H70" s="250"/>
      <c r="I70" s="248"/>
      <c r="J70" s="248"/>
    </row>
    <row r="71" spans="2:10" ht="24">
      <c r="B71" s="206" t="s">
        <v>9</v>
      </c>
      <c r="C71" s="259" t="s">
        <v>979</v>
      </c>
      <c r="D71" s="202" t="s">
        <v>9</v>
      </c>
      <c r="E71" s="203">
        <v>2</v>
      </c>
      <c r="F71" s="250"/>
      <c r="G71" s="250"/>
      <c r="H71" s="250"/>
      <c r="I71" s="248"/>
      <c r="J71" s="248"/>
    </row>
    <row r="72" spans="2:10" ht="24">
      <c r="B72" s="205" t="s">
        <v>32</v>
      </c>
      <c r="C72" s="259" t="s">
        <v>998</v>
      </c>
      <c r="D72" s="202" t="s">
        <v>32</v>
      </c>
      <c r="E72" s="203">
        <v>3</v>
      </c>
      <c r="F72" s="250"/>
      <c r="G72" s="250"/>
      <c r="H72" s="250"/>
      <c r="I72" s="248"/>
      <c r="J72" s="248"/>
    </row>
    <row r="73" spans="2:10" ht="27.75" customHeight="1">
      <c r="B73" s="201" t="s">
        <v>88</v>
      </c>
      <c r="C73" s="259" t="s">
        <v>980</v>
      </c>
      <c r="D73" s="202" t="s">
        <v>88</v>
      </c>
      <c r="E73" s="203">
        <v>4</v>
      </c>
      <c r="F73" s="250"/>
      <c r="G73" s="250"/>
      <c r="H73" s="250"/>
      <c r="I73" s="248"/>
      <c r="J73" s="248"/>
    </row>
    <row r="74" spans="2:10" ht="27.75" customHeight="1">
      <c r="B74" s="257"/>
      <c r="C74" s="256"/>
      <c r="D74" s="202"/>
      <c r="E74" s="203"/>
      <c r="F74" s="250"/>
      <c r="G74" s="250"/>
      <c r="H74" s="250"/>
      <c r="I74" s="248"/>
      <c r="J74" s="248"/>
    </row>
    <row r="75" spans="2:10" ht="27.75" customHeight="1">
      <c r="B75" s="199" t="s">
        <v>999</v>
      </c>
      <c r="D75" s="200"/>
      <c r="F75" s="250"/>
      <c r="G75" s="250"/>
      <c r="H75" s="250"/>
      <c r="I75" s="248"/>
      <c r="J75" s="248"/>
    </row>
    <row r="76" spans="2:10" ht="27.75" customHeight="1">
      <c r="B76" s="207" t="s">
        <v>34</v>
      </c>
      <c r="C76" s="258" t="s">
        <v>1000</v>
      </c>
      <c r="D76" s="202" t="s">
        <v>34</v>
      </c>
      <c r="E76" s="203">
        <v>1</v>
      </c>
      <c r="F76" s="250"/>
      <c r="G76" s="250"/>
      <c r="H76" s="250"/>
      <c r="I76" s="248"/>
      <c r="J76" s="248"/>
    </row>
    <row r="77" spans="2:10" ht="48">
      <c r="B77" s="206" t="s">
        <v>9</v>
      </c>
      <c r="C77" s="258" t="s">
        <v>1001</v>
      </c>
      <c r="D77" s="202" t="s">
        <v>9</v>
      </c>
      <c r="E77" s="203">
        <v>2</v>
      </c>
      <c r="F77" s="250"/>
      <c r="G77" s="250"/>
      <c r="H77" s="250"/>
      <c r="I77" s="248"/>
      <c r="J77" s="248"/>
    </row>
    <row r="78" spans="2:10" ht="36">
      <c r="B78" s="205" t="s">
        <v>32</v>
      </c>
      <c r="C78" s="258" t="s">
        <v>1002</v>
      </c>
      <c r="D78" s="202" t="s">
        <v>32</v>
      </c>
      <c r="E78" s="203">
        <v>3</v>
      </c>
      <c r="F78" s="250"/>
      <c r="G78" s="250"/>
      <c r="H78" s="250"/>
      <c r="I78" s="248"/>
      <c r="J78" s="248"/>
    </row>
    <row r="79" spans="2:10" ht="39" customHeight="1">
      <c r="B79" s="201" t="s">
        <v>88</v>
      </c>
      <c r="C79" s="258" t="s">
        <v>1003</v>
      </c>
      <c r="D79" s="202" t="s">
        <v>88</v>
      </c>
      <c r="E79" s="203">
        <v>4</v>
      </c>
      <c r="F79" s="250"/>
      <c r="G79" s="250"/>
      <c r="H79" s="250"/>
      <c r="I79" s="248"/>
      <c r="J79" s="248"/>
    </row>
    <row r="80" spans="2:10" ht="27.75" customHeight="1">
      <c r="B80" s="257"/>
      <c r="C80" s="256"/>
      <c r="D80" s="202"/>
      <c r="E80" s="203"/>
      <c r="F80" s="250"/>
      <c r="G80" s="250"/>
      <c r="H80" s="250"/>
      <c r="I80" s="248"/>
      <c r="J80" s="248"/>
    </row>
    <row r="81" spans="2:10" ht="27.75" customHeight="1">
      <c r="B81" s="257"/>
      <c r="C81" s="256"/>
      <c r="D81" s="202"/>
      <c r="E81" s="203"/>
      <c r="F81" s="250"/>
      <c r="G81" s="250"/>
      <c r="H81" s="250"/>
      <c r="I81" s="248"/>
      <c r="J81" s="248"/>
    </row>
    <row r="82" spans="2:10" ht="27.75" customHeight="1">
      <c r="B82" s="199" t="s">
        <v>1004</v>
      </c>
      <c r="D82" s="200"/>
      <c r="F82" s="250"/>
      <c r="G82" s="250"/>
      <c r="H82" s="250"/>
      <c r="I82" s="248"/>
      <c r="J82" s="248"/>
    </row>
    <row r="83" spans="2:10" ht="36">
      <c r="B83" s="207" t="s">
        <v>34</v>
      </c>
      <c r="C83" s="258" t="s">
        <v>981</v>
      </c>
      <c r="D83" s="202" t="s">
        <v>34</v>
      </c>
      <c r="E83" s="203">
        <v>1</v>
      </c>
      <c r="F83" s="250"/>
      <c r="G83" s="250"/>
      <c r="H83" s="250"/>
      <c r="I83" s="248"/>
      <c r="J83" s="248"/>
    </row>
    <row r="84" spans="2:10" ht="36">
      <c r="B84" s="206" t="s">
        <v>9</v>
      </c>
      <c r="C84" s="258" t="s">
        <v>982</v>
      </c>
      <c r="D84" s="202" t="s">
        <v>9</v>
      </c>
      <c r="E84" s="203">
        <v>2</v>
      </c>
      <c r="F84" s="250"/>
      <c r="G84" s="250"/>
      <c r="H84" s="250"/>
      <c r="I84" s="248"/>
      <c r="J84" s="248"/>
    </row>
    <row r="85" spans="2:10" ht="24">
      <c r="B85" s="205" t="s">
        <v>32</v>
      </c>
      <c r="C85" s="258" t="s">
        <v>983</v>
      </c>
      <c r="D85" s="202" t="s">
        <v>32</v>
      </c>
      <c r="E85" s="203">
        <v>3</v>
      </c>
      <c r="F85" s="250"/>
      <c r="G85" s="250"/>
      <c r="H85" s="250"/>
      <c r="I85" s="248"/>
      <c r="J85" s="248"/>
    </row>
    <row r="86" spans="2:10" ht="24">
      <c r="B86" s="201" t="s">
        <v>88</v>
      </c>
      <c r="C86" s="258" t="s">
        <v>984</v>
      </c>
      <c r="D86" s="202" t="s">
        <v>88</v>
      </c>
      <c r="E86" s="203">
        <v>4</v>
      </c>
      <c r="F86" s="250"/>
      <c r="G86" s="250"/>
      <c r="H86" s="250"/>
      <c r="I86" s="248"/>
      <c r="J86" s="248"/>
    </row>
    <row r="87" spans="2:10" ht="27.75" customHeight="1">
      <c r="B87" s="257"/>
      <c r="C87" s="256"/>
      <c r="D87" s="202"/>
      <c r="E87" s="203"/>
      <c r="F87" s="250"/>
      <c r="G87" s="250"/>
      <c r="H87" s="250"/>
      <c r="I87" s="248"/>
      <c r="J87" s="248"/>
    </row>
    <row r="88" spans="2:10" ht="27.75" customHeight="1">
      <c r="B88" s="257"/>
      <c r="C88" s="256"/>
      <c r="D88" s="202"/>
      <c r="E88" s="203"/>
      <c r="F88" s="250"/>
      <c r="G88" s="250"/>
      <c r="H88" s="250"/>
      <c r="I88" s="248"/>
      <c r="J88" s="248"/>
    </row>
    <row r="89" spans="2:10">
      <c r="B89" s="199" t="s">
        <v>1005</v>
      </c>
      <c r="D89" s="200"/>
      <c r="F89" s="249"/>
      <c r="G89" s="252"/>
      <c r="H89" s="253"/>
      <c r="I89" s="1"/>
      <c r="J89" s="1"/>
    </row>
    <row r="90" spans="2:10" ht="36">
      <c r="B90" s="207" t="s">
        <v>34</v>
      </c>
      <c r="C90" s="258" t="s">
        <v>1000</v>
      </c>
      <c r="D90" s="202" t="s">
        <v>34</v>
      </c>
      <c r="E90" s="203">
        <v>1</v>
      </c>
      <c r="F90" s="247"/>
      <c r="G90" s="254"/>
      <c r="H90" s="255"/>
      <c r="I90" s="1"/>
      <c r="J90" s="1"/>
    </row>
    <row r="91" spans="2:10" ht="48">
      <c r="B91" s="206" t="s">
        <v>9</v>
      </c>
      <c r="C91" s="258" t="s">
        <v>1001</v>
      </c>
      <c r="D91" s="202" t="s">
        <v>9</v>
      </c>
      <c r="E91" s="203">
        <v>2</v>
      </c>
      <c r="F91" s="247"/>
      <c r="G91" s="254"/>
      <c r="H91" s="255"/>
      <c r="I91" s="1"/>
      <c r="J91" s="1"/>
    </row>
    <row r="92" spans="2:10" ht="36">
      <c r="B92" s="205" t="s">
        <v>32</v>
      </c>
      <c r="C92" s="258" t="s">
        <v>1002</v>
      </c>
      <c r="D92" s="202" t="s">
        <v>32</v>
      </c>
      <c r="E92" s="203">
        <v>3</v>
      </c>
      <c r="F92" s="248"/>
      <c r="G92" s="248"/>
      <c r="H92" s="248"/>
      <c r="I92" s="1"/>
      <c r="J92" s="1"/>
    </row>
    <row r="93" spans="2:10" ht="36">
      <c r="B93" s="201" t="s">
        <v>88</v>
      </c>
      <c r="C93" s="258" t="s">
        <v>1003</v>
      </c>
      <c r="D93" s="202" t="s">
        <v>88</v>
      </c>
      <c r="E93" s="203">
        <v>4</v>
      </c>
      <c r="F93" s="248"/>
      <c r="G93" s="248"/>
      <c r="H93" s="248"/>
      <c r="I93" s="1"/>
      <c r="J93" s="1"/>
    </row>
    <row r="94" spans="2:10">
      <c r="B94" s="1"/>
      <c r="C94" s="1"/>
      <c r="D94" s="1"/>
      <c r="E94" s="1"/>
      <c r="F94" s="1"/>
      <c r="G94" s="1"/>
      <c r="H94" s="1"/>
      <c r="I94" s="1"/>
      <c r="J94" s="1"/>
    </row>
  </sheetData>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sheetPr codeName="Feuil3">
    <tabColor rgb="FF7030A0"/>
    <pageSetUpPr fitToPage="1"/>
  </sheetPr>
  <dimension ref="A1:T13"/>
  <sheetViews>
    <sheetView showGridLines="0" tabSelected="1" topLeftCell="A4" zoomScale="70" zoomScaleNormal="70" workbookViewId="0">
      <selection activeCell="I6" sqref="I6"/>
    </sheetView>
  </sheetViews>
  <sheetFormatPr baseColWidth="10" defaultRowHeight="12.75"/>
  <cols>
    <col min="1" max="1" width="3.85546875" customWidth="1"/>
    <col min="2" max="2" width="3.5703125" customWidth="1"/>
    <col min="3" max="3" width="3" customWidth="1"/>
    <col min="4" max="4" width="5.7109375" customWidth="1"/>
    <col min="5" max="10" width="30.7109375" customWidth="1"/>
    <col min="13" max="13" width="3.5703125" customWidth="1"/>
    <col min="14" max="14" width="4" customWidth="1"/>
    <col min="15" max="15" width="2.42578125" customWidth="1"/>
    <col min="16" max="19" width="30.7109375" customWidth="1"/>
    <col min="20" max="20" width="3.85546875" customWidth="1"/>
  </cols>
  <sheetData>
    <row r="1" spans="1:20" ht="30.75" customHeight="1">
      <c r="A1" s="11"/>
      <c r="B1" s="7"/>
      <c r="C1" s="7"/>
      <c r="D1" s="7"/>
      <c r="E1" s="7"/>
      <c r="F1" s="7"/>
      <c r="G1" s="7"/>
      <c r="H1" s="7"/>
      <c r="I1" s="27"/>
      <c r="J1" s="7"/>
      <c r="K1" s="7"/>
      <c r="L1" s="7"/>
      <c r="M1" s="7"/>
      <c r="N1" s="7"/>
      <c r="O1" s="7"/>
      <c r="P1" s="7"/>
      <c r="Q1" s="7"/>
      <c r="R1" s="7"/>
      <c r="S1" s="7"/>
      <c r="T1" s="7"/>
    </row>
    <row r="2" spans="1:20" ht="24.75">
      <c r="F2" s="349" t="s">
        <v>893</v>
      </c>
      <c r="G2" s="349"/>
      <c r="H2" s="349"/>
      <c r="I2" s="349"/>
    </row>
    <row r="3" spans="1:20" ht="18">
      <c r="G3" s="76"/>
    </row>
    <row r="4" spans="1:20" ht="18">
      <c r="E4" s="6"/>
      <c r="F4" s="5"/>
      <c r="G4" s="5"/>
      <c r="H4" s="5"/>
      <c r="I4" s="5"/>
      <c r="J4" s="5"/>
      <c r="P4" s="6"/>
      <c r="Q4" s="6"/>
      <c r="R4" s="5"/>
      <c r="S4" s="5"/>
    </row>
    <row r="5" spans="1:20" ht="99.95" customHeight="1">
      <c r="B5" s="350" t="s">
        <v>3</v>
      </c>
      <c r="C5" s="18" t="s">
        <v>7</v>
      </c>
      <c r="D5" s="12">
        <v>6</v>
      </c>
      <c r="E5" s="34" t="str">
        <f ca="1">RechTous("x",RisqueBrut6,NUMERO_RISQUE_BRUT,"   ")&amp;RechTous("x",RisqueNet6,NUMERO_RISQUE_NET,"   ")</f>
        <v/>
      </c>
      <c r="F5" s="35" t="str">
        <f ca="1">RechTous("x",RisqueBrut12,NUMERO_RISQUE_BRUT,"   ")&amp;RechTous("x",RisqueNet12,NUMERO_RISQUE_NET,"   ")</f>
        <v/>
      </c>
      <c r="G5" s="35" t="str">
        <f ca="1">RechTous("x",RisqueBrut18,NUMERO_RISQUE_BRUT,"   ")&amp;RechTous("x",RisqueNet18,NUMERO_RISQUE_NET,"   ")</f>
        <v/>
      </c>
      <c r="H5" s="35" t="str">
        <f ca="1">RechTous("x",RisqueBrut24,NUMERO_RISQUE_BRUT,"   ")&amp;RechTous("x",RisqueNet24,NUMERO_RISQUE_NET,"   ")</f>
        <v/>
      </c>
      <c r="I5" s="35" t="str">
        <f ca="1">RechTous("x",RisqueBrut30,NUMERO_RISQUE_BRUT,"   ")&amp;RechTous("x",RisqueNet30,NUMERO_RISQUE_NET,"   ")</f>
        <v/>
      </c>
      <c r="J5" s="35" t="str">
        <f ca="1">RechTous("x",RisqueBrut36,NUMERO_RISQUE_BRUT,"   ")&amp;RechTous("x",RisqueNet36,NUMERO_RISQUE_NET,"   ")</f>
        <v/>
      </c>
      <c r="P5" s="349" t="s">
        <v>123</v>
      </c>
      <c r="Q5" s="349"/>
      <c r="R5" s="349"/>
      <c r="S5" s="349"/>
    </row>
    <row r="6" spans="1:20" ht="99.95" customHeight="1">
      <c r="B6" s="351"/>
      <c r="C6" s="18" t="s">
        <v>21</v>
      </c>
      <c r="D6" s="12">
        <v>5</v>
      </c>
      <c r="E6" s="34" t="str">
        <f ca="1">RechTous("x",RisqueBrut5,NUMERO_RISQUE_BRUT,"   ")&amp;RechTous("x",RisqueNet5,NUMERO_RISQUE_NET,"   ")</f>
        <v/>
      </c>
      <c r="F6" s="34" t="str">
        <f ca="1">RechTous("x",RisqueBrut11,NUMERO_RISQUE_BRUT,"   ")&amp;RechTous("x",RisqueNet11,NUMERO_RISQUE_NET,"   ")</f>
        <v/>
      </c>
      <c r="G6" s="34" t="str">
        <f ca="1">RechTous("x",RisqueBrut17,NUMERO_RISQUE_BRUT,"   ")&amp;RechTous("x",RisqueNet17,NUMERO_RISQUE_NET,"   ")</f>
        <v/>
      </c>
      <c r="H6" s="35" t="str">
        <f ca="1">RechTous("x",RisqueBrut23,NUMERO_RISQUE_BRUT,"   ")&amp;RechTous("x",RisqueNet23,NUMERO_RISQUE_NET,"   ")</f>
        <v/>
      </c>
      <c r="I6" s="35" t="str">
        <f ca="1">RechTous("x",RisqueBrut29,NUMERO_RISQUE_BRUT,"   ")&amp;RechTous("x",RisqueNet29,NUMERO_RISQUE_NET,"   ")</f>
        <v/>
      </c>
      <c r="J6" s="35" t="str">
        <f ca="1">RechTous("x",RisqueBrut35,NUMERO_RISQUE_BRUT,"   ")&amp;RechTous("x",RisqueNet35,NUMERO_RISQUE_NET,"   ")</f>
        <v/>
      </c>
    </row>
    <row r="7" spans="1:20" ht="99.95" customHeight="1">
      <c r="B7" s="351"/>
      <c r="C7" s="18" t="s">
        <v>6</v>
      </c>
      <c r="D7" s="12">
        <v>4</v>
      </c>
      <c r="E7" s="31" t="str">
        <f ca="1">RechTous("x",RisqueBrut4,NUMERO_RISQUE_BRUT,"   ")&amp;RechTous("x",RisqueNet4,NUMERO_RISQUE_NET,"   ")</f>
        <v/>
      </c>
      <c r="F7" s="31" t="str">
        <f ca="1">RechTous("x",RisqueBrut10,NUMERO_RISQUE_BRUT,"   ")&amp;RechTous("x",RisqueNet10,NUMERO_RISQUE_NET,"   ")</f>
        <v/>
      </c>
      <c r="G7" s="34" t="str">
        <f ca="1">RechTous("x",RisqueBrut16,NUMERO_RISQUE_BRUT,"   ")&amp;RechTous("x",RisqueNet16,NUMERO_RISQUE_NET,"   ")</f>
        <v xml:space="preserve">R1B   R2B  </v>
      </c>
      <c r="H7" s="34" t="str">
        <f ca="1">RechTous("x",RisqueBrut22,NUMERO_RISQUE_BRUT,"   ")&amp;RechTous("x",RisqueNet22,NUMERO_RISQUE_NET,"   ")</f>
        <v/>
      </c>
      <c r="I7" s="35" t="str">
        <f ca="1">RechTous("x",RisqueBrut28,NUMERO_RISQUE_BRUT,"   ")&amp;RechTous("x",RisqueNet28,NUMERO_RISQUE_NET,"   ")</f>
        <v/>
      </c>
      <c r="J7" s="35" t="str">
        <f ca="1">RechTous("x",RisqueBrut34,NUMERO_RISQUE_BRUT,"   ")&amp;RechTous("x",RisqueNet34,NUMERO_RISQUE_NET,"   ")</f>
        <v/>
      </c>
      <c r="M7" s="354" t="s">
        <v>37</v>
      </c>
      <c r="N7" s="21" t="s">
        <v>36</v>
      </c>
      <c r="P7" s="28" t="str">
        <f ca="1">(RechTous("x",CriticiteBrut13,NUMERO_RISQUE_CRIT," "))</f>
        <v/>
      </c>
      <c r="Q7" s="28" t="str">
        <f ca="1">(RechTous("x",CriticiteBrut14,NUMERO_RISQUE_CRIT,"   "))</f>
        <v/>
      </c>
      <c r="R7" s="29" t="str">
        <f ca="1">(RechTous("x",CriticiteBrut15,NUMERO_RISQUE_CRIT," "))</f>
        <v/>
      </c>
      <c r="S7" s="30" t="str">
        <f ca="1">(RechTous("x",CriticiteBrut16,NUMERO_RISQUE_CRIT," "))</f>
        <v/>
      </c>
    </row>
    <row r="8" spans="1:20" ht="99.95" customHeight="1">
      <c r="B8" s="351"/>
      <c r="C8" s="18" t="s">
        <v>5</v>
      </c>
      <c r="D8" s="12">
        <v>3</v>
      </c>
      <c r="E8" s="32" t="str">
        <f ca="1">RechTous("x",RisqueBrut3,NUMERO_RISQUE_BRUT,"   ")&amp;RechTous("x",RisqueNet3,NUMERO_RISQUE_NET,"   ")</f>
        <v/>
      </c>
      <c r="F8" s="31" t="str">
        <f ca="1">RechTous("x",RisqueBrut9,NUMERO_RISQUE_BRUT,"   ")&amp;RechTous("x",RisqueNet9,NUMERO_RISQUE_NET,"     ")</f>
        <v/>
      </c>
      <c r="G8" s="31" t="str">
        <f ca="1">RechTous("x",RisqueBrut15,NUMERO_RISQUE_BRUT,"   ")&amp;RechTous("x",RisqueNet15,NUMERO_RISQUE_NET,"    ")</f>
        <v/>
      </c>
      <c r="H8" s="34" t="str">
        <f ca="1">RechTous("x",RisqueBrut21,NUMERO_RISQUE_BRUT,"    ")&amp;RechTous("x",RisqueNet21,NUMERO_RISQUE_NET,"    ")</f>
        <v/>
      </c>
      <c r="I8" s="35" t="str">
        <f ca="1">RechTous("x",RisqueBrut27,NUMERO_RISQUE_BRUT,"   ")&amp;RechTous("x",RisqueNet27,NUMERO_RISQUE_NET,"   ")</f>
        <v/>
      </c>
      <c r="J8" s="35" t="str">
        <f ca="1">RechTous("x",RisqueBrut33,NUMERO_RISQUE_BRUT,"   ")&amp;RechTous("x",RisqueNet33,NUMERO_RISQUE_NET,"   ")</f>
        <v/>
      </c>
      <c r="M8" s="354"/>
      <c r="N8" s="19" t="s">
        <v>11</v>
      </c>
      <c r="P8" s="28" t="str">
        <f ca="1">(RechTous("x",CriticiteBrut9,NUMERO_RISQUE_CRIT," "))</f>
        <v/>
      </c>
      <c r="Q8" s="29" t="str">
        <f ca="1">(RechTous("x",CriticiteBrut10,NUMERO_RISQUE_CRIT,"  "))</f>
        <v/>
      </c>
      <c r="R8" s="31" t="str">
        <f ca="1">(RechTous("x",CriticiteBrut11,NUMERO_RISQUE_CRIT,"   "))</f>
        <v/>
      </c>
      <c r="S8" s="30" t="str">
        <f ca="1">(RechTous("x",CriticiteBrut12,NUMERO_RISQUE_CRIT," "))</f>
        <v>Risk1 Risk2</v>
      </c>
    </row>
    <row r="9" spans="1:20" ht="99.95" customHeight="1">
      <c r="B9" s="351"/>
      <c r="C9" s="18" t="s">
        <v>4</v>
      </c>
      <c r="D9" s="12">
        <v>2</v>
      </c>
      <c r="E9" s="32" t="str">
        <f ca="1">RechTous("x",RisqueBrut2,NUMERO_RISQUE_BRUT,"    ")&amp;RechTous("x",RisqueNet2,NUMERO_RISQUE_NET,"      ")</f>
        <v/>
      </c>
      <c r="F9" s="32" t="str">
        <f ca="1">RechTous("x",RisqueBrut8,NUMERO_RISQUE_BRUT,"    ")&amp;RechTous("x",RisqueNet8,NUMERO_RISQUE_NET,"      ")</f>
        <v xml:space="preserve">R1N      R2N     </v>
      </c>
      <c r="G9" s="31" t="str">
        <f ca="1">RechTous("x",RisqueBrut14,NUMERO_RISQUE_BRUT,"   ")&amp;RechTous("x",RisqueNet14,NUMERO_RISQUE_NET,"     ")</f>
        <v/>
      </c>
      <c r="H9" s="31" t="str">
        <f ca="1">RechTous("x",RisqueBrut20,NUMERO_RISQUE_BRUT,"   ")&amp;RechTous("x",RisqueNet20,NUMERO_RISQUE_NET,"   ")</f>
        <v/>
      </c>
      <c r="I9" s="35" t="str">
        <f ca="1">RechTous("x",RisqueBrut26,NUMERO_RISQUE_BRUT,"   ")&amp;RechTous("x",RisqueNet26,NUMERO_RISQUE_NET,"   ")</f>
        <v/>
      </c>
      <c r="J9" s="35" t="str">
        <f ca="1">RechTous("x",RisqueBrut32,NUMERO_RISQUE_BRUT,"   ")&amp;RechTous("x",RisqueNet32,NUMERO_RISQUE_NET,"   ")</f>
        <v/>
      </c>
      <c r="M9" s="354"/>
      <c r="N9" s="19" t="s">
        <v>10</v>
      </c>
      <c r="P9" s="29" t="str">
        <f ca="1">(RechTous("x",CriticiteBrut5,NUMERO_RISQUE_CRIT," "))</f>
        <v/>
      </c>
      <c r="Q9" s="31" t="str">
        <f ca="1">(RechTous("x",CriticiteBrut6,NUMERO_RISQUE_CRIT," "))</f>
        <v/>
      </c>
      <c r="R9" s="31" t="str">
        <f ca="1">(RechTous("x",CriticiteBrut7,NUMERO_RISQUE_CRIT,"    "))</f>
        <v/>
      </c>
      <c r="S9" s="32" t="str">
        <f ca="1">(RechTous("x",CriticiteBrut8,NUMERO_RISQUE_CRIT," "))</f>
        <v/>
      </c>
    </row>
    <row r="10" spans="1:20" ht="99.95" customHeight="1">
      <c r="B10" s="352"/>
      <c r="C10" s="18" t="s">
        <v>20</v>
      </c>
      <c r="D10" s="12">
        <v>1</v>
      </c>
      <c r="E10" s="32" t="str">
        <f ca="1">RechTous("x",RisqueBrut1,NUMERO_RISQUE_BRUT,"   ")&amp;RechTous("x",RisqueNet1,NUMERO_RISQUE_NET,"   ")</f>
        <v/>
      </c>
      <c r="F10" s="32" t="str">
        <f ca="1">RechTous("x",RisqueBrut7,NUMERO_RISQUE_BRUT,"   ")&amp;RechTous("x",RisqueNet7,NUMERO_RISQUE_NET,"   ")</f>
        <v/>
      </c>
      <c r="G10" s="32" t="str">
        <f ca="1">RechTous("x",RisqueBrut13,NUMERO_RISQUE_BRUT,"   ")&amp;RechTous("x",RisqueNet13,NUMERO_RISQUE_NET,"   ")</f>
        <v/>
      </c>
      <c r="H10" s="31" t="str">
        <f ca="1">RechTous("x",RisqueBrut19,NUMERO_RISQUE_BRUT,"   ")&amp;RechTous("x",RisqueNet19,NUMERO_RISQUE_NET,"   ")</f>
        <v/>
      </c>
      <c r="I10" s="35" t="str">
        <f ca="1">RechTous("x",RisqueBrut25,NUMERO_RISQUE_BRUT,"   ")&amp;RechTous("x",RisqueNet25,NUMERO_RISQUE_NET,"   ")</f>
        <v/>
      </c>
      <c r="J10" s="35" t="str">
        <f ca="1">RechTous("x",RisqueBrut31,NUMERO_RISQUE_BRUT,"   ")&amp;RechTous("x",RisqueNet31,NUMERO_RISQUE_NET,"   ")</f>
        <v/>
      </c>
      <c r="M10" s="354"/>
      <c r="N10" s="20" t="s">
        <v>35</v>
      </c>
      <c r="P10" s="33" t="str">
        <f ca="1">(RechTous("x",CriticiteBrut1,NUMERO_RISQUE_CRIT," "))</f>
        <v/>
      </c>
      <c r="Q10" s="33" t="str">
        <f ca="1">(RechTous("x",CriticiteBrut2,NUMERO_RISQUE_CRIT," "))</f>
        <v/>
      </c>
      <c r="R10" s="32" t="str">
        <f ca="1">(RechTous("x",CriticiteBrut3,NUMERO_RISQUE_CRIT," "))</f>
        <v/>
      </c>
      <c r="S10" s="32" t="str">
        <f ca="1">(RechTous("x",CriticiteBrut4,NUMERO_RISQUE_CRIT," "))</f>
        <v/>
      </c>
    </row>
    <row r="11" spans="1:20" ht="18" customHeight="1">
      <c r="E11" s="17">
        <v>1</v>
      </c>
      <c r="F11" s="17">
        <v>2</v>
      </c>
      <c r="G11" s="17">
        <v>3</v>
      </c>
      <c r="H11" s="17">
        <v>4</v>
      </c>
      <c r="I11" s="17">
        <v>5</v>
      </c>
      <c r="J11" s="17">
        <v>6</v>
      </c>
    </row>
    <row r="12" spans="1:20" ht="18" customHeight="1">
      <c r="E12" s="353" t="s">
        <v>38</v>
      </c>
      <c r="F12" s="353"/>
      <c r="G12" s="353"/>
      <c r="H12" s="353"/>
      <c r="I12" s="353"/>
      <c r="J12" s="353"/>
      <c r="P12" s="8" t="s">
        <v>0</v>
      </c>
      <c r="Q12" s="8"/>
      <c r="R12" s="9"/>
      <c r="S12" s="9"/>
    </row>
    <row r="13" spans="1:20" ht="15.75" customHeight="1">
      <c r="E13" s="13" t="s">
        <v>8</v>
      </c>
      <c r="F13" s="13" t="s">
        <v>9</v>
      </c>
      <c r="G13" s="13" t="s">
        <v>10</v>
      </c>
      <c r="H13" s="13" t="s">
        <v>11</v>
      </c>
      <c r="I13" s="13" t="s">
        <v>12</v>
      </c>
      <c r="J13" s="13" t="s">
        <v>19</v>
      </c>
      <c r="K13" s="14"/>
      <c r="L13" s="14"/>
      <c r="M13" s="14"/>
      <c r="N13" s="14"/>
      <c r="O13" s="14"/>
      <c r="P13" s="13" t="s">
        <v>34</v>
      </c>
      <c r="Q13" s="13" t="s">
        <v>9</v>
      </c>
      <c r="R13" s="13" t="s">
        <v>32</v>
      </c>
      <c r="S13" s="13" t="s">
        <v>31</v>
      </c>
    </row>
  </sheetData>
  <mergeCells count="5">
    <mergeCell ref="P5:S5"/>
    <mergeCell ref="F2:I2"/>
    <mergeCell ref="B5:B10"/>
    <mergeCell ref="E12:J12"/>
    <mergeCell ref="M7:M10"/>
  </mergeCells>
  <phoneticPr fontId="6" type="noConversion"/>
  <pageMargins left="0.22" right="0.5" top="0.31" bottom="0.25" header="0.2" footer="0.13"/>
  <pageSetup paperSize="9" scale="44" fitToHeight="0" orientation="landscape" horizontalDpi="300" r:id="rId1"/>
  <headerFooter alignWithMargins="0">
    <oddHeader>&amp;R&amp;"Arial,Italique"&amp;6&amp;D</oddHeader>
  </headerFooter>
  <drawing r:id="rId2"/>
  <legacyDrawing r:id="rId3"/>
</worksheet>
</file>

<file path=xl/worksheets/sheet12.xml><?xml version="1.0" encoding="utf-8"?>
<worksheet xmlns="http://schemas.openxmlformats.org/spreadsheetml/2006/main" xmlns:r="http://schemas.openxmlformats.org/officeDocument/2006/relationships">
  <sheetPr codeName="Feuil4">
    <tabColor rgb="FF7030A0"/>
    <pageSetUpPr fitToPage="1"/>
  </sheetPr>
  <dimension ref="A1:T18"/>
  <sheetViews>
    <sheetView showGridLines="0" zoomScale="70" zoomScaleNormal="70" workbookViewId="0">
      <selection activeCell="H28" sqref="H28"/>
    </sheetView>
  </sheetViews>
  <sheetFormatPr baseColWidth="10" defaultRowHeight="12.75"/>
  <cols>
    <col min="1" max="1" width="3.85546875" customWidth="1"/>
    <col min="2" max="2" width="3.5703125" customWidth="1"/>
    <col min="3" max="3" width="3" customWidth="1"/>
    <col min="4" max="4" width="5.7109375" customWidth="1"/>
    <col min="5" max="10" width="30.7109375" customWidth="1"/>
    <col min="12" max="12" width="5.5703125" customWidth="1"/>
    <col min="13" max="13" width="5.28515625" customWidth="1"/>
    <col min="15" max="20" width="30.7109375" customWidth="1"/>
  </cols>
  <sheetData>
    <row r="1" spans="1:20" ht="30.75" customHeight="1">
      <c r="A1" s="11"/>
      <c r="B1" s="7"/>
      <c r="C1" s="7"/>
      <c r="D1" s="7"/>
      <c r="E1" s="355" t="s">
        <v>934</v>
      </c>
      <c r="F1" s="355"/>
      <c r="G1" s="355"/>
      <c r="H1" s="355"/>
      <c r="I1" s="355"/>
      <c r="J1" s="355"/>
      <c r="K1" s="7"/>
      <c r="L1" s="7"/>
      <c r="O1" s="355" t="s">
        <v>935</v>
      </c>
      <c r="P1" s="355"/>
      <c r="Q1" s="355"/>
      <c r="R1" s="355"/>
      <c r="S1" s="355"/>
      <c r="T1" s="355"/>
    </row>
    <row r="2" spans="1:20">
      <c r="E2" s="355"/>
      <c r="F2" s="355"/>
      <c r="G2" s="355"/>
      <c r="H2" s="355"/>
      <c r="I2" s="355"/>
      <c r="J2" s="355"/>
      <c r="O2" s="355"/>
      <c r="P2" s="355"/>
      <c r="Q2" s="355"/>
      <c r="R2" s="355"/>
      <c r="S2" s="355"/>
      <c r="T2" s="355"/>
    </row>
    <row r="3" spans="1:20" ht="18" customHeight="1">
      <c r="E3" s="355"/>
      <c r="F3" s="355"/>
      <c r="G3" s="355"/>
      <c r="H3" s="355"/>
      <c r="I3" s="355"/>
      <c r="J3" s="355"/>
      <c r="O3" s="355"/>
      <c r="P3" s="355"/>
      <c r="Q3" s="355"/>
      <c r="R3" s="355"/>
      <c r="S3" s="355"/>
      <c r="T3" s="355"/>
    </row>
    <row r="4" spans="1:20" ht="18" customHeight="1">
      <c r="E4" s="356"/>
      <c r="F4" s="356"/>
      <c r="G4" s="356"/>
      <c r="H4" s="356"/>
      <c r="I4" s="356"/>
      <c r="J4" s="356"/>
      <c r="O4" s="356"/>
      <c r="P4" s="356"/>
      <c r="Q4" s="356"/>
      <c r="R4" s="356"/>
      <c r="S4" s="356"/>
      <c r="T4" s="356"/>
    </row>
    <row r="5" spans="1:20" ht="82.5" customHeight="1">
      <c r="B5" s="350" t="s">
        <v>3</v>
      </c>
      <c r="C5" s="18" t="s">
        <v>7</v>
      </c>
      <c r="D5" s="12">
        <v>6</v>
      </c>
      <c r="E5" s="212" t="str">
        <f ca="1">RechTous("x",RisqueBrut6,NUMERO_RISQUE_CRIT,"   ")</f>
        <v/>
      </c>
      <c r="F5" s="213" t="str">
        <f ca="1">RechTous("x",RisqueBrut12,NUMERO_RISQUE_CRIT,"   ")</f>
        <v/>
      </c>
      <c r="G5" s="213" t="str">
        <f ca="1">RechTous("x",RisqueBrut18,NUMERO_RISQUE_CRIT,"   ")</f>
        <v/>
      </c>
      <c r="H5" s="213" t="str">
        <f ca="1">RechTous("x",RisqueBrut24,NUMERO_RISQUE_CRIT,"   ")</f>
        <v/>
      </c>
      <c r="I5" s="213" t="str">
        <f ca="1">RechTous("x",RisqueBrut30,NUMERO_RISQUE_CRIT,"   ")</f>
        <v/>
      </c>
      <c r="J5" s="213" t="str">
        <f ca="1">RechTous("x",RisqueBrut36,NUMERO_RISQUE_CRIT,"   ")</f>
        <v/>
      </c>
      <c r="L5" s="350" t="s">
        <v>3</v>
      </c>
      <c r="M5" s="18" t="s">
        <v>7</v>
      </c>
      <c r="N5" s="12">
        <v>6</v>
      </c>
      <c r="O5" s="212" t="str">
        <f ca="1">RechTous("x",RisqueNet6,Nom_Risk_Net,"   ")</f>
        <v/>
      </c>
      <c r="P5" s="213" t="str">
        <f ca="1">RechTous("x",RisqueNet12,Nom_Risk_Net,"   ")</f>
        <v/>
      </c>
      <c r="Q5" s="213" t="str">
        <f ca="1">RechTous("x",RisqueNet18,Nom_Risk_Net,"   ")</f>
        <v/>
      </c>
      <c r="R5" s="213" t="str">
        <f ca="1">RechTous("x",RisqueNet24,Nom_Risk_Net,"   ")</f>
        <v/>
      </c>
      <c r="S5" s="213" t="str">
        <f ca="1">RechTous("x",RisqueNet30,Nom_Risk_Net,"   ")</f>
        <v/>
      </c>
      <c r="T5" s="213" t="str">
        <f ca="1">RechTous("x",RisqueNet36,Nom_Risk_Net,"   ")</f>
        <v/>
      </c>
    </row>
    <row r="6" spans="1:20" ht="82.5" customHeight="1">
      <c r="B6" s="351"/>
      <c r="C6" s="18" t="s">
        <v>21</v>
      </c>
      <c r="D6" s="12">
        <v>5</v>
      </c>
      <c r="E6" s="212" t="str">
        <f ca="1">RechTous("x",RisqueBrut5,NUMERO_RISQUE_CRIT,"   ")</f>
        <v/>
      </c>
      <c r="F6" s="212" t="str">
        <f ca="1">RechTous("x",RisqueBrut11,NUMERO_RISQUE_CRIT,"   ")</f>
        <v/>
      </c>
      <c r="G6" s="212" t="str">
        <f ca="1">RechTous("x",RisqueBrut17,NUMERO_RISQUE_CRIT,"   ")</f>
        <v/>
      </c>
      <c r="H6" s="213" t="str">
        <f ca="1">RechTous("x",RisqueBrut23,NUMERO_RISQUE_CRIT,"   ")</f>
        <v/>
      </c>
      <c r="I6" s="213" t="str">
        <f ca="1">RechTous("x",RisqueBrut29,NUMERO_RISQUE_CRIT,"   ")</f>
        <v/>
      </c>
      <c r="J6" s="213" t="str">
        <f ca="1">RechTous("x",RisqueBrut35,NUMERO_RISQUE_CRIT,"   ")</f>
        <v/>
      </c>
      <c r="L6" s="351"/>
      <c r="M6" s="18" t="s">
        <v>21</v>
      </c>
      <c r="N6" s="12">
        <v>5</v>
      </c>
      <c r="O6" s="212" t="str">
        <f ca="1">RechTous("x",RisqueNet5,Nom_Risk_Net,"   ")</f>
        <v/>
      </c>
      <c r="P6" s="212" t="str">
        <f ca="1">RechTous("x",RisqueNet11,Nom_Risk_Net,"   ")</f>
        <v/>
      </c>
      <c r="Q6" s="212" t="str">
        <f ca="1">RechTous("x",RisqueNet17,Nom_Risk_Net,"   ")</f>
        <v/>
      </c>
      <c r="R6" s="213" t="str">
        <f ca="1">RechTous("x",RisqueNet23,Nom_Risk_Net,"   ")</f>
        <v/>
      </c>
      <c r="S6" s="213" t="str">
        <f ca="1">RechTous("x",RisqueNet29,Nom_Risk_Net,"   ")</f>
        <v/>
      </c>
      <c r="T6" s="213" t="str">
        <f ca="1">RechTous("x",RisqueNet35,Nom_Risk_Net,"   ")</f>
        <v/>
      </c>
    </row>
    <row r="7" spans="1:20" ht="82.5" customHeight="1">
      <c r="B7" s="351"/>
      <c r="C7" s="18" t="s">
        <v>6</v>
      </c>
      <c r="D7" s="12">
        <v>4</v>
      </c>
      <c r="E7" s="214" t="str">
        <f ca="1">RechTous("x",RisqueBrut4,NUMERO_RISQUE_CRIT,"   ")</f>
        <v/>
      </c>
      <c r="F7" s="214" t="str">
        <f ca="1">RechTous("x",RisqueBrut10,NUMERO_RISQUE_CRIT,"   ")</f>
        <v/>
      </c>
      <c r="G7" s="212" t="str">
        <f ca="1">RechTous("x",RisqueBrut16,NUMERO_RISQUE_CRIT,"   ")</f>
        <v xml:space="preserve">Risk1   Risk2  </v>
      </c>
      <c r="H7" s="212" t="str">
        <f ca="1">RechTous("x",RisqueBrut22,NUMERO_RISQUE_CRIT,"   ")</f>
        <v/>
      </c>
      <c r="I7" s="213" t="str">
        <f ca="1">RechTous("x",RisqueBrut28,NUMERO_RISQUE_CRIT,"   ")</f>
        <v/>
      </c>
      <c r="J7" s="213" t="str">
        <f ca="1">RechTous("x",RisqueBrut34,NUMERO_RISQUE_CRIT,"   ")</f>
        <v/>
      </c>
      <c r="L7" s="351"/>
      <c r="M7" s="18" t="s">
        <v>6</v>
      </c>
      <c r="N7" s="12">
        <v>4</v>
      </c>
      <c r="O7" s="214" t="str">
        <f ca="1">RechTous("x",RisqueNet4,Nom_Risk_Net,"   ")</f>
        <v/>
      </c>
      <c r="P7" s="214" t="str">
        <f ca="1">RechTous("x",RisqueNet10,Nom_Risk_Net,"   ")</f>
        <v/>
      </c>
      <c r="Q7" s="212" t="str">
        <f ca="1">RechTous("x",RisqueNet16,Nom_Risk_Net,"   ")</f>
        <v/>
      </c>
      <c r="R7" s="212" t="str">
        <f ca="1">RechTous("x",RisqueNet22,Nom_Risk_Net,"   ")</f>
        <v/>
      </c>
      <c r="S7" s="213" t="str">
        <f ca="1">RechTous("x",RisqueNet28,Nom_Risk_Net,"   ")</f>
        <v/>
      </c>
      <c r="T7" s="213" t="str">
        <f ca="1">RechTous("x",RisqueNet34,Nom_Risk_Net,"   ")</f>
        <v/>
      </c>
    </row>
    <row r="8" spans="1:20" ht="82.5" customHeight="1">
      <c r="B8" s="351"/>
      <c r="C8" s="18" t="s">
        <v>5</v>
      </c>
      <c r="D8" s="12">
        <v>3</v>
      </c>
      <c r="E8" s="215" t="str">
        <f ca="1">RechTous("x",RisqueBrut3,NUMERO_RISQUE_CRIT,"   ")</f>
        <v/>
      </c>
      <c r="F8" s="214" t="str">
        <f ca="1">RechTous("x",RisqueBrut9,NUMERO_RISQUE_CRIT,"   ")</f>
        <v/>
      </c>
      <c r="G8" s="214" t="str">
        <f ca="1">RechTous("x",RisqueBrut15,NUMERO_RISQUE_CRIT,"   ")</f>
        <v/>
      </c>
      <c r="H8" s="212" t="str">
        <f ca="1">RechTous("x",RisqueBrut21,NUMERO_RISQUE_CRIT,"    ")</f>
        <v/>
      </c>
      <c r="I8" s="213" t="str">
        <f ca="1">RechTous("x",RisqueBrut27,NUMERO_RISQUE_CRIT,"   ")</f>
        <v/>
      </c>
      <c r="J8" s="213" t="str">
        <f ca="1">RechTous("x",RisqueBrut33,NUMERO_RISQUE_CRIT,"   ")</f>
        <v/>
      </c>
      <c r="L8" s="351"/>
      <c r="M8" s="18" t="s">
        <v>5</v>
      </c>
      <c r="N8" s="12">
        <v>3</v>
      </c>
      <c r="O8" s="215" t="str">
        <f ca="1">RechTous("x",RisqueNet3,Nom_Risk_Net,"   ")</f>
        <v/>
      </c>
      <c r="P8" s="214" t="str">
        <f ca="1">RechTous("x",RisqueNet9,Nom_Risk_Net,"   ")</f>
        <v/>
      </c>
      <c r="Q8" s="214" t="str">
        <f ca="1">RechTous("x",RisqueNet15,Nom_Risk_Net,"   ")</f>
        <v/>
      </c>
      <c r="R8" s="212" t="str">
        <f ca="1">RechTous("x",RisqueNet21,Nom_Risk_Net,"    ")</f>
        <v/>
      </c>
      <c r="S8" s="213" t="str">
        <f ca="1">RechTous("x",RisqueNet27,Nom_Risk_Net,"   ")</f>
        <v/>
      </c>
      <c r="T8" s="213" t="str">
        <f ca="1">RechTous("x",RisqueNet33,Nom_Risk_Net,"   ")</f>
        <v/>
      </c>
    </row>
    <row r="9" spans="1:20" ht="82.5" customHeight="1">
      <c r="B9" s="351"/>
      <c r="C9" s="18" t="s">
        <v>4</v>
      </c>
      <c r="D9" s="12">
        <v>2</v>
      </c>
      <c r="E9" s="215" t="str">
        <f ca="1">RechTous("x",RisqueBrut2,NUMERO_RISQUE_CRIT,"    ")</f>
        <v/>
      </c>
      <c r="F9" s="215" t="str">
        <f ca="1">RechTous("x",RisqueBrut8,NUMERO_RISQUE_CRIT,"    ")</f>
        <v/>
      </c>
      <c r="G9" s="214" t="str">
        <f ca="1">RechTous("x",RisqueBrut14,NUMERO_RISQUE_CRIT,"   ")</f>
        <v/>
      </c>
      <c r="H9" s="214" t="str">
        <f ca="1">RechTous("x",RisqueBrut20,NUMERO_RISQUE_CRIT,"   ")</f>
        <v/>
      </c>
      <c r="I9" s="213" t="str">
        <f ca="1">RechTous("x",RisqueBrut26,NUMERO_RISQUE_CRIT,"   ")</f>
        <v/>
      </c>
      <c r="J9" s="213" t="str">
        <f ca="1">RechTous("x",RisqueBrut32,NUMERO_RISQUE_CRIT,"   ")</f>
        <v/>
      </c>
      <c r="L9" s="351"/>
      <c r="M9" s="18" t="s">
        <v>4</v>
      </c>
      <c r="N9" s="12">
        <v>2</v>
      </c>
      <c r="O9" s="215" t="str">
        <f ca="1">RechTous("x",RisqueNet2,Nom_Risk_Net,"    ")</f>
        <v/>
      </c>
      <c r="P9" s="215" t="str">
        <f ca="1">RechTous("x",RisqueNet8,Nom_Risk_Net,"     ")</f>
        <v xml:space="preserve">Risk1     Risk2    </v>
      </c>
      <c r="Q9" s="214" t="str">
        <f ca="1">RechTous("x",RisqueNet14,Nom_Risk_Net,"   ")</f>
        <v/>
      </c>
      <c r="R9" s="214" t="str">
        <f ca="1">RechTous("x",RisqueNet20,Nom_Risk_Net,"   ")</f>
        <v/>
      </c>
      <c r="S9" s="213" t="str">
        <f ca="1">RechTous("x",RisqueNet26,Nom_Risk_Net,"   ")</f>
        <v/>
      </c>
      <c r="T9" s="213" t="str">
        <f ca="1">RechTous("x",RisqueNet32,Nom_Risk_Net,"   ")</f>
        <v/>
      </c>
    </row>
    <row r="10" spans="1:20" ht="82.5" customHeight="1">
      <c r="B10" s="352"/>
      <c r="C10" s="18" t="s">
        <v>20</v>
      </c>
      <c r="D10" s="12">
        <v>1</v>
      </c>
      <c r="E10" s="215" t="str">
        <f ca="1">RechTous("x",RisqueBrut1,NUMERO_RISQUE_CRIT,"   ")</f>
        <v/>
      </c>
      <c r="F10" s="215" t="str">
        <f ca="1">RechTous("x",RisqueBrut7,NUMERO_RISQUE_CRIT,"   ")</f>
        <v/>
      </c>
      <c r="G10" s="215" t="str">
        <f ca="1">RechTous("x",RisqueBrut13,NUMERO_RISQUE_CRIT,"   ")</f>
        <v/>
      </c>
      <c r="H10" s="214" t="str">
        <f ca="1">RechTous("x",RisqueBrut19,NUMERO_RISQUE_CRIT,"   ")</f>
        <v/>
      </c>
      <c r="I10" s="213" t="str">
        <f ca="1">RechTous("x",RisqueBrut25,NUMERO_RISQUE_CRIT,"   ")</f>
        <v/>
      </c>
      <c r="J10" s="213" t="str">
        <f ca="1">RechTous("x",RisqueBrut31,NUMERO_RISQUE_CRIT,"   ")</f>
        <v/>
      </c>
      <c r="L10" s="352"/>
      <c r="M10" s="18" t="s">
        <v>20</v>
      </c>
      <c r="N10" s="12">
        <v>1</v>
      </c>
      <c r="O10" s="215" t="str">
        <f ca="1">RechTous("x",RisqueNet1,Nom_Risk_Net,"    ")</f>
        <v/>
      </c>
      <c r="P10" s="215" t="str">
        <f ca="1">RechTous("x",RisqueNet7,Nom_Risk_Net,"   ")</f>
        <v/>
      </c>
      <c r="Q10" s="215" t="str">
        <f ca="1">RechTous("x",RisqueNet13,Nom_Risk_Net,"   ")</f>
        <v/>
      </c>
      <c r="R10" s="214" t="str">
        <f ca="1">RechTous("x",RisqueNet19,Nom_Risk_Net,"   ")</f>
        <v/>
      </c>
      <c r="S10" s="213" t="str">
        <f ca="1">RechTous("x",RisqueNet25,Nom_Risk_Net,"   ")</f>
        <v/>
      </c>
      <c r="T10" s="213" t="str">
        <f ca="1">RechTous("x",RisqueNet31,Nom_Risk_Net,"   ")</f>
        <v/>
      </c>
    </row>
    <row r="11" spans="1:20" ht="18" customHeight="1">
      <c r="E11" s="17">
        <v>1</v>
      </c>
      <c r="F11" s="17">
        <v>2</v>
      </c>
      <c r="G11" s="17">
        <v>3</v>
      </c>
      <c r="H11" s="17">
        <v>4</v>
      </c>
      <c r="I11" s="17">
        <v>5</v>
      </c>
      <c r="J11" s="17">
        <v>6</v>
      </c>
      <c r="O11" s="17">
        <v>1</v>
      </c>
      <c r="P11" s="17">
        <v>2</v>
      </c>
      <c r="Q11" s="17">
        <v>3</v>
      </c>
      <c r="R11" s="17">
        <v>4</v>
      </c>
      <c r="S11" s="17">
        <v>5</v>
      </c>
      <c r="T11" s="17">
        <v>6</v>
      </c>
    </row>
    <row r="12" spans="1:20" ht="18" customHeight="1">
      <c r="E12" s="353" t="s">
        <v>38</v>
      </c>
      <c r="F12" s="353"/>
      <c r="G12" s="353"/>
      <c r="H12" s="353"/>
      <c r="I12" s="353"/>
      <c r="J12" s="353"/>
      <c r="O12" s="353" t="s">
        <v>38</v>
      </c>
      <c r="P12" s="353"/>
      <c r="Q12" s="353"/>
      <c r="R12" s="353"/>
      <c r="S12" s="353"/>
      <c r="T12" s="353"/>
    </row>
    <row r="13" spans="1:20" ht="15.75" customHeight="1">
      <c r="E13" s="13" t="s">
        <v>8</v>
      </c>
      <c r="F13" s="13" t="s">
        <v>9</v>
      </c>
      <c r="G13" s="13" t="s">
        <v>10</v>
      </c>
      <c r="H13" s="13" t="s">
        <v>11</v>
      </c>
      <c r="I13" s="13" t="s">
        <v>12</v>
      </c>
      <c r="J13" s="13" t="s">
        <v>19</v>
      </c>
      <c r="K13" s="14"/>
      <c r="O13" s="13" t="s">
        <v>8</v>
      </c>
      <c r="P13" s="13" t="s">
        <v>9</v>
      </c>
      <c r="Q13" s="13" t="s">
        <v>10</v>
      </c>
      <c r="R13" s="13" t="s">
        <v>11</v>
      </c>
      <c r="S13" s="13" t="s">
        <v>12</v>
      </c>
      <c r="T13" s="13" t="s">
        <v>19</v>
      </c>
    </row>
    <row r="16" spans="1:20" ht="18" customHeight="1">
      <c r="K16" s="15"/>
      <c r="L16" s="15"/>
    </row>
    <row r="17" spans="5:12" ht="13.5" customHeight="1">
      <c r="E17" s="10"/>
    </row>
    <row r="18" spans="5:12">
      <c r="E18" s="14"/>
      <c r="F18" s="14"/>
      <c r="G18" s="14"/>
      <c r="H18" s="14"/>
      <c r="I18" s="14"/>
      <c r="J18" s="14"/>
      <c r="K18" s="14"/>
      <c r="L18" s="14"/>
    </row>
  </sheetData>
  <mergeCells count="6">
    <mergeCell ref="O12:T12"/>
    <mergeCell ref="E1:J4"/>
    <mergeCell ref="O1:T4"/>
    <mergeCell ref="L5:L10"/>
    <mergeCell ref="B5:B10"/>
    <mergeCell ref="E12:J12"/>
  </mergeCells>
  <pageMargins left="0.22" right="0.5" top="0.31" bottom="0.25" header="0.2" footer="0.13"/>
  <pageSetup paperSize="9" scale="44" fitToHeight="0" orientation="landscape" horizontalDpi="300" r:id="rId1"/>
  <headerFooter alignWithMargins="0">
    <oddHeader>&amp;R&amp;"Arial,Italique"&amp;6&amp;D</oddHeader>
  </headerFooter>
</worksheet>
</file>

<file path=xl/worksheets/sheet13.xml><?xml version="1.0" encoding="utf-8"?>
<worksheet xmlns="http://schemas.openxmlformats.org/spreadsheetml/2006/main" xmlns:r="http://schemas.openxmlformats.org/officeDocument/2006/relationships">
  <sheetPr codeName="Feuil5">
    <tabColor rgb="FF7030A0"/>
    <pageSetUpPr fitToPage="1"/>
  </sheetPr>
  <dimension ref="A1:I13"/>
  <sheetViews>
    <sheetView showGridLines="0" zoomScale="70" zoomScaleNormal="70" workbookViewId="0">
      <selection activeCell="G25" sqref="G25"/>
    </sheetView>
  </sheetViews>
  <sheetFormatPr baseColWidth="10" defaultRowHeight="12.75"/>
  <cols>
    <col min="1" max="1" width="3.85546875" customWidth="1"/>
    <col min="2" max="2" width="3.5703125" customWidth="1"/>
    <col min="3" max="3" width="4" customWidth="1"/>
    <col min="4" max="4" width="2.42578125" customWidth="1"/>
    <col min="5" max="8" width="40.7109375" customWidth="1"/>
    <col min="9" max="9" width="3.85546875" customWidth="1"/>
  </cols>
  <sheetData>
    <row r="1" spans="1:9" ht="30.75" customHeight="1">
      <c r="A1" s="11"/>
      <c r="B1" s="7"/>
      <c r="C1" s="7"/>
      <c r="D1" s="7"/>
      <c r="E1" s="7"/>
      <c r="F1" s="7"/>
      <c r="G1" s="7"/>
      <c r="H1" s="7"/>
      <c r="I1" s="7"/>
    </row>
    <row r="4" spans="1:9" ht="18">
      <c r="E4" s="6"/>
      <c r="F4" s="6"/>
      <c r="G4" s="5"/>
      <c r="H4" s="5"/>
    </row>
    <row r="5" spans="1:9" ht="82.5" customHeight="1">
      <c r="E5" s="349" t="s">
        <v>123</v>
      </c>
      <c r="F5" s="349"/>
      <c r="G5" s="349"/>
      <c r="H5" s="349"/>
    </row>
    <row r="6" spans="1:9" ht="99.95" customHeight="1">
      <c r="B6" s="357" t="s">
        <v>37</v>
      </c>
      <c r="C6" s="217" t="s">
        <v>36</v>
      </c>
      <c r="E6" s="28" t="str">
        <f ca="1">(RechTous("x",CriticiteBrut13,NUMERO_RISQUE_CRIT," "))</f>
        <v/>
      </c>
      <c r="F6" s="28" t="str">
        <f ca="1">(RechTous("x",CriticiteBrut14,NUMERO_RISQUE_CRIT,"   "))</f>
        <v/>
      </c>
      <c r="G6" s="29" t="str">
        <f ca="1">(RechTous("x",CriticiteBrut15,NUMERO_RISQUE_CRIT,"   "))</f>
        <v/>
      </c>
      <c r="H6" s="30" t="str">
        <f ca="1">(RechTous("x",CriticiteBrut16,NUMERO_RISQUE_CRIT," "))</f>
        <v/>
      </c>
    </row>
    <row r="7" spans="1:9" ht="99.95" customHeight="1">
      <c r="B7" s="357"/>
      <c r="C7" s="218" t="s">
        <v>11</v>
      </c>
      <c r="E7" s="28" t="str">
        <f ca="1">(RechTous("x",CriticiteBrut9,NUMERO_RISQUE_CRIT," "))</f>
        <v/>
      </c>
      <c r="F7" s="29" t="str">
        <f ca="1">(RechTous("x",CriticiteBrut10,NUMERO_RISQUE_CRIT,"  "))</f>
        <v/>
      </c>
      <c r="G7" s="31" t="str">
        <f ca="1">(RechTous("x",CriticiteBrut11,NUMERO_RISQUE_CRIT,"   "))</f>
        <v/>
      </c>
      <c r="H7" s="30" t="str">
        <f ca="1">(RechTous("x",CriticiteBrut12,NUMERO_RISQUE_CRIT," "))</f>
        <v>Risk1 Risk2</v>
      </c>
    </row>
    <row r="8" spans="1:9" ht="99.95" customHeight="1">
      <c r="B8" s="357"/>
      <c r="C8" s="218" t="s">
        <v>10</v>
      </c>
      <c r="E8" s="29" t="str">
        <f ca="1">(RechTous("x",CriticiteBrut5,NUMERO_RISQUE_CRIT," "))</f>
        <v/>
      </c>
      <c r="F8" s="31" t="str">
        <f ca="1">(RechTous("x",CriticiteBrut6,NUMERO_RISQUE_CRIT," "))</f>
        <v/>
      </c>
      <c r="G8" s="31" t="str">
        <f ca="1">(RechTous("x",CriticiteBrut7,NUMERO_RISQUE_CRIT,"    "))</f>
        <v/>
      </c>
      <c r="H8" s="32" t="str">
        <f ca="1">(RechTous("x",CriticiteBrut8,NUMERO_RISQUE_CRIT," "))</f>
        <v/>
      </c>
    </row>
    <row r="9" spans="1:9" ht="99.95" customHeight="1">
      <c r="B9" s="357"/>
      <c r="C9" s="219" t="s">
        <v>35</v>
      </c>
      <c r="E9" s="33" t="str">
        <f ca="1">(RechTous("x",CriticiteBrut1,NUMERO_RISQUE_CRIT," "))</f>
        <v/>
      </c>
      <c r="F9" s="33" t="str">
        <f ca="1">(RechTous("x",CriticiteBrut2,NUMERO_RISQUE_CRIT," "))</f>
        <v/>
      </c>
      <c r="G9" s="32" t="str">
        <f ca="1">(RechTous("x",CriticiteBrut3,NUMERO_RISQUE_CRIT," "))</f>
        <v/>
      </c>
      <c r="H9" s="32" t="str">
        <f ca="1">(RechTous("x",CriticiteBrut4,NUMERO_RISQUE_CRIT," "))</f>
        <v/>
      </c>
    </row>
    <row r="10" spans="1:9" ht="18" customHeight="1">
      <c r="E10" s="220"/>
      <c r="F10" s="220"/>
      <c r="G10" s="220"/>
      <c r="H10" s="220"/>
    </row>
    <row r="11" spans="1:9" ht="18" customHeight="1">
      <c r="E11" s="221" t="s">
        <v>0</v>
      </c>
      <c r="F11" s="221"/>
      <c r="G11" s="222"/>
      <c r="H11" s="222"/>
    </row>
    <row r="12" spans="1:9" ht="15.75" customHeight="1">
      <c r="B12" s="14"/>
      <c r="C12" s="14"/>
      <c r="D12" s="14"/>
      <c r="E12" s="223" t="s">
        <v>34</v>
      </c>
      <c r="F12" s="223" t="s">
        <v>9</v>
      </c>
      <c r="G12" s="223" t="s">
        <v>32</v>
      </c>
      <c r="H12" s="223" t="s">
        <v>31</v>
      </c>
    </row>
    <row r="13" spans="1:9" ht="14.25">
      <c r="E13" s="220"/>
      <c r="F13" s="220"/>
      <c r="G13" s="220"/>
      <c r="H13" s="220"/>
    </row>
  </sheetData>
  <mergeCells count="2">
    <mergeCell ref="E5:H5"/>
    <mergeCell ref="B6:B9"/>
  </mergeCells>
  <pageMargins left="0.22" right="0.5" top="0.31" bottom="0.25" header="0.2" footer="0.13"/>
  <pageSetup paperSize="9" scale="44" fitToHeight="0" orientation="landscape" horizontalDpi="300" r:id="rId1"/>
  <headerFooter alignWithMargins="0">
    <oddHeader>&amp;R&amp;"Arial,Italique"&amp;6&amp;D</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13</vt:i4>
      </vt:variant>
      <vt:variant>
        <vt:lpstr>Plages nommées</vt:lpstr>
      </vt:variant>
      <vt:variant>
        <vt:i4>191</vt:i4>
      </vt:variant>
    </vt:vector>
  </HeadingPairs>
  <TitlesOfParts>
    <vt:vector size="204" baseType="lpstr">
      <vt:lpstr>Paramètres Cotation</vt:lpstr>
      <vt:lpstr>Conso</vt:lpstr>
      <vt:lpstr>Risk N°1</vt:lpstr>
      <vt:lpstr>Risk N°2</vt:lpstr>
      <vt:lpstr>Paramètres</vt:lpstr>
      <vt:lpstr>Tableau des risques brut</vt:lpstr>
      <vt:lpstr>Tableau des risques net</vt:lpstr>
      <vt:lpstr>Procédure</vt:lpstr>
      <vt:lpstr>Annexes</vt:lpstr>
      <vt:lpstr>Scoring </vt:lpstr>
      <vt:lpstr>Cartographie des risques global</vt:lpstr>
      <vt:lpstr>Cartographies séparées BrutNet</vt:lpstr>
      <vt:lpstr>Criticité</vt:lpstr>
      <vt:lpstr>'Cartographies séparées BrutNet'!_</vt:lpstr>
      <vt:lpstr>_</vt:lpstr>
      <vt:lpstr>Autres</vt:lpstr>
      <vt:lpstr>Choix</vt:lpstr>
      <vt:lpstr>Annexes!Classeur1_1</vt:lpstr>
      <vt:lpstr>Client_Image_Réputation</vt:lpstr>
      <vt:lpstr>Conformité_Réglementaire</vt:lpstr>
      <vt:lpstr>Conséquence</vt:lpstr>
      <vt:lpstr>Cotation_DMR</vt:lpstr>
      <vt:lpstr>Cotation_DMR2</vt:lpstr>
      <vt:lpstr>criticité</vt:lpstr>
      <vt:lpstr>CriticiteBrut1</vt:lpstr>
      <vt:lpstr>CriticiteBrut10</vt:lpstr>
      <vt:lpstr>CriticiteBrut11</vt:lpstr>
      <vt:lpstr>CriticiteBrut12</vt:lpstr>
      <vt:lpstr>CriticiteBrut13</vt:lpstr>
      <vt:lpstr>CriticiteBrut14</vt:lpstr>
      <vt:lpstr>CriticiteBrut15</vt:lpstr>
      <vt:lpstr>CriticiteBrut16</vt:lpstr>
      <vt:lpstr>CriticiteBrut2</vt:lpstr>
      <vt:lpstr>CriticiteBrut3</vt:lpstr>
      <vt:lpstr>CriticiteBrut4</vt:lpstr>
      <vt:lpstr>CriticiteBrut5</vt:lpstr>
      <vt:lpstr>CriticiteBrut6</vt:lpstr>
      <vt:lpstr>CriticiteBrut7</vt:lpstr>
      <vt:lpstr>CriticiteBrut8</vt:lpstr>
      <vt:lpstr>CriticiteBrut9</vt:lpstr>
      <vt:lpstr>CriticiteNet1</vt:lpstr>
      <vt:lpstr>CriticiteNet10</vt:lpstr>
      <vt:lpstr>CriticiteNet11</vt:lpstr>
      <vt:lpstr>CriticiteNet12</vt:lpstr>
      <vt:lpstr>CriticiteNet13</vt:lpstr>
      <vt:lpstr>CriticiteNet14</vt:lpstr>
      <vt:lpstr>CriticiteNet15</vt:lpstr>
      <vt:lpstr>CriticiteNet16</vt:lpstr>
      <vt:lpstr>CriticiteNet2</vt:lpstr>
      <vt:lpstr>CriticiteNet3</vt:lpstr>
      <vt:lpstr>CriticiteNet4</vt:lpstr>
      <vt:lpstr>CriticiteNet5</vt:lpstr>
      <vt:lpstr>CriticiteNet6</vt:lpstr>
      <vt:lpstr>CriticiteNet7</vt:lpstr>
      <vt:lpstr>CriticiteNet8</vt:lpstr>
      <vt:lpstr>CriticiteNet9</vt:lpstr>
      <vt:lpstr>csqrisk</vt:lpstr>
      <vt:lpstr>Direction_Action_Sociale_Culturelle.</vt:lpstr>
      <vt:lpstr>Direction_du_Cabinet.</vt:lpstr>
      <vt:lpstr>Direction_Finance_Risques.</vt:lpstr>
      <vt:lpstr>Direction_Instances_Juridique_Institutionnel.</vt:lpstr>
      <vt:lpstr>Direction_Relation_Adhérent.</vt:lpstr>
      <vt:lpstr>Direction_Relation_Adhérent.Act</vt:lpstr>
      <vt:lpstr>Direction_Relation_Adhérent.Ctrl</vt:lpstr>
      <vt:lpstr>Direction_Relation_Adhérent.PM</vt:lpstr>
      <vt:lpstr>Direction_Relation_Adhérent.PO</vt:lpstr>
      <vt:lpstr>Direction_Relation_Adhérent.Risk</vt:lpstr>
      <vt:lpstr>Direction_Relation_Clients.</vt:lpstr>
      <vt:lpstr>Direction_Relation_Prestations_Clients.</vt:lpstr>
      <vt:lpstr>Direction_Relation_Prestations_Clients.Act</vt:lpstr>
      <vt:lpstr>Direction_Relation_Prestations_Clients.Ctrl</vt:lpstr>
      <vt:lpstr>Direction_Relation_Prestations_Clients.PM</vt:lpstr>
      <vt:lpstr>Direction_Relation_Prestations_Clients.PO</vt:lpstr>
      <vt:lpstr>Direction_Relation_Prestations_Clients.Risk</vt:lpstr>
      <vt:lpstr>Direction_Réseau_Clients_Marketing_Communication.</vt:lpstr>
      <vt:lpstr>Direction_Ressources_Humaines.</vt:lpstr>
      <vt:lpstr>Direction_SI_Moyens__Généraux.</vt:lpstr>
      <vt:lpstr>Direction_Technique_Stratégie_Assurentielle.</vt:lpstr>
      <vt:lpstr>Directions</vt:lpstr>
      <vt:lpstr>DMR</vt:lpstr>
      <vt:lpstr>DMR_Homme</vt:lpstr>
      <vt:lpstr>DMR_Procedure</vt:lpstr>
      <vt:lpstr>DMR_Reglementaire</vt:lpstr>
      <vt:lpstr>DMR_SI</vt:lpstr>
      <vt:lpstr>Domaine</vt:lpstr>
      <vt:lpstr>Externes</vt:lpstr>
      <vt:lpstr>Financier</vt:lpstr>
      <vt:lpstr>Imp</vt:lpstr>
      <vt:lpstr>Impact_Brut</vt:lpstr>
      <vt:lpstr>Impact_Brut2</vt:lpstr>
      <vt:lpstr>'Tableau des risques net'!IMPACT1</vt:lpstr>
      <vt:lpstr>'Tableau des risques net'!IMPACT2</vt:lpstr>
      <vt:lpstr>'Tableau des risques net'!IMPACT3</vt:lpstr>
      <vt:lpstr>Impacts_Clients</vt:lpstr>
      <vt:lpstr>Impacts_Conformité</vt:lpstr>
      <vt:lpstr>Impacts_Financiers</vt:lpstr>
      <vt:lpstr>Impacts_Stratégie</vt:lpstr>
      <vt:lpstr>Impp</vt:lpstr>
      <vt:lpstr>'Tableau des risques brut'!Impression_des_titres</vt:lpstr>
      <vt:lpstr>'Tableau des risques net'!Impression_des_titres</vt:lpstr>
      <vt:lpstr>'Tableau des risques net'!MATURITE1</vt:lpstr>
      <vt:lpstr>'Tableau des risques net'!MATURITE2</vt:lpstr>
      <vt:lpstr>'Tableau des risques net'!MATURITE3</vt:lpstr>
      <vt:lpstr>Nature_perte</vt:lpstr>
      <vt:lpstr>Nom_Risk_Net</vt:lpstr>
      <vt:lpstr>NUMERO_RISQUE_BRUT</vt:lpstr>
      <vt:lpstr>NUMERO_RISQUE_CRIT</vt:lpstr>
      <vt:lpstr>NUMERO_RISQUE_NET</vt:lpstr>
      <vt:lpstr>origine_de_détection</vt:lpstr>
      <vt:lpstr>Pilotage</vt:lpstr>
      <vt:lpstr>Prévoyance</vt:lpstr>
      <vt:lpstr>Priorité</vt:lpstr>
      <vt:lpstr>Proba</vt:lpstr>
      <vt:lpstr>Proba_Brut</vt:lpstr>
      <vt:lpstr>Proba_Brut2</vt:lpstr>
      <vt:lpstr>'Tableau des risques net'!PROBABILITE1</vt:lpstr>
      <vt:lpstr>'Tableau des risques net'!PROBABILITE2</vt:lpstr>
      <vt:lpstr>'Tableau des risques net'!PROBABILITE3</vt:lpstr>
      <vt:lpstr>Processus_Procédure</vt:lpstr>
      <vt:lpstr>RB</vt:lpstr>
      <vt:lpstr>Ressources_Humaines</vt:lpstr>
      <vt:lpstr>Retraite</vt:lpstr>
      <vt:lpstr>Risk_Nom_Criticite</vt:lpstr>
      <vt:lpstr>RisqueBrut1</vt:lpstr>
      <vt:lpstr>RisqueBrut10</vt:lpstr>
      <vt:lpstr>RisqueBrut11</vt:lpstr>
      <vt:lpstr>RisqueBrut12</vt:lpstr>
      <vt:lpstr>RisqueBrut13</vt:lpstr>
      <vt:lpstr>RisqueBrut14</vt:lpstr>
      <vt:lpstr>RisqueBrut15</vt:lpstr>
      <vt:lpstr>RisqueBrut16</vt:lpstr>
      <vt:lpstr>RisqueBrut17</vt:lpstr>
      <vt:lpstr>RisqueBrut18</vt:lpstr>
      <vt:lpstr>RisqueBrut19</vt:lpstr>
      <vt:lpstr>RisqueBrut2</vt:lpstr>
      <vt:lpstr>RisqueBrut20</vt:lpstr>
      <vt:lpstr>RisqueBrut21</vt:lpstr>
      <vt:lpstr>RisqueBrut22</vt:lpstr>
      <vt:lpstr>RisqueBrut23</vt:lpstr>
      <vt:lpstr>RisqueBrut24</vt:lpstr>
      <vt:lpstr>RisqueBrut25</vt:lpstr>
      <vt:lpstr>RisqueBrut26</vt:lpstr>
      <vt:lpstr>RisqueBrut27</vt:lpstr>
      <vt:lpstr>RisqueBrut28</vt:lpstr>
      <vt:lpstr>RisqueBrut29</vt:lpstr>
      <vt:lpstr>RisqueBrut3</vt:lpstr>
      <vt:lpstr>'Tableau des risques net'!RisqueBrut30</vt:lpstr>
      <vt:lpstr>RisqueBrut30</vt:lpstr>
      <vt:lpstr>RisqueBrut31</vt:lpstr>
      <vt:lpstr>RisqueBrut32</vt:lpstr>
      <vt:lpstr>RisqueBrut33</vt:lpstr>
      <vt:lpstr>RisqueBrut34</vt:lpstr>
      <vt:lpstr>RisqueBrut35</vt:lpstr>
      <vt:lpstr>RisqueBrut36</vt:lpstr>
      <vt:lpstr>RisqueBrut4</vt:lpstr>
      <vt:lpstr>RisqueBrut5</vt:lpstr>
      <vt:lpstr>RisqueBrut6</vt:lpstr>
      <vt:lpstr>RisqueBrut7</vt:lpstr>
      <vt:lpstr>RisqueBrut8</vt:lpstr>
      <vt:lpstr>RisqueBrut9</vt:lpstr>
      <vt:lpstr>RisqueNet1</vt:lpstr>
      <vt:lpstr>RisqueNet10</vt:lpstr>
      <vt:lpstr>RisqueNet11</vt:lpstr>
      <vt:lpstr>RisqueNet12</vt:lpstr>
      <vt:lpstr>RisqueNet13</vt:lpstr>
      <vt:lpstr>RisqueNet14</vt:lpstr>
      <vt:lpstr>RisqueNet15</vt:lpstr>
      <vt:lpstr>RisqueNet16</vt:lpstr>
      <vt:lpstr>RisqueNet17</vt:lpstr>
      <vt:lpstr>RisqueNet18</vt:lpstr>
      <vt:lpstr>RisqueNet19</vt:lpstr>
      <vt:lpstr>RisqueNet2</vt:lpstr>
      <vt:lpstr>RisqueNet20</vt:lpstr>
      <vt:lpstr>RisqueNet21</vt:lpstr>
      <vt:lpstr>RisqueNet22</vt:lpstr>
      <vt:lpstr>RisqueNet23</vt:lpstr>
      <vt:lpstr>RisqueNet24</vt:lpstr>
      <vt:lpstr>RisqueNet25</vt:lpstr>
      <vt:lpstr>RisqueNet26</vt:lpstr>
      <vt:lpstr>RisqueNet27</vt:lpstr>
      <vt:lpstr>RisqueNet28</vt:lpstr>
      <vt:lpstr>RisqueNet29</vt:lpstr>
      <vt:lpstr>RisqueNet3</vt:lpstr>
      <vt:lpstr>RisqueNet30</vt:lpstr>
      <vt:lpstr>RisqueNet31</vt:lpstr>
      <vt:lpstr>RisqueNet32</vt:lpstr>
      <vt:lpstr>RisqueNet33</vt:lpstr>
      <vt:lpstr>RisqueNet34</vt:lpstr>
      <vt:lpstr>RisqueNet35</vt:lpstr>
      <vt:lpstr>RisqueNet36</vt:lpstr>
      <vt:lpstr>RisqueNet4</vt:lpstr>
      <vt:lpstr>RisqueNet5</vt:lpstr>
      <vt:lpstr>RisqueNet6</vt:lpstr>
      <vt:lpstr>RisqueNet7</vt:lpstr>
      <vt:lpstr>RisqueNet8</vt:lpstr>
      <vt:lpstr>RisqueNet9</vt:lpstr>
      <vt:lpstr>Santé</vt:lpstr>
      <vt:lpstr>Scoring</vt:lpstr>
      <vt:lpstr>SI</vt:lpstr>
      <vt:lpstr>Stratégique</vt:lpstr>
      <vt:lpstr>Toutes</vt:lpstr>
      <vt:lpstr>'Cartographie des risques global'!Zone_d_impression</vt:lpstr>
      <vt:lpstr>'Cartographies séparées BrutNet'!Zone_d_impression</vt:lpstr>
      <vt:lpstr>Criticité!Zone_d_impression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Arnaud Gomiero</dc:creator>
  <cp:lastModifiedBy>AG</cp:lastModifiedBy>
  <cp:lastPrinted>2018-03-06T14:08:02Z</cp:lastPrinted>
  <dcterms:created xsi:type="dcterms:W3CDTF">2012-06-01T15:46:45Z</dcterms:created>
  <dcterms:modified xsi:type="dcterms:W3CDTF">2018-07-11T09:19:29Z</dcterms:modified>
</cp:coreProperties>
</file>