
<file path=[Content_Types].xml><?xml version="1.0" encoding="utf-8"?>
<Types xmlns="http://schemas.openxmlformats.org/package/2006/content-types">
  <Default Extension="bin" ContentType="application/vnd.openxmlformats-officedocument.spreadsheetml.printerSettings"/>
  <Override PartName="/xl/queryTables/queryTable1.xml" ContentType="application/vnd.openxmlformats-officedocument.spreadsheetml.queryTable+xml"/>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nnections.xml" ContentType="application/vnd.openxmlformats-officedocument.spreadsheetml.connections+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ThisWorkbook" defaultThemeVersion="124226"/>
  <bookViews>
    <workbookView xWindow="480" yWindow="135" windowWidth="14370" windowHeight="7635" tabRatio="666" activeTab="1"/>
  </bookViews>
  <sheets>
    <sheet name="Paramètres Cotation" sheetId="14" r:id="rId1"/>
    <sheet name="Conso" sheetId="20" r:id="rId2"/>
    <sheet name="Risk N°1" sheetId="71" r:id="rId3"/>
    <sheet name="Paramètres" sheetId="17" r:id="rId4"/>
    <sheet name="Tableau des risques brut" sheetId="1" r:id="rId5"/>
    <sheet name="Tableau des risques net" sheetId="74" r:id="rId6"/>
    <sheet name="Annexes" sheetId="19" state="hidden" r:id="rId7"/>
    <sheet name="Scoring " sheetId="70" state="hidden" r:id="rId8"/>
    <sheet name="Cartographie des risques global" sheetId="3" r:id="rId9"/>
    <sheet name="Cartographies séparées BrutNet" sheetId="66" state="hidden" r:id="rId10"/>
    <sheet name="Criticité" sheetId="69" state="hidden" r:id="rId11"/>
    <sheet name="Notes" sheetId="72" r:id="rId12"/>
    <sheet name="Carto aide" sheetId="73" r:id="rId13"/>
  </sheets>
  <functionGroups/>
  <definedNames>
    <definedName name="_" localSheetId="9">'Cartographies séparées BrutNet'!$F$8</definedName>
    <definedName name="_">'Cartographie des risques global'!$F$8</definedName>
    <definedName name="_xlnm._FilterDatabase" localSheetId="6" hidden="1">Annexes!$A$54:$H$54</definedName>
    <definedName name="_xlnm._FilterDatabase" localSheetId="1" hidden="1">Conso!$A$1:$BL$16</definedName>
    <definedName name="_xlnm._FilterDatabase" localSheetId="4" hidden="1">'Tableau des risques brut'!$A$1:$G$1</definedName>
    <definedName name="_xlnm._FilterDatabase" localSheetId="5" hidden="1">'Tableau des risques net'!$A$1:$G$1</definedName>
    <definedName name="ADP">Paramètres!$D$27:$D$29</definedName>
    <definedName name="Autres">Paramètres!$E$27</definedName>
    <definedName name="Choix">Paramètres!$G$11:$G$12</definedName>
    <definedName name="Choix_2">Paramètres!$C$32</definedName>
    <definedName name="Classeur1_1" localSheetId="6">Annexes!$A$55:$F$129</definedName>
    <definedName name="Client_Image_Réputation">Paramètres!$P$4:$P$9</definedName>
    <definedName name="Conformité_Réglementaire">Paramètres!$N$4:$N$6</definedName>
    <definedName name="Conséquence">Paramètres!$N$3:$Q$3</definedName>
    <definedName name="Cotation_DMR">'Scoring '!$D$56:$D$59</definedName>
    <definedName name="Cotation_DMR2">'Scoring '!$B$56:$C$59</definedName>
    <definedName name="Cotation_Gravité_Brute">'Scoring '!$D$99:$D$102</definedName>
    <definedName name="Cotation_Gravité_Brute2">'Scoring '!$B$99:$C$102</definedName>
    <definedName name="criticité">'Paramètres Cotation'!$A$11:$A$16</definedName>
    <definedName name="CriticiteBrut1" localSheetId="5">'Tableau des risques net'!$F$2:$F$109</definedName>
    <definedName name="CriticiteBrut1">'Tableau des risques brut'!$F$2:$F$109</definedName>
    <definedName name="CriticiteBrut10" localSheetId="5">'Tableau des risques net'!#REF!</definedName>
    <definedName name="CriticiteBrut10">'Tableau des risques brut'!#REF!</definedName>
    <definedName name="CriticiteBrut11" localSheetId="5">'Tableau des risques net'!#REF!</definedName>
    <definedName name="CriticiteBrut11">'Tableau des risques brut'!#REF!</definedName>
    <definedName name="CriticiteBrut12" localSheetId="5">'Tableau des risques net'!#REF!</definedName>
    <definedName name="CriticiteBrut12">'Tableau des risques brut'!#REF!</definedName>
    <definedName name="CriticiteBrut13" localSheetId="5">'Tableau des risques net'!#REF!</definedName>
    <definedName name="CriticiteBrut13">'Tableau des risques brut'!#REF!</definedName>
    <definedName name="CriticiteBrut14" localSheetId="5">'Tableau des risques net'!#REF!</definedName>
    <definedName name="CriticiteBrut14">'Tableau des risques brut'!#REF!</definedName>
    <definedName name="CriticiteBrut15" localSheetId="5">'Tableau des risques net'!#REF!</definedName>
    <definedName name="CriticiteBrut15">'Tableau des risques brut'!#REF!</definedName>
    <definedName name="CriticiteBrut16" localSheetId="5">'Tableau des risques net'!#REF!</definedName>
    <definedName name="CriticiteBrut16">'Tableau des risques brut'!#REF!</definedName>
    <definedName name="CriticiteBrut2" localSheetId="5">'Tableau des risques net'!#REF!</definedName>
    <definedName name="CriticiteBrut2">'Tableau des risques brut'!#REF!</definedName>
    <definedName name="CriticiteBrut3" localSheetId="5">'Tableau des risques net'!#REF!</definedName>
    <definedName name="CriticiteBrut3">'Tableau des risques brut'!#REF!</definedName>
    <definedName name="CriticiteBrut4" localSheetId="5">'Tableau des risques net'!#REF!</definedName>
    <definedName name="CriticiteBrut4">'Tableau des risques brut'!#REF!</definedName>
    <definedName name="CriticiteBrut5" localSheetId="5">'Tableau des risques net'!#REF!</definedName>
    <definedName name="CriticiteBrut5">'Tableau des risques brut'!#REF!</definedName>
    <definedName name="CriticiteBrut6" localSheetId="5">'Tableau des risques net'!#REF!</definedName>
    <definedName name="CriticiteBrut6">'Tableau des risques brut'!#REF!</definedName>
    <definedName name="CriticiteBrut7" localSheetId="5">'Tableau des risques net'!#REF!</definedName>
    <definedName name="CriticiteBrut7">'Tableau des risques brut'!#REF!</definedName>
    <definedName name="CriticiteBrut8" localSheetId="5">'Tableau des risques net'!#REF!</definedName>
    <definedName name="CriticiteBrut8">'Tableau des risques brut'!#REF!</definedName>
    <definedName name="CriticiteBrut9" localSheetId="5">'Tableau des risques net'!#REF!</definedName>
    <definedName name="CriticiteBrut9">'Tableau des risques brut'!#REF!</definedName>
    <definedName name="CriticiteNet1">#REF!</definedName>
    <definedName name="CriticiteNet10">#REF!</definedName>
    <definedName name="CriticiteNet11">#REF!</definedName>
    <definedName name="CriticiteNet12">#REF!</definedName>
    <definedName name="CriticiteNet13">#REF!</definedName>
    <definedName name="CriticiteNet14">#REF!</definedName>
    <definedName name="CriticiteNet15">#REF!</definedName>
    <definedName name="CriticiteNet16">#REF!</definedName>
    <definedName name="CriticiteNet2">#REF!</definedName>
    <definedName name="CriticiteNet3">#REF!</definedName>
    <definedName name="CriticiteNet4">#REF!</definedName>
    <definedName name="CriticiteNet5">#REF!</definedName>
    <definedName name="CriticiteNet6">#REF!</definedName>
    <definedName name="CriticiteNet7">#REF!</definedName>
    <definedName name="CriticiteNet8">#REF!</definedName>
    <definedName name="CriticiteNet9">#REF!</definedName>
    <definedName name="csqrisk">Paramètres!$N$3:$Q$3</definedName>
    <definedName name="Direction_Action_Sociale_Culturelle.">Paramètres!$O$25</definedName>
    <definedName name="Direction_du_Cabinet.">Paramètres!$K$25:$K$27</definedName>
    <definedName name="Direction_Finance_Risques.">Paramètres!$Q$25:$Q$28</definedName>
    <definedName name="Direction_Instances_Juridique_Institutionnel.">Paramètres!$P$25</definedName>
    <definedName name="Direction_Relation_Adhérent.">Paramètres!$J$25:$J$26</definedName>
    <definedName name="Direction_Relation_Adhérent.Act">Paramètres!$L$39:$L$40</definedName>
    <definedName name="Direction_Relation_Adhérent.Ctrl">Paramètres!$L$57:$L$59</definedName>
    <definedName name="Direction_Relation_Adhérent.PM">Paramètres!$L$64:$L$67</definedName>
    <definedName name="Direction_Relation_Adhérent.PO">Paramètres!$L$72:$L$73</definedName>
    <definedName name="Direction_Relation_Adhérent.Risk">Paramètres!$L$48:$L$50</definedName>
    <definedName name="Direction_Relation_Clients.">Paramètres!$L$25:$L$26</definedName>
    <definedName name="Direction_Relation_Prestations_Clients.">Paramètres!$M$25:$M$27</definedName>
    <definedName name="Direction_Relation_Prestations_Clients.Act">Paramètres!$M$39:$M$41</definedName>
    <definedName name="Direction_Relation_Prestations_Clients.Ctrl">Paramètres!$M$57:$M$58</definedName>
    <definedName name="Direction_Relation_Prestations_Clients.PM">Paramètres!$M$64:$M$67</definedName>
    <definedName name="Direction_Relation_Prestations_Clients.PO">Paramètres!$M$72:$M$73</definedName>
    <definedName name="Direction_Relation_Prestations_Clients.Risk">Paramètres!$M$48:$M$49</definedName>
    <definedName name="Direction_Réseau_Clients_Marketing_Communication.">Paramètres!$N$25:$N$30</definedName>
    <definedName name="Direction_Ressources_Humaines.">Paramètres!$S$25</definedName>
    <definedName name="Direction_SI_Moyens__Généraux.">Paramètres!$T$25:$T$28</definedName>
    <definedName name="Direction_Technique_Stratégie_Assurentielle.">Paramètres!$R$25</definedName>
    <definedName name="Directions">Paramètres!$I$21:$I$31</definedName>
    <definedName name="DMR">'Paramètres Cotation'!$C$2:$C$5</definedName>
    <definedName name="DMR_Homme">'Scoring '!$B$64:$C$67</definedName>
    <definedName name="DMR_Procedure">'Scoring '!$B$76:$C$79</definedName>
    <definedName name="DMR_Reglementaire">'Scoring '!$B$83:$C$86</definedName>
    <definedName name="DMR_SI">'Scoring '!$B$70:$C$73</definedName>
    <definedName name="Domaine">Paramètres!$C$26:$F$26</definedName>
    <definedName name="Externes">Paramètres!$I$4:$I$10</definedName>
    <definedName name="Facteurs">Paramètres!$I$3:$M$3</definedName>
    <definedName name="Financier">Paramètres!$O$4:$O$8</definedName>
    <definedName name="Imp">'Paramètres Cotation'!$D$2:$D$7</definedName>
    <definedName name="Impact_Brut">'Scoring '!$D$11:$D$16</definedName>
    <definedName name="Impact_Brut2">'Scoring '!$B$11:$C$16</definedName>
    <definedName name="Impacts_Clients">'Scoring '!$B$28:$C$33</definedName>
    <definedName name="Impacts_Conformité">'Scoring '!$B$37:$C$42</definedName>
    <definedName name="Impacts_Financiers">'Scoring '!$B$20:$C$25</definedName>
    <definedName name="Impacts_Stratégie">'Scoring '!$B$46:$C$51</definedName>
    <definedName name="Impp">Paramètres!$D$2:$D$7</definedName>
    <definedName name="_xlnm.Print_Titles" localSheetId="4">'Tableau des risques brut'!$1:$1</definedName>
    <definedName name="_xlnm.Print_Titles" localSheetId="5">'Tableau des risques net'!$1:$1</definedName>
    <definedName name="Nature_perte">Paramètres!$G$16:$G$21</definedName>
    <definedName name="Nom_Risk_Net">#REF!</definedName>
    <definedName name="NUMERO_RISQUE_BRUT" localSheetId="5">'Tableau des risques net'!$A$2:$A$109</definedName>
    <definedName name="NUMERO_RISQUE_BRUT">'Tableau des risques brut'!$A$2:$A$109</definedName>
    <definedName name="NUMERO_RISQUE_CRIT" localSheetId="5">'Tableau des risques net'!$G$2:$G$41</definedName>
    <definedName name="NUMERO_RISQUE_CRIT">'Tableau des risques brut'!$G$2:$G$41</definedName>
    <definedName name="NUMERO_RISQUE_NET">#REF!</definedName>
    <definedName name="origine_de_détection">Paramètres!$H$2:$H$5</definedName>
    <definedName name="Pilotage">Paramètres!$M$4:$M$9</definedName>
    <definedName name="Prévoyance">Paramètres!$D$27</definedName>
    <definedName name="Priorité">Paramètres!$E$2:$E$4</definedName>
    <definedName name="Proba">'Paramètres Cotation'!$A$2:$A$7</definedName>
    <definedName name="Proba_Brut">'Scoring '!$D$3:$D$8</definedName>
    <definedName name="Proba_Brut2">'Scoring '!$B$3:$C$8</definedName>
    <definedName name="Processus_Procédure">Paramètres!$K$4:$K$6</definedName>
    <definedName name="RB">'Paramètres Cotation'!$B$2:$B$5</definedName>
    <definedName name="Ressources_Humaines">Paramètres!$J$4:$J$8</definedName>
    <definedName name="Retraite">Paramètres!$C$27:$C$28</definedName>
    <definedName name="Risk_Nom_Criticite" localSheetId="5">'Tableau des risques net'!$G$3:$G$41</definedName>
    <definedName name="Risk_Nom_Criticite">'Tableau des risques brut'!$G$3:$G$41</definedName>
    <definedName name="RisqueBrut1" localSheetId="5">'Tableau des risques net'!$C$2:$C$109</definedName>
    <definedName name="RisqueBrut1">'Tableau des risques brut'!$C$2:$C$109</definedName>
    <definedName name="RisqueBrut10" localSheetId="5">'Tableau des risques net'!#REF!</definedName>
    <definedName name="RisqueBrut10">'Tableau des risques brut'!#REF!</definedName>
    <definedName name="RisqueBrut11" localSheetId="5">'Tableau des risques net'!#REF!</definedName>
    <definedName name="RisqueBrut11">'Tableau des risques brut'!#REF!</definedName>
    <definedName name="RisqueBrut12" localSheetId="5">'Tableau des risques net'!#REF!</definedName>
    <definedName name="RisqueBrut12">'Tableau des risques brut'!#REF!</definedName>
    <definedName name="RisqueBrut13" localSheetId="5">'Tableau des risques net'!#REF!</definedName>
    <definedName name="RisqueBrut13">'Tableau des risques brut'!#REF!</definedName>
    <definedName name="RisqueBrut14" localSheetId="5">'Tableau des risques net'!#REF!</definedName>
    <definedName name="RisqueBrut14">'Tableau des risques brut'!#REF!</definedName>
    <definedName name="RisqueBrut15" localSheetId="5">'Tableau des risques net'!#REF!</definedName>
    <definedName name="RisqueBrut15">'Tableau des risques brut'!#REF!</definedName>
    <definedName name="RisqueBrut16" localSheetId="5">'Tableau des risques net'!#REF!</definedName>
    <definedName name="RisqueBrut16">'Tableau des risques brut'!#REF!</definedName>
    <definedName name="RisqueBrut17" localSheetId="5">'Tableau des risques net'!#REF!</definedName>
    <definedName name="RisqueBrut17">'Tableau des risques brut'!#REF!</definedName>
    <definedName name="RisqueBrut18" localSheetId="5">'Tableau des risques net'!#REF!</definedName>
    <definedName name="RisqueBrut18">'Tableau des risques brut'!#REF!</definedName>
    <definedName name="RisqueBrut19" localSheetId="5">'Tableau des risques net'!#REF!</definedName>
    <definedName name="RisqueBrut19">'Tableau des risques brut'!#REF!</definedName>
    <definedName name="RisqueBrut2" localSheetId="5">'Tableau des risques net'!#REF!</definedName>
    <definedName name="RisqueBrut2">'Tableau des risques brut'!#REF!</definedName>
    <definedName name="RisqueBrut20" localSheetId="5">'Tableau des risques net'!#REF!</definedName>
    <definedName name="RisqueBrut20">'Tableau des risques brut'!#REF!</definedName>
    <definedName name="RisqueBrut21" localSheetId="5">'Tableau des risques net'!#REF!</definedName>
    <definedName name="RisqueBrut21">'Tableau des risques brut'!#REF!</definedName>
    <definedName name="RisqueBrut22" localSheetId="5">'Tableau des risques net'!#REF!</definedName>
    <definedName name="RisqueBrut22">'Tableau des risques brut'!#REF!</definedName>
    <definedName name="RisqueBrut23" localSheetId="5">'Tableau des risques net'!#REF!</definedName>
    <definedName name="RisqueBrut23">'Tableau des risques brut'!#REF!</definedName>
    <definedName name="RisqueBrut24" localSheetId="5">'Tableau des risques net'!#REF!</definedName>
    <definedName name="RisqueBrut24">'Tableau des risques brut'!#REF!</definedName>
    <definedName name="RisqueBrut25" localSheetId="5">'Tableau des risques net'!#REF!</definedName>
    <definedName name="RisqueBrut25">'Tableau des risques brut'!#REF!</definedName>
    <definedName name="RisqueBrut26" localSheetId="5">'Tableau des risques net'!#REF!</definedName>
    <definedName name="RisqueBrut26">'Tableau des risques brut'!#REF!</definedName>
    <definedName name="RisqueBrut27" localSheetId="5">'Tableau des risques net'!#REF!</definedName>
    <definedName name="RisqueBrut27">'Tableau des risques brut'!#REF!</definedName>
    <definedName name="RisqueBrut28" localSheetId="5">'Tableau des risques net'!#REF!</definedName>
    <definedName name="RisqueBrut28">'Tableau des risques brut'!#REF!</definedName>
    <definedName name="RisqueBrut29" localSheetId="5">'Tableau des risques net'!#REF!</definedName>
    <definedName name="RisqueBrut29">'Tableau des risques brut'!#REF!</definedName>
    <definedName name="RisqueBrut3" localSheetId="5">'Tableau des risques net'!#REF!</definedName>
    <definedName name="RisqueBrut3">'Tableau des risques brut'!#REF!</definedName>
    <definedName name="RisqueBrut30" localSheetId="5">'Tableau des risques net'!#REF!</definedName>
    <definedName name="RisqueBrut30">'Tableau des risques brut'!#REF!</definedName>
    <definedName name="RisqueBrut31" localSheetId="5">'Tableau des risques net'!#REF!</definedName>
    <definedName name="RisqueBrut31">'Tableau des risques brut'!#REF!</definedName>
    <definedName name="RisqueBrut32" localSheetId="5">'Tableau des risques net'!#REF!</definedName>
    <definedName name="RisqueBrut32">'Tableau des risques brut'!#REF!</definedName>
    <definedName name="RisqueBrut33" localSheetId="5">'Tableau des risques net'!#REF!</definedName>
    <definedName name="RisqueBrut33">'Tableau des risques brut'!#REF!</definedName>
    <definedName name="RisqueBrut34" localSheetId="5">'Tableau des risques net'!#REF!</definedName>
    <definedName name="RisqueBrut34">'Tableau des risques brut'!#REF!</definedName>
    <definedName name="RisqueBrut35" localSheetId="5">'Tableau des risques net'!#REF!</definedName>
    <definedName name="RisqueBrut35">'Tableau des risques brut'!#REF!</definedName>
    <definedName name="RisqueBrut36" localSheetId="5">'Tableau des risques net'!#REF!</definedName>
    <definedName name="RisqueBrut36">'Tableau des risques brut'!#REF!</definedName>
    <definedName name="RisqueBrut4" localSheetId="5">'Tableau des risques net'!#REF!</definedName>
    <definedName name="RisqueBrut4">'Tableau des risques brut'!#REF!</definedName>
    <definedName name="RisqueBrut5" localSheetId="5">'Tableau des risques net'!#REF!</definedName>
    <definedName name="RisqueBrut5">'Tableau des risques brut'!#REF!</definedName>
    <definedName name="RisqueBrut6" localSheetId="5">'Tableau des risques net'!#REF!</definedName>
    <definedName name="RisqueBrut6">'Tableau des risques brut'!#REF!</definedName>
    <definedName name="RisqueBrut7" localSheetId="5">'Tableau des risques net'!#REF!</definedName>
    <definedName name="RisqueBrut7">'Tableau des risques brut'!#REF!</definedName>
    <definedName name="RisqueBrut8" localSheetId="5">'Tableau des risques net'!#REF!</definedName>
    <definedName name="RisqueBrut8">'Tableau des risques brut'!#REF!</definedName>
    <definedName name="RisqueBrut9" localSheetId="5">'Tableau des risques net'!#REF!</definedName>
    <definedName name="RisqueBrut9">'Tableau des risques brut'!#REF!</definedName>
    <definedName name="RisqueNet1">#REF!</definedName>
    <definedName name="RisqueNet10">#REF!</definedName>
    <definedName name="RisqueNet11">#REF!</definedName>
    <definedName name="RisqueNet12">#REF!</definedName>
    <definedName name="RisqueNet13">#REF!</definedName>
    <definedName name="RisqueNet14">#REF!</definedName>
    <definedName name="RisqueNet15">#REF!</definedName>
    <definedName name="RisqueNet16">#REF!</definedName>
    <definedName name="RisqueNet17">#REF!</definedName>
    <definedName name="RisqueNet18">#REF!</definedName>
    <definedName name="RisqueNet19">#REF!</definedName>
    <definedName name="RisqueNet2">#REF!</definedName>
    <definedName name="RisqueNet20">#REF!</definedName>
    <definedName name="RisqueNet21">#REF!</definedName>
    <definedName name="RisqueNet22">#REF!</definedName>
    <definedName name="RisqueNet23">#REF!</definedName>
    <definedName name="RisqueNet24">#REF!</definedName>
    <definedName name="RisqueNet25">#REF!</definedName>
    <definedName name="RisqueNet26">#REF!</definedName>
    <definedName name="RisqueNet27">#REF!</definedName>
    <definedName name="RisqueNet28">#REF!</definedName>
    <definedName name="RisqueNet29">#REF!</definedName>
    <definedName name="RisqueNet3">#REF!</definedName>
    <definedName name="RisqueNet30">#REF!</definedName>
    <definedName name="RisqueNet31">#REF!</definedName>
    <definedName name="RisqueNet32">#REF!</definedName>
    <definedName name="RisqueNet33">#REF!</definedName>
    <definedName name="RisqueNet34">#REF!</definedName>
    <definedName name="RisqueNet35">#REF!</definedName>
    <definedName name="RisqueNet36">#REF!</definedName>
    <definedName name="RisqueNet4">#REF!</definedName>
    <definedName name="RisqueNet5">#REF!</definedName>
    <definedName name="RisqueNet6">#REF!</definedName>
    <definedName name="RisqueNet7">#REF!</definedName>
    <definedName name="RisqueNet8">#REF!</definedName>
    <definedName name="RisqueNet9">#REF!</definedName>
    <definedName name="Scoring">Annexes!$C$34</definedName>
    <definedName name="SI">Paramètres!$L$4:$L$7</definedName>
    <definedName name="Stratégique">Paramètres!$Q$4:$Q$7</definedName>
    <definedName name="Toutes">Paramètres!$F$27</definedName>
    <definedName name="_xlnm.Print_Area" localSheetId="8">'Cartographie des risques global'!$A$1:$T$14</definedName>
    <definedName name="_xlnm.Print_Area" localSheetId="9">'Cartographies séparées BrutNet'!$A$1:$L$17</definedName>
    <definedName name="_xlnm.Print_Area" localSheetId="10">Criticité!$A$1:$I$13</definedName>
  </definedNames>
  <calcPr calcId="125725"/>
</workbook>
</file>

<file path=xl/calcChain.xml><?xml version="1.0" encoding="utf-8"?>
<calcChain xmlns="http://schemas.openxmlformats.org/spreadsheetml/2006/main">
  <c r="B41" i="74"/>
  <c r="B40"/>
  <c r="B39"/>
  <c r="B38"/>
  <c r="B37"/>
  <c r="B36"/>
  <c r="B35"/>
  <c r="B34"/>
  <c r="B33"/>
  <c r="B32"/>
  <c r="B31"/>
  <c r="B30"/>
  <c r="B29"/>
  <c r="B28"/>
  <c r="B27"/>
  <c r="B26"/>
  <c r="B25"/>
  <c r="B24"/>
  <c r="B23"/>
  <c r="B22"/>
  <c r="B21"/>
  <c r="B20"/>
  <c r="B19"/>
  <c r="B18"/>
  <c r="B17"/>
  <c r="B16"/>
  <c r="B15"/>
  <c r="B14"/>
  <c r="B13"/>
  <c r="B12"/>
  <c r="B11"/>
  <c r="B10"/>
  <c r="B9"/>
  <c r="B8"/>
  <c r="B7"/>
  <c r="B6"/>
  <c r="B5"/>
  <c r="B4"/>
  <c r="B3" i="20"/>
  <c r="C3"/>
  <c r="D3"/>
  <c r="E3"/>
  <c r="F3"/>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4"/>
  <c r="C4"/>
  <c r="D4"/>
  <c r="E4"/>
  <c r="F4"/>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5"/>
  <c r="C5"/>
  <c r="D5"/>
  <c r="E5"/>
  <c r="F5"/>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6"/>
  <c r="C6"/>
  <c r="D6"/>
  <c r="E6"/>
  <c r="F6"/>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7"/>
  <c r="C7"/>
  <c r="D7"/>
  <c r="E7"/>
  <c r="F7"/>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8"/>
  <c r="C8"/>
  <c r="D8"/>
  <c r="E8"/>
  <c r="F8"/>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9"/>
  <c r="C9"/>
  <c r="D9"/>
  <c r="E9"/>
  <c r="F9"/>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10"/>
  <c r="C10"/>
  <c r="D10"/>
  <c r="E10"/>
  <c r="F10"/>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11"/>
  <c r="C11"/>
  <c r="D11"/>
  <c r="E11"/>
  <c r="F11"/>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12"/>
  <c r="C12"/>
  <c r="D12"/>
  <c r="E12"/>
  <c r="F12"/>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13"/>
  <c r="C13"/>
  <c r="D13"/>
  <c r="E13"/>
  <c r="F13"/>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14"/>
  <c r="C14"/>
  <c r="D14"/>
  <c r="E14"/>
  <c r="F14"/>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15"/>
  <c r="C15"/>
  <c r="D15"/>
  <c r="E15"/>
  <c r="F15"/>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F42" i="71"/>
  <c r="F41"/>
  <c r="F40"/>
  <c r="F39"/>
  <c r="F23"/>
  <c r="F30" l="1"/>
  <c r="F29"/>
  <c r="F28"/>
  <c r="F27"/>
  <c r="E39" i="74" l="1"/>
  <c r="D5"/>
  <c r="E32"/>
  <c r="E25"/>
  <c r="C38"/>
  <c r="E16"/>
  <c r="E19"/>
  <c r="D21"/>
  <c r="D28"/>
  <c r="C39"/>
  <c r="E9"/>
  <c r="D41"/>
  <c r="E33"/>
  <c r="C28"/>
  <c r="D38"/>
  <c r="E30"/>
  <c r="E24"/>
  <c r="C34"/>
  <c r="D31"/>
  <c r="D32"/>
  <c r="D14"/>
  <c r="D12"/>
  <c r="D9"/>
  <c r="F9" s="1"/>
  <c r="D29"/>
  <c r="D18"/>
  <c r="C31"/>
  <c r="D36"/>
  <c r="D11"/>
  <c r="C22"/>
  <c r="E40"/>
  <c r="C37"/>
  <c r="C40"/>
  <c r="C36"/>
  <c r="D10"/>
  <c r="C12"/>
  <c r="E17"/>
  <c r="D37"/>
  <c r="C18"/>
  <c r="E4"/>
  <c r="C11"/>
  <c r="E13"/>
  <c r="D35"/>
  <c r="E31"/>
  <c r="C19"/>
  <c r="D40"/>
  <c r="D39"/>
  <c r="E35"/>
  <c r="E12"/>
  <c r="C41"/>
  <c r="E29"/>
  <c r="E18"/>
  <c r="D34"/>
  <c r="D33"/>
  <c r="F33" s="1"/>
  <c r="C4"/>
  <c r="D13"/>
  <c r="C6"/>
  <c r="C35"/>
  <c r="E20"/>
  <c r="C27"/>
  <c r="E37"/>
  <c r="E21"/>
  <c r="E28"/>
  <c r="D24"/>
  <c r="C24"/>
  <c r="C21"/>
  <c r="C32"/>
  <c r="C23"/>
  <c r="C33"/>
  <c r="D25"/>
  <c r="C16"/>
  <c r="C13"/>
  <c r="C14"/>
  <c r="C10"/>
  <c r="E10"/>
  <c r="E41"/>
  <c r="E38"/>
  <c r="C30"/>
  <c r="E36"/>
  <c r="F36" s="1"/>
  <c r="D26"/>
  <c r="E34"/>
  <c r="D30"/>
  <c r="C29"/>
  <c r="D7"/>
  <c r="D23"/>
  <c r="E5"/>
  <c r="D20"/>
  <c r="F20" s="1"/>
  <c r="C20"/>
  <c r="E7"/>
  <c r="D27"/>
  <c r="D17"/>
  <c r="E27"/>
  <c r="C8"/>
  <c r="D16"/>
  <c r="D22"/>
  <c r="C26"/>
  <c r="E23"/>
  <c r="D15"/>
  <c r="D19"/>
  <c r="F19" s="1"/>
  <c r="C15"/>
  <c r="E8"/>
  <c r="C7"/>
  <c r="C25"/>
  <c r="E14"/>
  <c r="E26"/>
  <c r="D6"/>
  <c r="C17"/>
  <c r="E6"/>
  <c r="E22"/>
  <c r="E15"/>
  <c r="C9"/>
  <c r="D8"/>
  <c r="E11"/>
  <c r="C5"/>
  <c r="D4"/>
  <c r="F4" s="1"/>
  <c r="F11"/>
  <c r="G8" i="71"/>
  <c r="H8"/>
  <c r="G9"/>
  <c r="F35" i="74" l="1"/>
  <c r="F6"/>
  <c r="F15"/>
  <c r="F16"/>
  <c r="F27"/>
  <c r="F40"/>
  <c r="F13"/>
  <c r="F18"/>
  <c r="F14"/>
  <c r="F28"/>
  <c r="F39"/>
  <c r="F26"/>
  <c r="F7"/>
  <c r="F23"/>
  <c r="F38"/>
  <c r="F34"/>
  <c r="F32"/>
  <c r="F41"/>
  <c r="F30"/>
  <c r="F25"/>
  <c r="F21"/>
  <c r="F37"/>
  <c r="F22"/>
  <c r="F17"/>
  <c r="F29"/>
  <c r="F10"/>
  <c r="F12"/>
  <c r="F5"/>
  <c r="F8"/>
  <c r="F24"/>
  <c r="F31"/>
  <c r="F45" i="71"/>
  <c r="F44"/>
  <c r="F37"/>
  <c r="F25"/>
  <c r="B4"/>
  <c r="A2" i="20" s="1"/>
  <c r="H2" i="71"/>
  <c r="G2"/>
  <c r="BE2" i="20"/>
  <c r="B3" i="1" l="1"/>
  <c r="B3" i="74"/>
  <c r="B41" i="1"/>
  <c r="B40"/>
  <c r="B39"/>
  <c r="B38"/>
  <c r="B37"/>
  <c r="B36"/>
  <c r="B35"/>
  <c r="B34"/>
  <c r="B33"/>
  <c r="B32"/>
  <c r="B31"/>
  <c r="B30"/>
  <c r="B29"/>
  <c r="B28"/>
  <c r="B27"/>
  <c r="B26"/>
  <c r="B25"/>
  <c r="B24"/>
  <c r="B23"/>
  <c r="B22"/>
  <c r="B21"/>
  <c r="B20"/>
  <c r="B19"/>
  <c r="B18"/>
  <c r="B17"/>
  <c r="B16"/>
  <c r="B15"/>
  <c r="B14"/>
  <c r="B13"/>
  <c r="B11"/>
  <c r="B12"/>
  <c r="B10"/>
  <c r="B9"/>
  <c r="B8"/>
  <c r="B7"/>
  <c r="B6"/>
  <c r="B5"/>
  <c r="BH2" i="20"/>
  <c r="AJ2"/>
  <c r="X2"/>
  <c r="N2"/>
  <c r="BI2"/>
  <c r="AD2"/>
  <c r="F2"/>
  <c r="O2"/>
  <c r="W2"/>
  <c r="AC2"/>
  <c r="U2"/>
  <c r="BD2"/>
  <c r="I2"/>
  <c r="P2"/>
  <c r="AK2"/>
  <c r="H2"/>
  <c r="E2"/>
  <c r="D2"/>
  <c r="AS2"/>
  <c r="M2"/>
  <c r="AE2"/>
  <c r="AR2"/>
  <c r="AT2"/>
  <c r="AG2"/>
  <c r="BG2"/>
  <c r="AU2"/>
  <c r="AL2"/>
  <c r="AX2"/>
  <c r="V2"/>
  <c r="AH2"/>
  <c r="T2"/>
  <c r="Z2"/>
  <c r="AV2"/>
  <c r="BF2"/>
  <c r="S2"/>
  <c r="Y2"/>
  <c r="BC2"/>
  <c r="B2"/>
  <c r="AO2"/>
  <c r="G2"/>
  <c r="AB2"/>
  <c r="Q2"/>
  <c r="AF2"/>
  <c r="AM2"/>
  <c r="AN2"/>
  <c r="BJ2"/>
  <c r="AP2"/>
  <c r="J2"/>
  <c r="AQ2"/>
  <c r="AW2"/>
  <c r="K2"/>
  <c r="AA2"/>
  <c r="C2"/>
  <c r="R2"/>
  <c r="AI2"/>
  <c r="L2"/>
  <c r="C3" i="74" l="1"/>
  <c r="C3" i="1"/>
  <c r="D3" i="74"/>
  <c r="B47" i="71" s="1"/>
  <c r="E3" i="74"/>
  <c r="E3" i="1"/>
  <c r="D3"/>
  <c r="B32" i="71" s="1"/>
  <c r="BK2" i="20"/>
  <c r="F3" i="74" l="1"/>
  <c r="B49" i="71" s="1"/>
  <c r="F3" i="1"/>
  <c r="D9"/>
  <c r="D12"/>
  <c r="D19"/>
  <c r="D6"/>
  <c r="D35"/>
  <c r="D22"/>
  <c r="D15"/>
  <c r="D13"/>
  <c r="D4"/>
  <c r="D27"/>
  <c r="D34"/>
  <c r="D16"/>
  <c r="D28"/>
  <c r="D7"/>
  <c r="D18"/>
  <c r="D37"/>
  <c r="D5"/>
  <c r="D29"/>
  <c r="D39"/>
  <c r="D38"/>
  <c r="D31"/>
  <c r="D21"/>
  <c r="D41"/>
  <c r="D33"/>
  <c r="D23"/>
  <c r="D10"/>
  <c r="D14"/>
  <c r="D20"/>
  <c r="D26"/>
  <c r="D8"/>
  <c r="D36"/>
  <c r="D32"/>
  <c r="D17"/>
  <c r="D40"/>
  <c r="D25"/>
  <c r="D24"/>
  <c r="D11"/>
  <c r="D30"/>
  <c r="E16"/>
  <c r="E31"/>
  <c r="E25"/>
  <c r="E28"/>
  <c r="E36"/>
  <c r="E39"/>
  <c r="E19"/>
  <c r="E35"/>
  <c r="E15"/>
  <c r="E13"/>
  <c r="E38"/>
  <c r="E40"/>
  <c r="E8"/>
  <c r="E37"/>
  <c r="E21"/>
  <c r="E10"/>
  <c r="E27"/>
  <c r="E33"/>
  <c r="E24"/>
  <c r="E4"/>
  <c r="E22"/>
  <c r="E7"/>
  <c r="E11"/>
  <c r="E18"/>
  <c r="E20"/>
  <c r="E30"/>
  <c r="E34"/>
  <c r="E6"/>
  <c r="E5"/>
  <c r="E41"/>
  <c r="E14"/>
  <c r="E23"/>
  <c r="E12"/>
  <c r="E9"/>
  <c r="E29"/>
  <c r="E17"/>
  <c r="E32"/>
  <c r="E26"/>
  <c r="C9"/>
  <c r="C12"/>
  <c r="C19"/>
  <c r="C6"/>
  <c r="C35"/>
  <c r="C22"/>
  <c r="C15"/>
  <c r="C13"/>
  <c r="C4"/>
  <c r="C27"/>
  <c r="C34"/>
  <c r="C16"/>
  <c r="C28"/>
  <c r="C7"/>
  <c r="C18"/>
  <c r="C37"/>
  <c r="C5"/>
  <c r="C29"/>
  <c r="C39"/>
  <c r="C38"/>
  <c r="C31"/>
  <c r="C21"/>
  <c r="C41"/>
  <c r="C33"/>
  <c r="C23"/>
  <c r="C10"/>
  <c r="C14"/>
  <c r="C20"/>
  <c r="C26"/>
  <c r="C8"/>
  <c r="C36"/>
  <c r="C32"/>
  <c r="C17"/>
  <c r="C40"/>
  <c r="C25"/>
  <c r="C24"/>
  <c r="C11"/>
  <c r="C30"/>
  <c r="BL2" i="20"/>
  <c r="F8" i="1" l="1"/>
  <c r="F30"/>
  <c r="F31"/>
  <c r="F21"/>
  <c r="F27"/>
  <c r="E10" i="3"/>
  <c r="F36" i="1"/>
  <c r="F8" i="3"/>
  <c r="E8"/>
  <c r="F9"/>
  <c r="E9"/>
  <c r="F10"/>
  <c r="F19" i="1"/>
  <c r="F37"/>
  <c r="F16"/>
  <c r="F24"/>
  <c r="F38"/>
  <c r="F25"/>
  <c r="F23"/>
  <c r="F28"/>
  <c r="F13"/>
  <c r="F17"/>
  <c r="F41"/>
  <c r="F40"/>
  <c r="F10"/>
  <c r="F32"/>
  <c r="F20"/>
  <c r="F14"/>
  <c r="F12"/>
  <c r="F29"/>
  <c r="F22"/>
  <c r="F6"/>
  <c r="F26"/>
  <c r="F7"/>
  <c r="F34"/>
  <c r="F4"/>
  <c r="F11"/>
  <c r="F33"/>
  <c r="F39"/>
  <c r="F5"/>
  <c r="F18"/>
  <c r="F15"/>
  <c r="F35"/>
  <c r="F9"/>
  <c r="E6" i="3" l="1"/>
  <c r="H6"/>
  <c r="G6"/>
  <c r="F6"/>
  <c r="G9"/>
  <c r="G7"/>
  <c r="F7"/>
  <c r="G8"/>
  <c r="E7"/>
  <c r="H7"/>
  <c r="G10"/>
  <c r="I7" s="1"/>
  <c r="G5"/>
  <c r="F5"/>
  <c r="E5"/>
  <c r="H5"/>
  <c r="H8"/>
  <c r="H10"/>
  <c r="H9"/>
  <c r="I5" l="1"/>
  <c r="J10"/>
  <c r="J9"/>
  <c r="J8"/>
  <c r="I8"/>
  <c r="I10"/>
  <c r="I9"/>
  <c r="J5"/>
  <c r="J7"/>
  <c r="J6"/>
  <c r="I6"/>
  <c r="B4" i="1" l="1"/>
  <c r="A7" i="17" l="1"/>
  <c r="O6" i="66"/>
  <c r="S6"/>
  <c r="P10"/>
  <c r="P8"/>
  <c r="O7"/>
  <c r="R7"/>
  <c r="Q9"/>
  <c r="S7"/>
  <c r="T10"/>
  <c r="H10"/>
  <c r="G8"/>
  <c r="I7"/>
  <c r="F9"/>
  <c r="I8"/>
  <c r="F6"/>
  <c r="G5"/>
  <c r="F7"/>
  <c r="E8" i="69"/>
  <c r="F9"/>
  <c r="S9" i="3"/>
  <c r="H7" i="69"/>
  <c r="E6"/>
  <c r="P9" i="3"/>
  <c r="H6" i="69"/>
  <c r="P7" i="3"/>
  <c r="P6" i="66"/>
  <c r="R6"/>
  <c r="S5"/>
  <c r="R10"/>
  <c r="R9"/>
  <c r="Q6"/>
  <c r="T5"/>
  <c r="S8"/>
  <c r="P5"/>
  <c r="I6"/>
  <c r="E8"/>
  <c r="E6"/>
  <c r="F5"/>
  <c r="G10"/>
  <c r="J10"/>
  <c r="I9"/>
  <c r="J7"/>
  <c r="J5"/>
  <c r="R8" i="3"/>
  <c r="Q8"/>
  <c r="H8" i="69"/>
  <c r="H9"/>
  <c r="S10" i="3"/>
  <c r="R7"/>
  <c r="Q10"/>
  <c r="Q10" i="66"/>
  <c r="O9"/>
  <c r="S9"/>
  <c r="R8"/>
  <c r="H8"/>
  <c r="I5"/>
  <c r="H5"/>
  <c r="J8"/>
  <c r="S8" i="3"/>
  <c r="P8"/>
  <c r="F8" i="69"/>
  <c r="E7"/>
  <c r="G8"/>
  <c r="O8" i="66"/>
  <c r="P7"/>
  <c r="T7"/>
  <c r="S10"/>
  <c r="O5"/>
  <c r="T6"/>
  <c r="P9"/>
  <c r="Q5"/>
  <c r="Q7"/>
  <c r="G6"/>
  <c r="H6"/>
  <c r="J6"/>
  <c r="H7"/>
  <c r="H9"/>
  <c r="E7"/>
  <c r="F8"/>
  <c r="G7"/>
  <c r="G9"/>
  <c r="R9" i="3"/>
  <c r="F6" i="69"/>
  <c r="G7"/>
  <c r="G6"/>
  <c r="R10" i="3"/>
  <c r="E5" i="66"/>
  <c r="Q9" i="3"/>
  <c r="F7" i="69"/>
  <c r="T9" i="66"/>
  <c r="O10"/>
  <c r="T8"/>
  <c r="Q8"/>
  <c r="R5"/>
  <c r="E9"/>
  <c r="J9"/>
  <c r="I10"/>
  <c r="F10"/>
  <c r="G9" i="69"/>
  <c r="Q7" i="3"/>
  <c r="S7"/>
  <c r="E10" i="66"/>
  <c r="E9" i="69"/>
  <c r="BB2" i="20"/>
  <c r="P10" i="3"/>
  <c r="BA2" i="20"/>
  <c r="AZ2"/>
  <c r="AY2"/>
</calcChain>
</file>

<file path=xl/connections.xml><?xml version="1.0" encoding="utf-8"?>
<connections xmlns="http://schemas.openxmlformats.org/spreadsheetml/2006/main">
  <connection id="1" name="Classeur1" type="6" refreshedVersion="3" deleted="1" background="1" saveData="1">
    <textPr sourceFile="C:\Users\021315\Documents\Base incident\Test\Classeur1.csv" decimal="," thousands=" " tab="0" delimiter=":">
      <textFields count="7">
        <textField/>
        <textField/>
        <textField/>
        <textField/>
        <textField/>
        <textField/>
        <textField/>
      </textFields>
    </textPr>
  </connection>
</connections>
</file>

<file path=xl/sharedStrings.xml><?xml version="1.0" encoding="utf-8"?>
<sst xmlns="http://schemas.openxmlformats.org/spreadsheetml/2006/main" count="1594" uniqueCount="973">
  <si>
    <t>Maturité du niveau de contrôle</t>
  </si>
  <si>
    <t>n°</t>
  </si>
  <si>
    <t>Libellé</t>
  </si>
  <si>
    <t>Probabilité</t>
  </si>
  <si>
    <t>Rare</t>
  </si>
  <si>
    <t>Modérée</t>
  </si>
  <si>
    <t>Elevée</t>
  </si>
  <si>
    <t>Permanente</t>
  </si>
  <si>
    <t>Marginal</t>
  </si>
  <si>
    <t>Faible</t>
  </si>
  <si>
    <t>Modéré</t>
  </si>
  <si>
    <t>Elevé</t>
  </si>
  <si>
    <t>Critique</t>
  </si>
  <si>
    <t>Catastrophique</t>
  </si>
  <si>
    <t>Exceptionnel</t>
  </si>
  <si>
    <t>Récurrente</t>
  </si>
  <si>
    <t>Maitrisé</t>
  </si>
  <si>
    <t>Acceptable</t>
  </si>
  <si>
    <t>Accept.</t>
  </si>
  <si>
    <t>Insuffisant</t>
  </si>
  <si>
    <t>Mineur</t>
  </si>
  <si>
    <t>Très Elevé</t>
  </si>
  <si>
    <t>Gravité Brute</t>
  </si>
  <si>
    <t>IMPACT</t>
  </si>
  <si>
    <t>Risque issu du RCI RETRAITE 2017</t>
  </si>
  <si>
    <t>Exceptionnelle</t>
  </si>
  <si>
    <t>Recurrente</t>
  </si>
  <si>
    <t>Proba</t>
  </si>
  <si>
    <t>RB</t>
  </si>
  <si>
    <t>DMR</t>
  </si>
  <si>
    <t>Imp</t>
  </si>
  <si>
    <t>Inst</t>
  </si>
  <si>
    <t>IRPAUTO Retraite ARRCO</t>
  </si>
  <si>
    <t>IRPAUTO Retraite AGIRC</t>
  </si>
  <si>
    <t>Externes</t>
  </si>
  <si>
    <t>Ressources_humaines</t>
  </si>
  <si>
    <t>Processus_Procédure</t>
  </si>
  <si>
    <t>SI</t>
  </si>
  <si>
    <t>Pilotage</t>
  </si>
  <si>
    <t>Financier</t>
  </si>
  <si>
    <t>Stratégique</t>
  </si>
  <si>
    <t>IRPAUTO Prévoyance Santé</t>
  </si>
  <si>
    <t>Application des consignes et instructions</t>
  </si>
  <si>
    <t>Conformité</t>
  </si>
  <si>
    <t>Logiciels</t>
  </si>
  <si>
    <t>Gestion de projet</t>
  </si>
  <si>
    <t>Condamnation civile ou pénale d'un dirigeant et / ou d'un organisme</t>
  </si>
  <si>
    <t>Augmentation des appels téléphoniques/ réclamations</t>
  </si>
  <si>
    <t>Remise en cause d'un ou plusieurs axes/ projets stratégiques</t>
  </si>
  <si>
    <t>Maîtrisé</t>
  </si>
  <si>
    <t>IRPAUTO Iéna Prévoyance</t>
  </si>
  <si>
    <t>Catastrophes naturelles et autres sinistres</t>
  </si>
  <si>
    <t>Compétence/ formation</t>
  </si>
  <si>
    <t>Défaillance dans la conception du processus/ procédures</t>
  </si>
  <si>
    <t>Matériels</t>
  </si>
  <si>
    <t>Gestion des habilitations</t>
  </si>
  <si>
    <t>Litige réglé par transaction amiable ou judiciaire</t>
  </si>
  <si>
    <t>Coût ETP, fraudes</t>
  </si>
  <si>
    <t>Médias internet/ réseaux sociaux</t>
  </si>
  <si>
    <t>Remise en cause de la continuité/ poursuite d'activité</t>
  </si>
  <si>
    <t>IRPAUTO MPA</t>
  </si>
  <si>
    <t>Conflits sociaux</t>
  </si>
  <si>
    <t>Défaillance dans la réalisation du processus/ procédure</t>
  </si>
  <si>
    <t>Qualité des données</t>
  </si>
  <si>
    <t>Gestion des ressources, du budget</t>
  </si>
  <si>
    <t>Recommandations, sanctions, blâmes, retrait d'agrément des autorités de contrôle</t>
  </si>
  <si>
    <t>Coût logiciel, données</t>
  </si>
  <si>
    <t>Médias traditionnels (locaux, professionnels, nationaux)</t>
  </si>
  <si>
    <t>Remise en cause de la performance/ qualité des opérations</t>
  </si>
  <si>
    <t>Autres</t>
  </si>
  <si>
    <t>Législation, réglementation, normes</t>
  </si>
  <si>
    <t>Diffusion/ transmission/ compréhension des consignes et instructions</t>
  </si>
  <si>
    <t>Sécurité</t>
  </si>
  <si>
    <t>Indicateurs de pilotage, tableaux de bord</t>
  </si>
  <si>
    <t>Coût remplacement/ réparation</t>
  </si>
  <si>
    <t>Nombreux clients clés impactés (VIP, groupes,…)</t>
  </si>
  <si>
    <t>Remise en cause des outils/ systèmes d'information</t>
  </si>
  <si>
    <t>Toutes</t>
  </si>
  <si>
    <t xml:space="preserve">Information/ Communication
</t>
  </si>
  <si>
    <t>Indu, remboursement, chiffre d'affaires</t>
  </si>
  <si>
    <t>Nombreux clients impactés (TPE-PME, retraités, chômeurs,…)</t>
  </si>
  <si>
    <t>Presse, média, réseaux sociaux</t>
  </si>
  <si>
    <t>Objectifs</t>
  </si>
  <si>
    <t>Nombreux contrats résiliés</t>
  </si>
  <si>
    <t>CRITICITE</t>
  </si>
  <si>
    <t>Situation économique et sociale</t>
  </si>
  <si>
    <t>Zone de criticité très élevée / surveillance insuffisante</t>
  </si>
  <si>
    <t>Zone de criticité élevée / surveillance à renforcer</t>
  </si>
  <si>
    <t>Zone de criticité élevée / surveillance soutenue</t>
  </si>
  <si>
    <t>Zone de criticité modérée / surveillance modérée</t>
  </si>
  <si>
    <t>Zone de criticité faible / surveillance modérée</t>
  </si>
  <si>
    <t>Zone de criticité faible / surveillance faible</t>
  </si>
  <si>
    <t>Surveillance Faible</t>
  </si>
  <si>
    <t>Surveillance Modérée</t>
  </si>
  <si>
    <t>Surveillance à renforcer</t>
  </si>
  <si>
    <t>Surveillance modérée</t>
  </si>
  <si>
    <t>Criticité elevée</t>
  </si>
  <si>
    <t>Criticité Très élevée</t>
  </si>
  <si>
    <t>Probabilité Nette</t>
  </si>
  <si>
    <t>Période active</t>
  </si>
  <si>
    <t>Priorité</t>
  </si>
  <si>
    <t>origine de détection</t>
  </si>
  <si>
    <t>Haute</t>
  </si>
  <si>
    <t>Alliance prof. Retraite Arrco</t>
  </si>
  <si>
    <t>Facteurs de risque</t>
  </si>
  <si>
    <t>Conséquence du risque</t>
  </si>
  <si>
    <t>Moyenne</t>
  </si>
  <si>
    <t>Alliance prof. Retraite Agirc</t>
  </si>
  <si>
    <t>Conformité_Réglementaire</t>
  </si>
  <si>
    <t>Client_Image_Réputation</t>
  </si>
  <si>
    <t>Basse</t>
  </si>
  <si>
    <t>Autres évènements / actions externes</t>
  </si>
  <si>
    <t>Amendes, indemnisations, pénalités</t>
  </si>
  <si>
    <t>Dt jour pour test, Attention formule adaptée trim et traffiquée pour sem</t>
  </si>
  <si>
    <t>Fournisseurs / sous-traitant / partenaires</t>
  </si>
  <si>
    <t>Solidarité Prévention</t>
  </si>
  <si>
    <t>Pratiques du marché / concurrence</t>
  </si>
  <si>
    <t>Fraude interne/ activité illicite par un salarié (vol, vandalisme)</t>
  </si>
  <si>
    <t>Autre</t>
  </si>
  <si>
    <t>Choix</t>
  </si>
  <si>
    <t>Oui</t>
  </si>
  <si>
    <t>Non</t>
  </si>
  <si>
    <t>Nature_perte</t>
  </si>
  <si>
    <t>Client (indu, remboursement, chiffre daffaires)</t>
  </si>
  <si>
    <t>Activité (J/H internes/externes suppl, fraude, …)</t>
  </si>
  <si>
    <t>SynthDMR</t>
  </si>
  <si>
    <t>Actif matériel (coût remplacement/réparation)</t>
  </si>
  <si>
    <t>Actif immatériel (logiciel, données, …)</t>
  </si>
  <si>
    <t>Sanction réglementaire (amende, indemnisation, pénalités, …)</t>
  </si>
  <si>
    <t>Directions</t>
  </si>
  <si>
    <t>Direction_Relation_Clients.</t>
  </si>
  <si>
    <t>Direction_du_Cabinet.</t>
  </si>
  <si>
    <t>Direction_Relation_Adhérent.</t>
  </si>
  <si>
    <t>Direction_Relation_Prestations_Clients.</t>
  </si>
  <si>
    <t>Direction_Réseau_Clients_Marketing_Communication.</t>
  </si>
  <si>
    <t>Direction_Action_Sociale_Culturelle.</t>
  </si>
  <si>
    <t>Direction_Instances_Juridique_Institutionnel.</t>
  </si>
  <si>
    <t>Direction_Finance_Risques.</t>
  </si>
  <si>
    <t>Direction_Technique_Stratégie_Assurentielle.</t>
  </si>
  <si>
    <t>Direction_Ressources_Humaines.</t>
  </si>
  <si>
    <t>Direction_SI_Moyens _Généraux.</t>
  </si>
  <si>
    <t>Département_Grds_Ent_Ctrs_Sant_Prév</t>
  </si>
  <si>
    <t>Département_Solid_Prévent</t>
  </si>
  <si>
    <t>Service_Conf_Proc_Part</t>
  </si>
  <si>
    <t>Département_Prév_Non_Vie_Santé</t>
  </si>
  <si>
    <t>Département_Rés_Clients</t>
  </si>
  <si>
    <t>Département_Act_Soc_Cult</t>
  </si>
  <si>
    <t>Département_Comptabilité</t>
  </si>
  <si>
    <t>Service_Actuariat</t>
  </si>
  <si>
    <t>Département_RH</t>
  </si>
  <si>
    <t>Depart_Budget_Sécu_gest_ddes</t>
  </si>
  <si>
    <t>Département_Ent_TPE_PME_Ctx</t>
  </si>
  <si>
    <t>Secrétariat_DG</t>
  </si>
  <si>
    <t>Département_Rel_Tél</t>
  </si>
  <si>
    <t>Département_Prév_vie_Capit_Fin_Carr</t>
  </si>
  <si>
    <t>Service_Etud_Jur</t>
  </si>
  <si>
    <t>Département_Gest_Risques</t>
  </si>
  <si>
    <t>Départ_Proj_Entreprise</t>
  </si>
  <si>
    <t>Départ_Org_Suiv_Proj_Strat_Act_Groupe</t>
  </si>
  <si>
    <t>Département_Ret_Part</t>
  </si>
  <si>
    <t>Service_Souscrip_Ctrs</t>
  </si>
  <si>
    <t>Service_Ctrl_Gestion</t>
  </si>
  <si>
    <t>Départ_Gouver_Données_Applic</t>
  </si>
  <si>
    <t>Service_Com</t>
  </si>
  <si>
    <t>Service_Finance</t>
  </si>
  <si>
    <t>Départ_Socle_Tech_Logistique</t>
  </si>
  <si>
    <t>Service_Web_Mark</t>
  </si>
  <si>
    <t>Service_Mark</t>
  </si>
  <si>
    <t>Dépt_Ent_TPE_PME_Ctx</t>
  </si>
  <si>
    <t>Dépt_Solid_Prévent</t>
  </si>
  <si>
    <t>Dépt_Rel_Tél</t>
  </si>
  <si>
    <t>Dépt_Prév_Non_Vie_Santé</t>
  </si>
  <si>
    <t>Dépt_Prév_vie_Capit_Fin_Carr</t>
  </si>
  <si>
    <t>Dépt_Ret_Part</t>
  </si>
  <si>
    <t>Dépt_Act_Soc_Cult</t>
  </si>
  <si>
    <t>Service_TPE_PME_1_Ents _DSN</t>
  </si>
  <si>
    <t>Service_Solid_Prévent</t>
  </si>
  <si>
    <t>PIT</t>
  </si>
  <si>
    <t>Service_Prest_Prév_Sant_Grds_Cpt</t>
  </si>
  <si>
    <t>Service_Indem_Fin_Carr</t>
  </si>
  <si>
    <t>Service_Liq_Ret_AA</t>
  </si>
  <si>
    <t>Service_Aid_Com_Soc</t>
  </si>
  <si>
    <t>Service_TPE_PME_2_Ents_Hors_DSN</t>
  </si>
  <si>
    <t>PRV</t>
  </si>
  <si>
    <t>Service_Non_Vie_Sant</t>
  </si>
  <si>
    <t>Prest_Inval_Dec</t>
  </si>
  <si>
    <t>Part</t>
  </si>
  <si>
    <t>Aid_Ind_Act_Coll</t>
  </si>
  <si>
    <t>Dépt_Grds_Ent_Ctrs_Sant_Prév</t>
  </si>
  <si>
    <t>Service_Ident_Ctx</t>
  </si>
  <si>
    <t>Service_Ctrs_Sant_Prév</t>
  </si>
  <si>
    <t>Service_Grds_Ent_Interloc</t>
  </si>
  <si>
    <t>Direction_Relation_Clients.Act</t>
  </si>
  <si>
    <t>Direction_du_Cabinet.Act</t>
  </si>
  <si>
    <t>Direction_Relation_Adhérent.Act</t>
  </si>
  <si>
    <t>Direction_Relation_Prestations_Clients.Act</t>
  </si>
  <si>
    <t>Direction_Réseau_Clients_Marketing_Communication.Act</t>
  </si>
  <si>
    <t>Direction_Action_Sociale_Culturelle.Act</t>
  </si>
  <si>
    <t>Julie Kirch</t>
  </si>
  <si>
    <t>Christine Noël</t>
  </si>
  <si>
    <t>Saisie manuelle si nécessaire</t>
  </si>
  <si>
    <t>Véronique Gatibelza</t>
  </si>
  <si>
    <t>Extraction du nom de fichier</t>
  </si>
  <si>
    <t>STXT(GAUCHE(STXT(CELLULE("nomfichier";A1);TROUVE("[";CELLULE("nomfichier";A1))+1;999);TROUVE("]";STXT(CELLULE("nomfichier";A1);TROUVE("[";CELLULE("nomfichier";A1))+1;999))-5);13;50)</t>
  </si>
  <si>
    <t>Direction_Relation_Clients.Risk</t>
  </si>
  <si>
    <t>Direction_du_Cabinet.Risk</t>
  </si>
  <si>
    <t>Direction_Relation_Adhérent.Risk</t>
  </si>
  <si>
    <t>Direction_Relation_Prestations_Clients.Risk</t>
  </si>
  <si>
    <t>Direction_Réseau_Clients_Marketing_Communication.Risk</t>
  </si>
  <si>
    <t>Direction_Action_Sociale_Culturelle.Risk</t>
  </si>
  <si>
    <t>Non-conformité du paramétrage et de l’enregistrement des contrats</t>
  </si>
  <si>
    <t>Absence ou erreur de paiement de la prestation Santé</t>
  </si>
  <si>
    <t>Non efficience du recouvrement de cotisations</t>
  </si>
  <si>
    <t>Prestations santé payées hors délais</t>
  </si>
  <si>
    <t>Direction_Relation_Clients.Ctrl</t>
  </si>
  <si>
    <t>Direction_du_Cabinet.Ctrl</t>
  </si>
  <si>
    <t>Direction_Relation_Adhérent.Ctrl</t>
  </si>
  <si>
    <t>Direction_Relation_Prestations_Clients.Ctrl</t>
  </si>
  <si>
    <t>Direction_Réseau_Clients_Marketing_Communication.Ctrl</t>
  </si>
  <si>
    <t>Direction_Action_Sociale_Culturelle.Ctrl</t>
  </si>
  <si>
    <t>Contrôle 1</t>
  </si>
  <si>
    <t>Contrôle 4 paiements prestations santé</t>
  </si>
  <si>
    <t>Contrôle 2</t>
  </si>
  <si>
    <t>Contrôle quotidien des 5 plus gros paiement prestations santé</t>
  </si>
  <si>
    <t>Direction_Relation_Clients.PM</t>
  </si>
  <si>
    <t>Direction_du_Cabinet.PM</t>
  </si>
  <si>
    <t>Direction_Relation_Adhérent.PM</t>
  </si>
  <si>
    <t>Direction_Relation_Prestations_Clients.PM</t>
  </si>
  <si>
    <t>Direction_Réseau_Clients_Marketing_Communication.PM</t>
  </si>
  <si>
    <t>Direction_Action_Sociale_Culturelle.PM</t>
  </si>
  <si>
    <t xml:space="preserve">Gérer les adhésions collectives </t>
  </si>
  <si>
    <t>Gérer les prestations prévoyance non-vie (arrêt de travail …)</t>
  </si>
  <si>
    <t>Gérer les adhésions et les cotisations individuelles</t>
  </si>
  <si>
    <t>Gérer les prestations prévoyance vie/non-vie</t>
  </si>
  <si>
    <t>Gérer le recouvrement des contrats collectifs</t>
  </si>
  <si>
    <t>Gérer les prestations retraites</t>
  </si>
  <si>
    <t>Gérer les déclarations et l'encaissement des contrats collectifs</t>
  </si>
  <si>
    <t>Gérer les prestations santé (optique…)</t>
  </si>
  <si>
    <t>Direction_Relation_Clients.PO</t>
  </si>
  <si>
    <t>Direction_du_Cabinet.PO</t>
  </si>
  <si>
    <t>Direction_Relation_Adhérent.PO</t>
  </si>
  <si>
    <t>Direction_Relation_Prestations_Clients.PO</t>
  </si>
  <si>
    <t>Direction_Réseau_Clients_Marketing_Communication.PO</t>
  </si>
  <si>
    <t>Direction_Action_Sociale_Culturelle.PO</t>
  </si>
  <si>
    <t>PO1</t>
  </si>
  <si>
    <t>Traiter les demandes de prestations santé</t>
  </si>
  <si>
    <t>PO2</t>
  </si>
  <si>
    <t>Traiter les devis et prises en charges hospitalières</t>
  </si>
  <si>
    <t>GRILLE DE SCORING DES IMPACTS DES INCIDENTS</t>
  </si>
  <si>
    <t>LISTE DES PROCESSUS MÉTIER NIVEAU 1, 2 et 3</t>
  </si>
  <si>
    <t>LISTE DES RISQUES</t>
  </si>
  <si>
    <t>GRILLE DE SCORING DES CAUSES DE L'INCIDENT</t>
  </si>
  <si>
    <t>RETOUR MENU          RETOUR MENU            RETOUR MENU</t>
  </si>
  <si>
    <t xml:space="preserve">Les impacts d'un incident correspondent à la gravité de réalisation de cet incident pour l'ensemble des entités du Groupe. </t>
  </si>
  <si>
    <t>Élevé</t>
  </si>
  <si>
    <t>Coût (en € ou J/H) non significatif sur le chiffre d'affaires, le résultat ou la solvabilité (fonds propres)</t>
  </si>
  <si>
    <t>Coût (en € ou J/H) limité au regard du chiffre d'affaires, le résultat ou  de la solvabilité (fonds propres)</t>
  </si>
  <si>
    <t>Coût (en € ou J/H) ayant un impact probable sur le résultat</t>
  </si>
  <si>
    <t>Coût (en € ou J/H) impliquant la nécessité de constituer une provision dans les comptes</t>
  </si>
  <si>
    <t>Coût (en € ou J/H) dépassant les seuils de signification pour les commissaires aux comptes</t>
  </si>
  <si>
    <t>Coût (en € ou J/H) remettant en cause la solvabilité du groupe</t>
  </si>
  <si>
    <t>&lt;= 0,0025% CA</t>
  </si>
  <si>
    <t>entre  0,0025% et 0,0075% CA</t>
  </si>
  <si>
    <t>entre  0,0075% et 0,0125% CA</t>
  </si>
  <si>
    <t>entre 0,0125% et 0,125% CA</t>
  </si>
  <si>
    <t>entre 0,125% et 2,5% CA</t>
  </si>
  <si>
    <t>&gt;=  2,5% CA</t>
  </si>
  <si>
    <t>&lt;= 0,005% SCR ou des Fonds propres</t>
  </si>
  <si>
    <t>entre  0,005% et 0,010% SCR ou des Fonds propres</t>
  </si>
  <si>
    <t>entre  0,010% et 0,025%SCR ou des Fonds propres</t>
  </si>
  <si>
    <t>entre 0,025% et 0,25% SCR ou des Fonds propres</t>
  </si>
  <si>
    <t>entre 0.25% et 5% SCR ou des Fonds propres</t>
  </si>
  <si>
    <t>&gt;= 5% SCR ou des Fonds propres groupe</t>
  </si>
  <si>
    <t>&lt; 5k€</t>
  </si>
  <si>
    <t>entre 5K€ et 10k€</t>
  </si>
  <si>
    <t xml:space="preserve">entre 11K€ et 50K€ </t>
  </si>
  <si>
    <t xml:space="preserve">entre 51K€ et 500K€ </t>
  </si>
  <si>
    <t>entre 500K€ et 10 M€</t>
  </si>
  <si>
    <t>&gt;= 10 M€</t>
  </si>
  <si>
    <t>&lt; 25 J/H</t>
  </si>
  <si>
    <t>entre 25 et 50 J/H</t>
  </si>
  <si>
    <t>entre 51 et 250 J/H</t>
  </si>
  <si>
    <t>entre 251 et 2500 J/H</t>
  </si>
  <si>
    <t>entre 2501 et 50000 J/H</t>
  </si>
  <si>
    <t>&gt;= 50000 J/H</t>
  </si>
  <si>
    <t>&lt; 0,125 ETP</t>
  </si>
  <si>
    <t>entre 0,125 et 0,25 ETP</t>
  </si>
  <si>
    <t>entre 0,26 et 1,25 ETP</t>
  </si>
  <si>
    <t>entre 1,26 et 12,5 ETP</t>
  </si>
  <si>
    <t>entre 12,6 et 250 ETP</t>
  </si>
  <si>
    <t>&gt;= 250 ETP</t>
  </si>
  <si>
    <t>Client / Image / Réputation</t>
  </si>
  <si>
    <r>
      <t xml:space="preserve">Perte d'un client hors </t>
    </r>
    <r>
      <rPr>
        <sz val="9"/>
        <rFont val="Arial"/>
        <family val="2"/>
      </rPr>
      <t>IC 110</t>
    </r>
  </si>
  <si>
    <r>
      <t xml:space="preserve">Perte &lt;10 clients </t>
    </r>
    <r>
      <rPr>
        <sz val="9"/>
        <rFont val="Arial"/>
        <family val="2"/>
      </rPr>
      <t>IC 110</t>
    </r>
  </si>
  <si>
    <r>
      <t>Perte entre 10 et 100 clients hors</t>
    </r>
    <r>
      <rPr>
        <sz val="9"/>
        <rFont val="Arial"/>
        <family val="2"/>
      </rPr>
      <t xml:space="preserve"> IC 110</t>
    </r>
  </si>
  <si>
    <r>
      <t xml:space="preserve">Perte entre 10 et 100 clients hors top 10 </t>
    </r>
    <r>
      <rPr>
        <sz val="9"/>
        <rFont val="Arial"/>
        <family val="2"/>
      </rPr>
      <t>ou IC110</t>
    </r>
  </si>
  <si>
    <t>Perte d'un client du top 10</t>
  </si>
  <si>
    <t>Perte &gt; 1 client du top 10</t>
  </si>
  <si>
    <t>Augmentation &lt; 10% des appels téléphoniques / Augmentation &lt; 5% des réclamations clients</t>
  </si>
  <si>
    <t>Augmentation &lt; 20% des appels téléphoniques / Augmentation &lt; 10% des réclamations clients</t>
  </si>
  <si>
    <t>Augmentation entre 20% et 100% des appels téléphoniques / Augmentation entre 10% et 50% des réclamations clients</t>
  </si>
  <si>
    <t>Augmentation entre 100% et 400% des appels téléphoniques / Augmentation entre 50% et 200% des réclamations clients</t>
  </si>
  <si>
    <t>Augmentation entre &gt; 400% et 1000% des appels téléphoniques / Augmentation entre 200% et 500% des réclamations clients</t>
  </si>
  <si>
    <t xml:space="preserve">Augmentation &gt; 1000% des appels téléphoniques / Augmentation &gt; 500% des réclamations clients </t>
  </si>
  <si>
    <t>Moins de 10 assurés / allocataires touchés</t>
  </si>
  <si>
    <t>Moins de 100 assurés / allocataires touchés</t>
  </si>
  <si>
    <t>De 100 à 1000 assurés / allocataires touchés</t>
  </si>
  <si>
    <t>De 1000 à 5000 assurés / allocataires touchés</t>
  </si>
  <si>
    <r>
      <t xml:space="preserve"> &gt; </t>
    </r>
    <r>
      <rPr>
        <sz val="9"/>
        <rFont val="Arial"/>
        <family val="2"/>
      </rPr>
      <t xml:space="preserve"> 5000 à 10000assurés /</t>
    </r>
    <r>
      <rPr>
        <sz val="9"/>
        <color rgb="FFFF0000"/>
        <rFont val="Arial"/>
        <family val="2"/>
      </rPr>
      <t xml:space="preserve"> </t>
    </r>
    <r>
      <rPr>
        <sz val="9"/>
        <color theme="1"/>
        <rFont val="Arial"/>
        <family val="2"/>
      </rPr>
      <t>allocataires touchés</t>
    </r>
  </si>
  <si>
    <r>
      <t xml:space="preserve">&gt; </t>
    </r>
    <r>
      <rPr>
        <sz val="9"/>
        <rFont val="Arial"/>
        <family val="2"/>
      </rPr>
      <t>10000</t>
    </r>
    <r>
      <rPr>
        <sz val="9"/>
        <color rgb="FFFF0000"/>
        <rFont val="Arial"/>
        <family val="2"/>
      </rPr>
      <t xml:space="preserve"> </t>
    </r>
    <r>
      <rPr>
        <sz val="9"/>
        <color theme="1"/>
        <rFont val="Arial"/>
        <family val="2"/>
      </rPr>
      <t>assurés / allocataires touchés</t>
    </r>
  </si>
  <si>
    <t>Moins de 5  entreprises clientes touchés</t>
  </si>
  <si>
    <t>Moins de 50 entreprises clientes touchés</t>
  </si>
  <si>
    <t xml:space="preserve"> 50 - 100 entreprises clientes touchés</t>
  </si>
  <si>
    <r>
      <t xml:space="preserve"> 100 - 500</t>
    </r>
    <r>
      <rPr>
        <sz val="9"/>
        <color rgb="FFFF0000"/>
        <rFont val="Arial"/>
        <family val="2"/>
      </rPr>
      <t xml:space="preserve"> </t>
    </r>
    <r>
      <rPr>
        <sz val="9"/>
        <rFont val="Arial"/>
        <family val="2"/>
      </rPr>
      <t>entreprises clientes touchés</t>
    </r>
  </si>
  <si>
    <r>
      <t xml:space="preserve"> &gt; </t>
    </r>
    <r>
      <rPr>
        <sz val="9"/>
        <rFont val="Arial"/>
        <family val="2"/>
      </rPr>
      <t>500 à 5000</t>
    </r>
    <r>
      <rPr>
        <sz val="9"/>
        <color theme="1"/>
        <rFont val="Arial"/>
        <family val="2"/>
      </rPr>
      <t xml:space="preserve"> entreprises clientes touchés</t>
    </r>
  </si>
  <si>
    <r>
      <t xml:space="preserve"> &gt;  </t>
    </r>
    <r>
      <rPr>
        <sz val="9"/>
        <rFont val="Arial"/>
        <family val="2"/>
      </rPr>
      <t>5000</t>
    </r>
    <r>
      <rPr>
        <sz val="9"/>
        <color rgb="FFFF0000"/>
        <rFont val="Arial"/>
        <family val="2"/>
      </rPr>
      <t xml:space="preserve"> </t>
    </r>
    <r>
      <rPr>
        <sz val="9"/>
        <color theme="1"/>
        <rFont val="Arial"/>
        <family val="2"/>
      </rPr>
      <t>entreprises clientes touchés</t>
    </r>
  </si>
  <si>
    <t>Médiatisation limitée à la presse locale ou régionale</t>
  </si>
  <si>
    <t>Médiatisation limitée à la presse spécialisée</t>
  </si>
  <si>
    <t>Médiatisation de grande ampleur via un seul canal au niveau national / Affluence sur internet et/ou réseaux sociaux</t>
  </si>
  <si>
    <t>Mise en cause à titre personnel ou professionnel d'un dirigeant effectif, d'un membre du codir, ou d'un administrateur</t>
  </si>
  <si>
    <t>Médiatisation de grande ampleur par tous les médias nationaux (hors internet et réseaux sociaux)</t>
  </si>
  <si>
    <t>Médiatisation de grande ampleur par tous les médias nationaux ,(y compris internet et réseaux sociaux)</t>
  </si>
  <si>
    <t>Conformité / Réglementaire</t>
  </si>
  <si>
    <t>Non-respect des directives du service concerné</t>
  </si>
  <si>
    <t>Non-respect des directives de la Direction générale</t>
  </si>
  <si>
    <t>Constats de non-conformité et recommandations importantes, remarques formelles des autorités de tutelles</t>
  </si>
  <si>
    <t>Blâme des autorités de tutelle / Sanctions financières des autorités de tutelle (capital add on)</t>
  </si>
  <si>
    <t>Condamnation pénale d'un dirigeant ou d'une personne morale</t>
  </si>
  <si>
    <t>Retrait d'agrément</t>
  </si>
  <si>
    <t>Litige isolé réglé par transaction amiable</t>
  </si>
  <si>
    <t>Litiges multiples réglés par transaction amiable</t>
  </si>
  <si>
    <t>Injonction ou mise en cause devant les tribunaux</t>
  </si>
  <si>
    <t>Condamnation civile d'un dirigeant ou d'une personne morale</t>
  </si>
  <si>
    <t>Stratégie</t>
  </si>
  <si>
    <t>Impact non significatif sur les activités, les SI, les axes stratégiques, ou la continuité d'activité</t>
  </si>
  <si>
    <t xml:space="preserve">Retard limité d'un Projet stratégique </t>
  </si>
  <si>
    <t xml:space="preserve">Remise en cause partielle d'une Orientation / Projet stratégique </t>
  </si>
  <si>
    <t>Remise en cause / abandon d'une orientation / projet stratégique</t>
  </si>
  <si>
    <t xml:space="preserve">Remise en cause du Plan stratégique d'une entité ou d'une branche d'activité du groupe </t>
  </si>
  <si>
    <t>Remise en cause du Plan stratégique / de la pérennité de l'ensemble des entités du groupe</t>
  </si>
  <si>
    <t>Perte limitée de la performance / qualité des opérations ou d'un outil</t>
  </si>
  <si>
    <t>Perte notable de la performance / qualité des opérations ou des outils / des SI</t>
  </si>
  <si>
    <t>Remise en cause du développement d'une entité ou d'une branche d'activité du groupe</t>
  </si>
  <si>
    <t>Remise en cause de la pérennité d'une entité ou d'une branche d'activité du groupe</t>
  </si>
  <si>
    <t>Remise en cause de la pérennité des SI</t>
  </si>
  <si>
    <t>Remise en cause de l'efficacité des opérations/ de la qualité des outils/ des SI</t>
  </si>
  <si>
    <t>Remise en cause du développement du groupe</t>
  </si>
  <si>
    <t>Synthèse impact marginal</t>
  </si>
  <si>
    <t>Synthèse impact faible</t>
  </si>
  <si>
    <t>Synthèse impact modéré</t>
  </si>
  <si>
    <t>Synthèse impact élevé</t>
  </si>
  <si>
    <t xml:space="preserve">Synthèse impact critique </t>
  </si>
  <si>
    <t xml:space="preserve">Synthèse impact catastrophique </t>
  </si>
  <si>
    <t>Synthèse des causes</t>
  </si>
  <si>
    <t>Impacts dont la gravité est sans conséquence directe sur l'activité de l'entreprise, mais nécessité néanmoins la mise en œuvre et le suivi d'un plan d'action.</t>
  </si>
  <si>
    <t>Impacts dont la gravité a des conséquences directes sur l'activité de l'entreprise, et nécessite la mise en œuvre immédiate d'un plan d'action correspondant.</t>
  </si>
  <si>
    <t>Impacts dont la gravité peut avoir des répercussions non négligeables sur les activités entrainant des pertes suffisantes pour nécessité la révision de tout ou partie des processus à l'origine des dysfonctionnements</t>
  </si>
  <si>
    <t>Impacts dont la gravité peut provoquer une dégradation importante du fonctionnement des processus d'activités entrainant des pertes (financières, clients, qualité, performances, …)  ayant des conséquences significatives sur la continuité et l'intégrité de l'entreprise.</t>
  </si>
  <si>
    <t>Impacts dont la gravité peut provoquer : 
- l'arrêt total ou partiel des processus clés/sensibles
- un dégradation jugée importante du chiffre d'affaire, et ou des fonds propres
ayant des conséquences majeurs pour l'entreprise.</t>
  </si>
  <si>
    <t>Impacts dont l'extrême  gravité peut entrainer à court ou moyen terme la disparition de l'entreprise</t>
  </si>
  <si>
    <t>RETOUR MENU</t>
  </si>
  <si>
    <t>PROCESSUS MÉTIER Niveau 1</t>
  </si>
  <si>
    <t>PROCESSUS MÉTIER Niveau 2</t>
  </si>
  <si>
    <t>PROCESSUS MÉTIER Niveau 3</t>
  </si>
  <si>
    <t>RETOUR MENU                                         RETOUR MENU                                                RETOUR MENU</t>
  </si>
  <si>
    <t>Animer la relation clients</t>
  </si>
  <si>
    <t>Assurer la communication externe</t>
  </si>
  <si>
    <t>Elaborer et animer le plan de communication  externe de l'entreprise</t>
  </si>
  <si>
    <t>Connaitre le client</t>
  </si>
  <si>
    <t>Garantir la fiabilité des données</t>
  </si>
  <si>
    <t>Identifier et recueillir les données clients (dont les différents canaux de contact)</t>
  </si>
  <si>
    <t>Développer la qualité de service</t>
  </si>
  <si>
    <t>Gérer les réclamations</t>
  </si>
  <si>
    <t>Identifier et analyser les remontées clients (lien avec double écouteé CTU)</t>
  </si>
  <si>
    <t>Mesurer la satisfaction clients</t>
  </si>
  <si>
    <t>Garantir la qualité de l'accueil du client</t>
  </si>
  <si>
    <t>Accueillir et informer le client</t>
  </si>
  <si>
    <t>Garantir la qualité de l'information</t>
  </si>
  <si>
    <t>Assurer la qualité de l'information (double écoute)</t>
  </si>
  <si>
    <t>Gérer le référentiel commun des connaissances</t>
  </si>
  <si>
    <t>Assurer la gestion comptable et financière</t>
  </si>
  <si>
    <t>Assurer la communication financière et réglementaire</t>
  </si>
  <si>
    <t>Produire et diffuser les rapport à destination du public</t>
  </si>
  <si>
    <t>Gérer le budget</t>
  </si>
  <si>
    <t>Assurer le contrôlle budgétaire et la comptabilité analytique</t>
  </si>
  <si>
    <t>Gérer les aspects financiers</t>
  </si>
  <si>
    <t>Suivre les placements</t>
  </si>
  <si>
    <t>Gérer les comptabilités</t>
  </si>
  <si>
    <t>Gérer la comptabilité de flux</t>
  </si>
  <si>
    <t>Gérer les interfaces et le paramétrage</t>
  </si>
  <si>
    <t>Produire les états financiers de chaque entité du Groupe</t>
  </si>
  <si>
    <t>Concevoir et promouvoir des services et des produits de protection sociale</t>
  </si>
  <si>
    <t>Concevoir et maintenir l'offre de produits</t>
  </si>
  <si>
    <t>Assurer le support juridique produits</t>
  </si>
  <si>
    <t>Concevoiré mettre à jour et diffuser l'information commerciale</t>
  </si>
  <si>
    <t>Concevoiré mettre à jour et diffuser l'information contractuelle</t>
  </si>
  <si>
    <t>Paramétrer les contrats et les garanties</t>
  </si>
  <si>
    <t>Conquérir et fidéliser les clients</t>
  </si>
  <si>
    <t>Mettre en ooeuvre le Business Plan</t>
  </si>
  <si>
    <t>Définir et mettre en ooeuvre le PAC</t>
  </si>
  <si>
    <t>Prospecter et vendre des contrats et services</t>
  </si>
  <si>
    <t>Animer le plan d'action commercial</t>
  </si>
  <si>
    <t>Animer le rebond commercial</t>
  </si>
  <si>
    <t>Diffuser les contrats</t>
  </si>
  <si>
    <t>Gérer les Ressources humaines</t>
  </si>
  <si>
    <t>Assurer l'administration du personnel</t>
  </si>
  <si>
    <t>Gérer le contrat de travail  ou assurer la vie du contrat</t>
  </si>
  <si>
    <t>Gérer les relations sociales individuelles et collectives</t>
  </si>
  <si>
    <t>Gérer la communication interne</t>
  </si>
  <si>
    <t>Gérer les relations avec les organisations syndicales et les instances représentatives du personnel</t>
  </si>
  <si>
    <t>Gérer les relations sociales individuelles</t>
  </si>
  <si>
    <t>Mettre en oeuvre la GPEC</t>
  </si>
  <si>
    <t>Analyser et ajuster les ressources et les compétences</t>
  </si>
  <si>
    <t>Gérer les ressources informatiques &amp; matérielles</t>
  </si>
  <si>
    <t>Acheter les biens et les prestations</t>
  </si>
  <si>
    <t>Maitriser les activités sous-traitées ou externalisées</t>
  </si>
  <si>
    <t>Mettre en oeuvre la politique achats</t>
  </si>
  <si>
    <t>Assurer la qualité de la donnée</t>
  </si>
  <si>
    <t>Gérer les statistiques sortantes</t>
  </si>
  <si>
    <t>Assurer la sécurité des biens et des personnes</t>
  </si>
  <si>
    <t>Assurer la continuité d'activité</t>
  </si>
  <si>
    <t>Assurer la sécurité des biens</t>
  </si>
  <si>
    <t>Assurer la sécurité des personnes</t>
  </si>
  <si>
    <t>Gérer et maintenir le SI</t>
  </si>
  <si>
    <t>Assurer la sécurité du SI</t>
  </si>
  <si>
    <t>Gérer le parc applicatif</t>
  </si>
  <si>
    <t>Gérer les demandes</t>
  </si>
  <si>
    <t>Gérer les infrastructures</t>
  </si>
  <si>
    <t>Gérer les aspects logistiques</t>
  </si>
  <si>
    <t>Assurer la gestion des courriers et archives</t>
  </si>
  <si>
    <t>Assurer la maintenance des sitesé des locaux et du matériel</t>
  </si>
  <si>
    <t>Gérer les projets et les évolutions</t>
  </si>
  <si>
    <t>Gérer et suivre les demandes d'évolutions/demandes</t>
  </si>
  <si>
    <t>Mettre en ooeuvre et gérer les produits et services clients</t>
  </si>
  <si>
    <t>Gérer les contrats (adhésion et affiliation)</t>
  </si>
  <si>
    <t>Gérer les adhésions collectives</t>
  </si>
  <si>
    <t>Mettre en oeuvre les prestations</t>
  </si>
  <si>
    <t>Gérer et réaliser les actions (solidarité prévention)</t>
  </si>
  <si>
    <t>Gérer les prestations d'actions sociales et culturelles</t>
  </si>
  <si>
    <t>Gérer les prestations prévoyance non-vie (arrêt de travail ?)</t>
  </si>
  <si>
    <t>Gérer les prestations santé (optique?)</t>
  </si>
  <si>
    <t>Recouvrer les cotisations</t>
  </si>
  <si>
    <t>Piloter la stratégie du Groupe</t>
  </si>
  <si>
    <t>Définir et piloter la gouvernance</t>
  </si>
  <si>
    <t>Animer et gérer les instances (réunionsé mandatsé élections)</t>
  </si>
  <si>
    <t>Définir et gérer les relations avec les partenaires (Amicapé CNPAé Alliance Proé Korélio)</t>
  </si>
  <si>
    <t>Définir et piloter la gouvernance opérationnelle (subdélégationé DGé Codiré Comités internes)</t>
  </si>
  <si>
    <t>Gérer les aspect juridiques institutionnels (statuts et pouvoirsé formalitésé conventions)</t>
  </si>
  <si>
    <t>Définir et piloter la stratégie du Groupe</t>
  </si>
  <si>
    <t>Définir et actualiser le plan stratégique</t>
  </si>
  <si>
    <t>Définir et suivre les projets stratégiques</t>
  </si>
  <si>
    <t>Définir le business plan</t>
  </si>
  <si>
    <t>Définir les axes de communication interne/externe</t>
  </si>
  <si>
    <t>Piloter la qualité et la performance</t>
  </si>
  <si>
    <t>Définir et piloter les trajectoires/direction (dont GPEC)</t>
  </si>
  <si>
    <t>Piloter les activités du Groupe</t>
  </si>
  <si>
    <t>Piloter et contrôler les activités</t>
  </si>
  <si>
    <t>Assurer la conformité des activités</t>
  </si>
  <si>
    <t>Piloter l'audit interne</t>
  </si>
  <si>
    <t>Piloter le dispositif de contrôle permanent (desciription des 2 niveaux de contrôle)</t>
  </si>
  <si>
    <t>Assurer la veille organisationnelle  et prospective</t>
  </si>
  <si>
    <t>Définir les axes de management des connaissances du Groupe</t>
  </si>
  <si>
    <t>Déterminer et déployer les normes qualité et performance des activités du Groupe</t>
  </si>
  <si>
    <t>Piloter et gérer le portefeuille des projets</t>
  </si>
  <si>
    <t>Piloter les processus du Groupe</t>
  </si>
  <si>
    <t>Piloter les aspect financiers et budgétaires</t>
  </si>
  <si>
    <t>Définir et suivre le budget (pluriannuel/annuel)é investissement/fonctionnement</t>
  </si>
  <si>
    <t>Piloter la gestion financière (placements et trésorerie)</t>
  </si>
  <si>
    <t>Piloter les Risques et la Solvabilité (ORSA)</t>
  </si>
  <si>
    <t>Piloter la Solvabilité (ORSA)</t>
  </si>
  <si>
    <t>Piloter les Risques</t>
  </si>
  <si>
    <t>Suivre l'équilibre assurantiel</t>
  </si>
  <si>
    <t>Assurer les activités actuarielles</t>
  </si>
  <si>
    <t>Produire les comptes de résultats techniques (prévoyance santé) et suivre les risques</t>
  </si>
  <si>
    <t>Réaliser les études actuarielles et les travaux périodiques</t>
  </si>
  <si>
    <t>Mettre en oeuvre la politique de réassurance et de courtage</t>
  </si>
  <si>
    <t>A définir</t>
  </si>
  <si>
    <t>Risques enregistrés dans MEGA</t>
  </si>
  <si>
    <t>Code</t>
  </si>
  <si>
    <t>Nom Local</t>
  </si>
  <si>
    <t>RETOUR MENU                       RETOUR MENU                             RETOUR MENU                          RETOUR MENU</t>
  </si>
  <si>
    <t>2016-R-ACC-01 (INC)</t>
  </si>
  <si>
    <t>Dégradation de la qualité de la relation client</t>
  </si>
  <si>
    <t>2016-R-MGX-01(INC)</t>
  </si>
  <si>
    <t>Non-conformité aux normes de sécurité, aux accès physiques, et à la détérioration ou à la destruction des locaux ou des matériels mis à disposition du personnel</t>
  </si>
  <si>
    <t>2016-R-RCL-01 (INC)</t>
  </si>
  <si>
    <t>Non-respect des engagements en matière de délais de traitement</t>
  </si>
  <si>
    <t>2016-R-RCL-02 (INC)</t>
  </si>
  <si>
    <t>Processus non conforme aux orientations et recommandations des organismes tutélaires (AGIRC/ARRCO, CTIP, ACPR, …)</t>
  </si>
  <si>
    <t>2016-R-REC-11(INC)</t>
  </si>
  <si>
    <t>Non efficience du recouvrement de cotisations (risque 11 SMR-RC)</t>
  </si>
  <si>
    <t>2017-R-ACHAT-01carto</t>
  </si>
  <si>
    <t>Défaillance dans la contractualisation</t>
  </si>
  <si>
    <t>2017-R-ACT-01(INC)</t>
  </si>
  <si>
    <t>Non réalisation des calculs d'engagements dans les délais</t>
  </si>
  <si>
    <t>2017-R-ACTIF-01</t>
  </si>
  <si>
    <t>Ne pas réaliser la volumétrie des EIR (objectif COM 4)</t>
  </si>
  <si>
    <t>2017-R-ACTIF-13</t>
  </si>
  <si>
    <t>Comptes de points individuels non à jour dans un délai acceptable</t>
  </si>
  <si>
    <t>2017-R-ACTIF-14carto</t>
  </si>
  <si>
    <t>Droits inscrits sans contrepartie de cotisations entreprise (risque 14 SMR-RC)</t>
  </si>
  <si>
    <t>2017-R-ADH-01(carto)</t>
  </si>
  <si>
    <t>2017-R-AI-01</t>
  </si>
  <si>
    <t>Couverture incomplète des zones de risques au travers du plan d'audit</t>
  </si>
  <si>
    <t>2017-R-AI-02</t>
  </si>
  <si>
    <t>Défaillance dans la procédure d'appel d'offre / suivi et pilotage des prestataires</t>
  </si>
  <si>
    <t>2017-R-AI-03</t>
  </si>
  <si>
    <t>Absence de détection d'un risque important au cours d'une mission</t>
  </si>
  <si>
    <t>2017-R-AI-04</t>
  </si>
  <si>
    <t>Absence ou défaillance du suivi des recommandations</t>
  </si>
  <si>
    <t>2017-R-AI-05</t>
  </si>
  <si>
    <t>Absence de prise en compte des obligations réglementaires et de leurs évolutions</t>
  </si>
  <si>
    <t>2017-R-AI-06</t>
  </si>
  <si>
    <t>Absence ou défaillance de la production / diffusion des reportings</t>
  </si>
  <si>
    <t>2017-R-ALL-05</t>
  </si>
  <si>
    <t>Non paiement ou paiement hors délai des allocations</t>
  </si>
  <si>
    <t>2017-R-ALL-06</t>
  </si>
  <si>
    <t>Non recouvrement des allocations versées à tort</t>
  </si>
  <si>
    <t>2017-R-ALL-07</t>
  </si>
  <si>
    <t>Paiement à tort des allocations</t>
  </si>
  <si>
    <t>2017-R-ALL-08</t>
  </si>
  <si>
    <t>Non-suivi des soldes débiteurs</t>
  </si>
  <si>
    <t>2017-R-ALL-09(carto)</t>
  </si>
  <si>
    <t>Non paiement des réversions dans les délais</t>
  </si>
  <si>
    <t>2017-R-AMO-01(INC)</t>
  </si>
  <si>
    <t>risques liés au pilotage et à la gestion des projets, pouvant avoir pour conséquence une mauvaise prise en compte des besoins, un retard de livraison et/ou un dépassement budgétaire</t>
  </si>
  <si>
    <t>2017-R-AS-01(carto)</t>
  </si>
  <si>
    <t>Non respect des décisions prises en commissions sociales (conditions, bénéficiaires, destinataires de paiement).</t>
  </si>
  <si>
    <t>2017-R-AS-02(carto)</t>
  </si>
  <si>
    <t>Non complétude des dossiers (orientations, type d'aide, qualité d'ayant droit)</t>
  </si>
  <si>
    <t>2017-R-AS-21(carto)</t>
  </si>
  <si>
    <t>Non-respect des orientations prioritaires (risque 21 SMR RC)</t>
  </si>
  <si>
    <t>2017-R-AS-22(carto)</t>
  </si>
  <si>
    <t>Manque d’efficience de l’action sociale (risque 22 SMR RC)</t>
  </si>
  <si>
    <t>2017-R-CG-01(carto)</t>
  </si>
  <si>
    <t>Non-respect des délais dans la transmission des documents</t>
  </si>
  <si>
    <t>2017-R-CG-02(carto)</t>
  </si>
  <si>
    <t>Le manque de pertinence ou de qualité des clés de répartition pour la ventilation des institutions</t>
  </si>
  <si>
    <t>2017-R-CG-03(carto)</t>
  </si>
  <si>
    <t>Une estimation partielle ou erronée des données budgétaires issues des orientations stratégiques et des trajectoires fixées en matière de Retraite complémentaire</t>
  </si>
  <si>
    <t>2017-R-CG-04(carto)</t>
  </si>
  <si>
    <t>Une absence ou une erreur de mesure et d’analyse des activités du groupe (valeur cible/budget/réel)</t>
  </si>
  <si>
    <t>2017-R-COM-01</t>
  </si>
  <si>
    <t>Le risque d’image, de réputation et d'insatisfaction client</t>
  </si>
  <si>
    <t>2017-R-CPTA-01</t>
  </si>
  <si>
    <t>Non paiement des prestations allocations</t>
  </si>
  <si>
    <t>2017-R-CPTA-03</t>
  </si>
  <si>
    <t>Encaissement non traité dans les délais</t>
  </si>
  <si>
    <t>2017-R-CPTA-05 (INC)</t>
  </si>
  <si>
    <t>Non qualité des données</t>
  </si>
  <si>
    <t>2017-R-CPTA-16</t>
  </si>
  <si>
    <t>Trésorerie insuffisante pour le paiement des prestations</t>
  </si>
  <si>
    <t>2017-R-CPTA-25 (INC)</t>
  </si>
  <si>
    <t>non établissement des comptes fiables dans les délais et les normes applicables</t>
  </si>
  <si>
    <t>2017-R-DC-01</t>
  </si>
  <si>
    <t>Défaillance dans la capacité à fidéliser le client</t>
  </si>
  <si>
    <t>2017-R-EXTER-04carto</t>
  </si>
  <si>
    <t>Non-respect des engagements contractuels de la part du sous-traitant</t>
  </si>
  <si>
    <t>2017-R-EXTER-05carto</t>
  </si>
  <si>
    <t>Non-suivi ou mauvais suivi du contrat, et perte de contrôle de la prestation sous-traitée</t>
  </si>
  <si>
    <t>2017-R-EXTER-10carto</t>
  </si>
  <si>
    <t>Sous-traitance de l’activité encaissement des cotisations (risque 10 SMR-RC)</t>
  </si>
  <si>
    <t>2017-R-EXTER-12carto</t>
  </si>
  <si>
    <t>Délégation d’une partie de l’activité du recouvrement des cotisations (risque 12 SMR-RC)</t>
  </si>
  <si>
    <t>2017-R-EXTER-17carto</t>
  </si>
  <si>
    <t>Délégation de la gestion financière (risque 17 SMR-RC)</t>
  </si>
  <si>
    <t>2017-R-FIN-01(carto)</t>
  </si>
  <si>
    <t>Respect des délais de transmission à l’AGIRC/ARRCO</t>
  </si>
  <si>
    <t>2017-R-FIN-15(carto)</t>
  </si>
  <si>
    <t>Non-respect du règlement financier des fédérations (risque 15 SMR-RC)</t>
  </si>
  <si>
    <t>2017-R-FIN-16(carto)</t>
  </si>
  <si>
    <t>Trésorerie insuffisante pour le paiement des allocations à l'échéance (risque 16 SMR-RC)</t>
  </si>
  <si>
    <t>2017-R-INST-01carto</t>
  </si>
  <si>
    <t>Risque de fonctionnement des instances non conformes aux statuts.</t>
  </si>
  <si>
    <t>2017-R-INST-02carto</t>
  </si>
  <si>
    <t>Risque de remboursement indu des frais de mandat</t>
  </si>
  <si>
    <t>2017-R-INST-03carto</t>
  </si>
  <si>
    <t>Risque de conflits d’intérêts</t>
  </si>
  <si>
    <t>2017-R-INST-04carto</t>
  </si>
  <si>
    <t>Risque de non-efficience du fonctionnement des instances de gouvernance</t>
  </si>
  <si>
    <t>2017-R-LIQ-01</t>
  </si>
  <si>
    <t>Erreur dans l'instruction des dossiers retraite</t>
  </si>
  <si>
    <t>2017-R-LIQ-02</t>
  </si>
  <si>
    <t>Non mise en paiement dans les délais</t>
  </si>
  <si>
    <t>2017-R-LIQ-03</t>
  </si>
  <si>
    <t>Mise en paiement à tort d’allocations / conditions d’ouverture de droits</t>
  </si>
  <si>
    <t>2017-R-LIQ-04</t>
  </si>
  <si>
    <t>Non exhaustivité des liquidations retraite (dossier incomplet)</t>
  </si>
  <si>
    <t>2017-R-MGX-02carto</t>
  </si>
  <si>
    <t>Absence de prise en charge, ou de prise en charge tardive ou par un mauvais interlocuteur des demandes clients externes et internes quel que soit le canal d’entrée (courrier, téléphone, fax, mail…)</t>
  </si>
  <si>
    <t>2017-R-PFLIJ-01(INC)</t>
  </si>
  <si>
    <t>Absence de paiement de l'indemnité journalière dans les délais</t>
  </si>
  <si>
    <t>2017-R-PSTRAT-01</t>
  </si>
  <si>
    <t>Risque de non couverture du plan stratégique ou des orientations stratégiques par le portefeuille des projets stratégiques</t>
  </si>
  <si>
    <t>2017-R-PSTRAT-02</t>
  </si>
  <si>
    <t>Risque d'inadéquation avec les objectifs stratégiques</t>
  </si>
  <si>
    <t>2017-R-PSTRAT-03</t>
  </si>
  <si>
    <t>Risque de divergences entre les objectifs initiaux du projet et la réalisation effective</t>
  </si>
  <si>
    <t>2017-R-PSTRAT-04</t>
  </si>
  <si>
    <t>Risque d'inadéquation ou de dépassement des budgets alloués (selon axe coûts, ressources, charges, délais)</t>
  </si>
  <si>
    <t>2017-R-PSTRAT-05</t>
  </si>
  <si>
    <t>Risque d'erreur, absence d'information dans l'élaboration des relevés de décision et des tableaux de bord</t>
  </si>
  <si>
    <t>2017-R-PSTRAT-06</t>
  </si>
  <si>
    <t>Risque de non-respect des délais de diffusion des relevés de décision et des tableaux de bord</t>
  </si>
  <si>
    <t>2017-R-REC-01(carto)</t>
  </si>
  <si>
    <t>Retard dans la mise à disposition d’une situation à jour des comptes entreprises (risque complémentaire)</t>
  </si>
  <si>
    <t>2017-R-REC-02(carto)</t>
  </si>
  <si>
    <t>Défaillance dans la prise en charge des demandes clients</t>
  </si>
  <si>
    <t>2017-R-REC-08(INC)</t>
  </si>
  <si>
    <t>Encaissement non traité dans les délais (risque 8 SMR-RC).</t>
  </si>
  <si>
    <t>2017-R-REC-09(carto)</t>
  </si>
  <si>
    <t>Retard dans la ventilation du paiement sur les comptes des régimes Agirc-Arrco (risque 9 SMR-RC)</t>
  </si>
  <si>
    <t>2017-R-RH-01(carto)</t>
  </si>
  <si>
    <t>Risques relatifs au droit social</t>
  </si>
  <si>
    <t>2017-R-RH-02(carto)</t>
  </si>
  <si>
    <t>Risques liés à la gestion du capital humain</t>
  </si>
  <si>
    <t>2017-R-RH-03(carto)</t>
  </si>
  <si>
    <t>Risques psychosociaux</t>
  </si>
  <si>
    <t>2017-R-SCRER-01</t>
  </si>
  <si>
    <t>Risque d'erreur de traitement de l'indu</t>
  </si>
  <si>
    <t>2017-R-SCRNT-01</t>
  </si>
  <si>
    <t>Risque de ne pas réclamer l'indu</t>
  </si>
  <si>
    <t>2017-R-SDC-01</t>
  </si>
  <si>
    <t>Absence ou défaillance (absente / erronnée / incohérente) dans l'élaboration et/ou la mise à jour d'un règlement</t>
  </si>
  <si>
    <t>2017-R-SDC-02</t>
  </si>
  <si>
    <t>Absence ou défaillance (absente / erronnée / incohérente) dans la diffusion du règlement</t>
  </si>
  <si>
    <t>2017-R-SDC-03</t>
  </si>
  <si>
    <t>Absence ou défaillance (absente / erronnée / incohérente) dans l'élaboration et/ou la mise à jour des documents contractuels</t>
  </si>
  <si>
    <t>2017-R-SDC-04</t>
  </si>
  <si>
    <t>Absence ou défaillance (absente / erronnée / incohérente) dans la diffusion des documents contractuels</t>
  </si>
  <si>
    <t>2017-R-SDC-05</t>
  </si>
  <si>
    <t>Non respect des délais légaux de mise à disposition de l'information contractuelle</t>
  </si>
  <si>
    <t>2017-R-SDPER-01</t>
  </si>
  <si>
    <t>Absence de traitement ou erreur sur devis et prise en charge prestations santé</t>
  </si>
  <si>
    <t>2017-R-SDPHD-01</t>
  </si>
  <si>
    <t>Devis et prises en charge prestations  santé traités hors délais</t>
  </si>
  <si>
    <t>2017-R-SEC-01(INC)</t>
  </si>
  <si>
    <t>Risques liés à des actes de malveillance globale, principalement le risque d’intrusion dans les systèmes d’information par des attaques extérieures</t>
  </si>
  <si>
    <t>2017-R-SI-01(carto)</t>
  </si>
  <si>
    <t>Risques liés à la gestion des infrastructures et des matériels informatiques</t>
  </si>
  <si>
    <t>2017-R-SI-02(carto)</t>
  </si>
  <si>
    <t>Risques liés à l’exploitation quotidienne et aux opérations de maintenance</t>
  </si>
  <si>
    <t>2017-R-SI-03(carto)</t>
  </si>
  <si>
    <t>Risques liés à la gestion des projets</t>
  </si>
  <si>
    <t>2017-R-SI-04(carto)</t>
  </si>
  <si>
    <t>Risques liés à l’exploitation des données issues des systèmes</t>
  </si>
  <si>
    <t>2017-R-SMJDL-01</t>
  </si>
  <si>
    <t>Mises à jour administratives prestations santé traitées hors délais</t>
  </si>
  <si>
    <t>2017-R-SMJER-01</t>
  </si>
  <si>
    <t>Absence ou erreur de traitement des Maj prestations santé</t>
  </si>
  <si>
    <t>2017-R-SPMER-01</t>
  </si>
  <si>
    <t>2017-R-SPMHD-01</t>
  </si>
  <si>
    <t>Nom Onglet</t>
  </si>
  <si>
    <t>Nom du risque</t>
  </si>
  <si>
    <t>Code MEGA</t>
  </si>
  <si>
    <t>Processus Métier</t>
  </si>
  <si>
    <t xml:space="preserve">Probabilité Brute </t>
  </si>
  <si>
    <t>Synthèse des impacts bruts</t>
  </si>
  <si>
    <t>Synthèse du DMR</t>
  </si>
  <si>
    <t>Synthèse des impacts Nets</t>
  </si>
  <si>
    <t>Sélectionner votre Direction :</t>
  </si>
  <si>
    <t>Nom Onglet :</t>
  </si>
  <si>
    <t>Eval Dir opérationnelle
(Si nécessaire)</t>
  </si>
  <si>
    <t>commentaires</t>
  </si>
  <si>
    <t>Probabilité Brute :</t>
  </si>
  <si>
    <t xml:space="preserve"> --------------------------------------&gt;</t>
  </si>
  <si>
    <t>Synthèse des impacts bruts :</t>
  </si>
  <si>
    <t>Synthèse du DMR :</t>
  </si>
  <si>
    <t>Probabilité Nette :</t>
  </si>
  <si>
    <t>Synthèse des impacts Nets :</t>
  </si>
  <si>
    <t>Perte &lt;10 clients IC 110
Augmentation &lt; 20% des appels téléphoniques / Augmentation &lt; 10% des réclamations clients
Moins de 100 assurés / allocataires touchés
Moins de 50 entreprises clientes touchés
Médiatisation limitée à la presse spécialisée</t>
  </si>
  <si>
    <t>Non-respect des directives du service concerné
Litige isolé réglé par transaction amiable</t>
  </si>
  <si>
    <t>Non-respect des directives de la Direction générale
Litiges multiples réglés par transaction amiable</t>
  </si>
  <si>
    <t>Constats de non-conformité et recommandations importantes, remarques formelles des autorités de tutelles
Injonction ou mise en cause devant les tribunaux</t>
  </si>
  <si>
    <t>Blâme des autorités de tutelle / Sanctions financières des autorités de tutelle (capital add on)
Condamnation civile d'un dirigeant ou d'une personne morale</t>
  </si>
  <si>
    <t>Retard limité d'un Projet stratégique 
Perte limitée de la performance / qualité des opérations ou d'un outil</t>
  </si>
  <si>
    <t>Remise en cause partielle d'une Orientation / Projet stratégique 
Perte notable de la performance / qualité des opérations ou des outils / des SI</t>
  </si>
  <si>
    <t>Remise en cause / abandon d'une orientation / projet stratégique
Remise en cause du développement d'une entité ou d'une branche d'activité du groupe
Remise en cause de l'efficacité des opérations/ de la qualité des outils/ des SI</t>
  </si>
  <si>
    <t>Retraite</t>
  </si>
  <si>
    <t>Impacts dont la gravité peut provoquer : 
- l'arrêt total ou partiel des processus clés/sensibles
- un dégradation jugée importante du chiffre d'affaire, et ou des fonds propres ayant des conséquences majeurs pour l'entreprise.</t>
  </si>
  <si>
    <t>R1B</t>
  </si>
  <si>
    <t>R2B</t>
  </si>
  <si>
    <t>R3B</t>
  </si>
  <si>
    <t>R4B</t>
  </si>
  <si>
    <t>R5B</t>
  </si>
  <si>
    <t>R6B</t>
  </si>
  <si>
    <t>R7B</t>
  </si>
  <si>
    <t>R8B</t>
  </si>
  <si>
    <t>R9B</t>
  </si>
  <si>
    <t>R10B</t>
  </si>
  <si>
    <t>R11B</t>
  </si>
  <si>
    <t>R12B</t>
  </si>
  <si>
    <t>R13B</t>
  </si>
  <si>
    <t>R14B</t>
  </si>
  <si>
    <t>R15B</t>
  </si>
  <si>
    <t>R16B</t>
  </si>
  <si>
    <t>R17B</t>
  </si>
  <si>
    <t>R18B</t>
  </si>
  <si>
    <t>R19B</t>
  </si>
  <si>
    <t>R20B</t>
  </si>
  <si>
    <t>R21B</t>
  </si>
  <si>
    <t>R22B</t>
  </si>
  <si>
    <t>R23B</t>
  </si>
  <si>
    <t>R24B</t>
  </si>
  <si>
    <t>R25B</t>
  </si>
  <si>
    <t>R26B</t>
  </si>
  <si>
    <t>R27B</t>
  </si>
  <si>
    <t>R28B</t>
  </si>
  <si>
    <t>R29B</t>
  </si>
  <si>
    <t>R30B</t>
  </si>
  <si>
    <t>R31B</t>
  </si>
  <si>
    <t>R32B</t>
  </si>
  <si>
    <t>R33B</t>
  </si>
  <si>
    <t>R34B</t>
  </si>
  <si>
    <t>R35B</t>
  </si>
  <si>
    <t>R36B</t>
  </si>
  <si>
    <t>R37B</t>
  </si>
  <si>
    <t>R1N</t>
  </si>
  <si>
    <t>R2N</t>
  </si>
  <si>
    <t>R3N</t>
  </si>
  <si>
    <t>R4N</t>
  </si>
  <si>
    <t>R5N</t>
  </si>
  <si>
    <t>R6N</t>
  </si>
  <si>
    <t>R7N</t>
  </si>
  <si>
    <t>R8N</t>
  </si>
  <si>
    <t>R9N</t>
  </si>
  <si>
    <t>R10N</t>
  </si>
  <si>
    <t>R11N</t>
  </si>
  <si>
    <t>R12N</t>
  </si>
  <si>
    <t>R13N</t>
  </si>
  <si>
    <t>R14N</t>
  </si>
  <si>
    <t>R15N</t>
  </si>
  <si>
    <t>R16N</t>
  </si>
  <si>
    <t>R17N</t>
  </si>
  <si>
    <t>R18N</t>
  </si>
  <si>
    <t>R19N</t>
  </si>
  <si>
    <t>R20N</t>
  </si>
  <si>
    <t>R21N</t>
  </si>
  <si>
    <t>R22N</t>
  </si>
  <si>
    <t>R23N</t>
  </si>
  <si>
    <t>R24N</t>
  </si>
  <si>
    <t>R25N</t>
  </si>
  <si>
    <t>R26N</t>
  </si>
  <si>
    <t>R27N</t>
  </si>
  <si>
    <t>R28N</t>
  </si>
  <si>
    <t>R29N</t>
  </si>
  <si>
    <t>R30N</t>
  </si>
  <si>
    <t>R31N</t>
  </si>
  <si>
    <t>R32N</t>
  </si>
  <si>
    <t>R33N</t>
  </si>
  <si>
    <t>R34N</t>
  </si>
  <si>
    <t>R35N</t>
  </si>
  <si>
    <t>R36N</t>
  </si>
  <si>
    <t>R37N</t>
  </si>
  <si>
    <t>R38N</t>
  </si>
  <si>
    <t>R39N</t>
  </si>
  <si>
    <t>COTATION RISQUE BRUT/NET</t>
  </si>
  <si>
    <t>Nom risque Criticité</t>
  </si>
  <si>
    <t>Risk1</t>
  </si>
  <si>
    <t>Risk2</t>
  </si>
  <si>
    <t>Risk3</t>
  </si>
  <si>
    <t>Risk4</t>
  </si>
  <si>
    <t>Risk5</t>
  </si>
  <si>
    <t>Risk6</t>
  </si>
  <si>
    <t>Risk7</t>
  </si>
  <si>
    <t>Risk8</t>
  </si>
  <si>
    <t>Risk9</t>
  </si>
  <si>
    <t>Risk10</t>
  </si>
  <si>
    <t>Risk11</t>
  </si>
  <si>
    <t>Risk12</t>
  </si>
  <si>
    <t>Risk13</t>
  </si>
  <si>
    <t>Risk14</t>
  </si>
  <si>
    <t>Risk15</t>
  </si>
  <si>
    <t>Risk16</t>
  </si>
  <si>
    <t>Risk17</t>
  </si>
  <si>
    <t>Risk18</t>
  </si>
  <si>
    <t>Risk19</t>
  </si>
  <si>
    <t>Risk20</t>
  </si>
  <si>
    <t>Risk21</t>
  </si>
  <si>
    <t>Risk22</t>
  </si>
  <si>
    <t>Risk23</t>
  </si>
  <si>
    <t>Risk24</t>
  </si>
  <si>
    <t>Risk25</t>
  </si>
  <si>
    <t>Risk26</t>
  </si>
  <si>
    <t>Risk27</t>
  </si>
  <si>
    <t>Risk28</t>
  </si>
  <si>
    <t>Risk29</t>
  </si>
  <si>
    <t>Risk30</t>
  </si>
  <si>
    <t>Risk31</t>
  </si>
  <si>
    <t>Risk32</t>
  </si>
  <si>
    <t>Risk33</t>
  </si>
  <si>
    <t>Risk34</t>
  </si>
  <si>
    <t>Risk35</t>
  </si>
  <si>
    <t>Risk36</t>
  </si>
  <si>
    <t>Risk37</t>
  </si>
  <si>
    <t>Risk38</t>
  </si>
  <si>
    <t>Risk39</t>
  </si>
  <si>
    <t>CARTOGRAPHIE DES RISQUES BRUTS</t>
  </si>
  <si>
    <t>CARTOGRAPHIE DES RISQUES NETS</t>
  </si>
  <si>
    <t>Risque Majeur :</t>
  </si>
  <si>
    <t>Risque Clé :</t>
  </si>
  <si>
    <t>Processus métier :</t>
  </si>
  <si>
    <t>Nom du risque :</t>
  </si>
  <si>
    <t>Processus Organisationnel :</t>
  </si>
  <si>
    <t>Code MEGA :</t>
  </si>
  <si>
    <t>Risque 
Majeur</t>
  </si>
  <si>
    <t>Risque Clé</t>
  </si>
  <si>
    <t>Impact Financier :</t>
  </si>
  <si>
    <t>Impact Image / Client :</t>
  </si>
  <si>
    <t>Impact Réglementaire / Conformité :</t>
  </si>
  <si>
    <t>Impact Stratégique :</t>
  </si>
  <si>
    <t>Commentaires</t>
  </si>
  <si>
    <t>Synthèse de l'évaluation à dire d'expert (CMR)</t>
  </si>
  <si>
    <t>Impact Financier</t>
  </si>
  <si>
    <t>Évènement extrêmement rare</t>
  </si>
  <si>
    <t>Évènement peu attendu ou rare au regard du volume d'actes réalisés</t>
  </si>
  <si>
    <t>Évènement potentiellement attendu ou probable au regard du volume d'actes réalisés</t>
  </si>
  <si>
    <t>Évènement pouvant se produire souvent du fait du volume et/ou de l'acteur de l'acte de gestion</t>
  </si>
  <si>
    <t>Évènement attendu régulièrement du fait du volume et/ou de l'acteur de l'acte de gestion</t>
  </si>
  <si>
    <t>Évènement attendu de façon chronique du fait du volume et/ou de l'acteur de l'acte de gestion</t>
  </si>
  <si>
    <t>Coût non significatif sur le chiffre d'affaires, le résultat ou la solvabilité (fonds propres)</t>
  </si>
  <si>
    <t>Coût limité au regard du chiffre d'affaires, le résultat ou  de la solvabilité (fonds propres)</t>
  </si>
  <si>
    <t>Coût ayant un impact probable sur le résultat</t>
  </si>
  <si>
    <t>Coût impliquant la nécessité de constituer une provision dans les comptes</t>
  </si>
  <si>
    <t>Coût dépassant les seuils de signification pour les commissaires aux comptes</t>
  </si>
  <si>
    <t>Coût remettant en cause la solvabilité du groupe</t>
  </si>
  <si>
    <t>Organisation très complexe et / ou ressources inadaptées, très insuffisantes</t>
  </si>
  <si>
    <t>Organisation complexe et / ou ressources partiellement inadaptées, insuffisantes</t>
  </si>
  <si>
    <t>Organisation pleinement satisfaisante. Ressources adaptées, suffisantes</t>
  </si>
  <si>
    <t>Système d'information régulièrement défaillant (indisponible, nombreux bug en suspens…)</t>
  </si>
  <si>
    <t>Système d'information pleinement satisfaisant et capable d'évoluer / aux besoins utilisateurs</t>
  </si>
  <si>
    <t xml:space="preserve">Non-conformité importante identifiée et temps de mise en conformité inadapté au regard des contraintes  réglementaires </t>
  </si>
  <si>
    <t xml:space="preserve">Non-conformité identifiées tardivement et temps de mise en conformité réduit au regard des contraintes réglementaires </t>
  </si>
  <si>
    <t xml:space="preserve">Non-conformité  identifiées au fil de l'eau et actions de mises en conformités planifiées </t>
  </si>
  <si>
    <t>Non-conformité  anticipées au fil de l'eau et actions de mises en conformités planifiées</t>
  </si>
  <si>
    <t>Absence d’élément de maîtrise : pas ou peu de règle, on se fie à l’expérience, pas ou peu de remontées d’informations, pas ou peu de sensibilisation du personnel aux risques.</t>
  </si>
  <si>
    <t xml:space="preserve">Dispositifs mis en place ne permettant pas de réduire significativement la fréquence ou l’impact du risque : règles orales, éléments de maîtrise partiellement existants ou pertinents et peu formalisés. </t>
  </si>
  <si>
    <t>Dispositifs mis en place permettant de réduire notablement la fréquence ou l’impact du risque : règles écrites mais à compléter, éléments de maîtrise existants et  pertinents, formalisés mais à compléter.</t>
  </si>
  <si>
    <t>Dispositifs mis en place permettant de réduire la fréquence ou l’impact du risque à un niveau satisfaisant : règles écrites et détaillées, contrôles formalisés et appliqués (indicateurs de suivi et de contrôle, évaluation des procédures, etc.).</t>
  </si>
  <si>
    <t>Synthèse des DMR</t>
  </si>
  <si>
    <t>Probabilité Brute/Nette</t>
  </si>
  <si>
    <t>Synthèse des impacts Bruts/Nets</t>
  </si>
  <si>
    <t>DMR : Homme</t>
  </si>
  <si>
    <t>Organisation satisfaisante mais pas optimale. Ressources adaptées, suffisantes.</t>
  </si>
  <si>
    <t>DMR : SI</t>
  </si>
  <si>
    <t>Pas de système d'information (alors que nécessaire). Système d'information obsolète (inadapté aux besoins métiers),</t>
  </si>
  <si>
    <t>Système d'information satisfaisant (aux besoins utilisateurs, peu de bugs...).</t>
  </si>
  <si>
    <t>DMR : Procédure</t>
  </si>
  <si>
    <t>Processus complexe (trop vaste, trop d'acteurs, pas de responsabilité…), non documenté. Processus avec des dysfonctionnements réguliers.</t>
  </si>
  <si>
    <t>Processus ou procédure non formalisés.Processus avec quelques dysfonctionnements importants non résolus ou  temps de résolution, d’adaptation long.</t>
  </si>
  <si>
    <t xml:space="preserve">Processus et ou procédure formalisés.Processus avec quelques dysfonctionnements  mineurs et temps de résolution court / rapide </t>
  </si>
  <si>
    <t>Processus formalisé,  procédure et mis à jour régulièrement. Processus avec très peu de dysfonctionnements (en général mineurs)</t>
  </si>
  <si>
    <t>DMR : Règlementaire</t>
  </si>
  <si>
    <t>DMR : Image</t>
  </si>
  <si>
    <t>Impacts Financiers</t>
  </si>
  <si>
    <t>Impacts Clients</t>
  </si>
  <si>
    <t xml:space="preserve">Perte d'un client hors IC 110, 
Augmentation &lt; 10% des appels téléphoniques / Augmentation &lt; 5% des réclamations clients
Moins de 10 assurés / allocataires touchés
Moins de 5  entreprises clientes touchés
Médiatisation limitée à la presse locale ou régionale
</t>
  </si>
  <si>
    <t>Perte entre 10 et 100 clients hors IC 110
Augmentation entre 20% et 100% des appels téléphoniques / Augmentation entre 10% et 50% des réclamations clients
De 100 à 1000 assurés / allocataires touchés
 50 - 100 entreprises clientes touchés
Médiatisation de grande ampleur via un seul canal au niveau national / Affluence sur internet et/ou réseaux sociaux</t>
  </si>
  <si>
    <t>Perte d'un client du top 10
Augmentation entre &gt; 400% et 1000% des appels téléphoniques / Augmentation entre 200% et 500% des réclamations clients
 &gt;  5000 à 10000assurés / allocataires touchés
 &gt; 500 à 5000 entreprises clientes touchés
Médiatisation de grande ampleur par tous les médias nationaux (hors internet et réseaux sociaux)</t>
  </si>
  <si>
    <t>Perte entre 10 et 100 clients hors top 10 ou IC110
Augmentation entre 100% et 400% des appels téléphoniques / Augmentation entre 50% et 200% des réclamations clients
De 1000 à 5000 assurés / allocataires touchés
De 100 - 500 entreprises clientes touchés
Mise en cause à titre personnel ou professionnel d'un dirigeant effectif, d'un membre du codir, ou d'un administrateur</t>
  </si>
  <si>
    <t>Perte &gt; 1 client du top 10
Augmentation &gt; 1000% des appels téléphoniques Augmentation &gt; 500% des réclamations clients
&gt; 10000 assurés / allocataires touchés 
&gt;  5000 entreprises clientes touchés
Médiatisation de grande ampleur par tous les médias nationaux ,(y compris internet et réseaux sociaux)</t>
  </si>
  <si>
    <t>Impacts Conformité</t>
  </si>
  <si>
    <t>Impacts Stratégie</t>
  </si>
  <si>
    <t>Remise en cause du Plan stratégique d'une entité ou d'une branche d'activité du groupe 
Remise en cause de la pérennité d'une entité ou d'une branche d'activité du groupe
Remise en cause de la pérennité des SI
Remise en cause du développement du groupe</t>
  </si>
  <si>
    <t>Impact 
Image / Client</t>
  </si>
  <si>
    <t>Impact 
RéglementaireConformité</t>
  </si>
  <si>
    <t>Impact Stratégique</t>
  </si>
  <si>
    <t>DMR Homme</t>
  </si>
  <si>
    <t>DMR SI</t>
  </si>
  <si>
    <t>DMR Procédure</t>
  </si>
  <si>
    <t>DMR Conformité</t>
  </si>
  <si>
    <t>IRPAUTO IPSA</t>
  </si>
  <si>
    <t>ADP</t>
  </si>
  <si>
    <t>Mode d'identification</t>
  </si>
  <si>
    <t>2. Périmètre</t>
  </si>
  <si>
    <t>Mode d'identification :</t>
  </si>
  <si>
    <t>1. Caractéristiques du risque</t>
  </si>
  <si>
    <t>3. Facteurs de risques</t>
  </si>
  <si>
    <t>Onglet Caractéristiques</t>
  </si>
  <si>
    <t>Département du déclarant :</t>
  </si>
  <si>
    <t>4. Conséquences de risques</t>
  </si>
  <si>
    <t>Mission d'audit</t>
  </si>
  <si>
    <t>Sondages</t>
  </si>
  <si>
    <t>Ateliers</t>
  </si>
  <si>
    <t>Base d'incidents</t>
  </si>
  <si>
    <t>Zone d'aide (affichage commentaires)</t>
  </si>
  <si>
    <t>IRPAUTO IENA</t>
  </si>
  <si>
    <t>ADP :</t>
  </si>
  <si>
    <t>Retraite :</t>
  </si>
  <si>
    <t>Autres :</t>
  </si>
  <si>
    <t>Toutes :</t>
  </si>
  <si>
    <t>x</t>
  </si>
  <si>
    <t>Description détaillée</t>
  </si>
  <si>
    <t xml:space="preserve">Description détaillée :  </t>
  </si>
  <si>
    <t>Département déclarant</t>
  </si>
  <si>
    <t>Processus Organisationnel</t>
  </si>
  <si>
    <t>Evaluation de la Probabilité Brute</t>
  </si>
  <si>
    <t>Evaluation des Impacts Bruts</t>
  </si>
  <si>
    <t>Gravité Brute :</t>
  </si>
  <si>
    <t>Conséquences Conf./Regl.</t>
  </si>
  <si>
    <t>Conséquences Financier</t>
  </si>
  <si>
    <t>Conséquences
Client/Img</t>
  </si>
  <si>
    <t>Conséquences 
Stratégie</t>
  </si>
  <si>
    <t>Le risque brut s'obtient par le calcul suivant : Probabilité brute x synthèse des impacts bruts. 
Pour déterminer le niveau de gravité, le résultat du risque brut doit être placer dans la cartographie ci-dessous</t>
  </si>
  <si>
    <t>La gravité brute s'obtient par le calcul suivant : Probabilité brute x synthèse des impacts bruts.</t>
  </si>
  <si>
    <t>Evaluation du Dispositif de maitrise des risques ( DMR)</t>
  </si>
  <si>
    <t>Impact</t>
  </si>
  <si>
    <t>Note</t>
  </si>
  <si>
    <t>PROBABILITE</t>
  </si>
  <si>
    <t>Impact/Probabilité</t>
  </si>
  <si>
    <t>Gravité
Brute</t>
  </si>
  <si>
    <t>Gravité</t>
  </si>
  <si>
    <t>Niveau de surveillance</t>
  </si>
  <si>
    <t>MATRICE DE GRAVITÉ</t>
  </si>
  <si>
    <t xml:space="preserve">PROBABILITE </t>
  </si>
  <si>
    <t xml:space="preserve">SYNTHESE DES IMPACTS </t>
  </si>
  <si>
    <t>Valeurs des zones de la matrice de Gravité</t>
  </si>
  <si>
    <t>Très élevé</t>
  </si>
  <si>
    <t xml:space="preserve">Risque négigeable pas d'actions attendues </t>
  </si>
  <si>
    <t>Gestion courante et planification de plans d'actions en fonction des priorités de l'activité</t>
  </si>
  <si>
    <t>Nécessité de mise en place de plans d'actions avec une supérivision par la fonction clé ou le département des risques</t>
  </si>
  <si>
    <t xml:space="preserve">Nécessité de mise en place de plans d'actions avec une supérivision étroite par le comité des risques </t>
  </si>
  <si>
    <t xml:space="preserve">MATRICE DE CRITICITE </t>
  </si>
  <si>
    <t>GRAVITE 
BRUTE</t>
  </si>
  <si>
    <t xml:space="preserve">Mineur </t>
  </si>
  <si>
    <t xml:space="preserve">Insuffisant </t>
  </si>
  <si>
    <t>SYNTHESE DU DMR</t>
  </si>
  <si>
    <t>Valeurs des zones de la matrice de Criticité</t>
  </si>
  <si>
    <t>Zone de criticité faible /Surveillance faible</t>
  </si>
  <si>
    <t>Zone de criticité faible /Surveillance modérée</t>
  </si>
  <si>
    <t>Zone de criticité modérée /Surveillance modérée</t>
  </si>
  <si>
    <t>Zone de criticité élevée /Surveillance soutenue</t>
  </si>
  <si>
    <t>Zone de criticité élevée /Surveillance à renforcer</t>
  </si>
  <si>
    <t>Zone de criticité très élevée /Surveillance insuffisante</t>
  </si>
  <si>
    <t>Evaluation du Risque Brut</t>
  </si>
  <si>
    <t>Tes-test-01</t>
  </si>
  <si>
    <t>Bla</t>
  </si>
  <si>
    <t>Blablablabla</t>
  </si>
  <si>
    <t>Test1</t>
  </si>
  <si>
    <t>Test 2</t>
  </si>
  <si>
    <t>Evaluation de la criticité</t>
  </si>
  <si>
    <t xml:space="preserve">Evaluation de la Gravité Nette </t>
  </si>
  <si>
    <t>Gravité Nette :</t>
  </si>
  <si>
    <t>Niveau de maîtrise 
Homme et organisation:</t>
  </si>
  <si>
    <t>Niveau de maîtrise SI :</t>
  </si>
  <si>
    <t>Niveau de maîtrise Processus et procédure :</t>
  </si>
  <si>
    <t>Niveau de maîtrise Conformité/Réglementaire :</t>
  </si>
  <si>
    <t>E1</t>
  </si>
  <si>
    <t>E2</t>
  </si>
  <si>
    <t>E3</t>
  </si>
  <si>
    <t>E4</t>
  </si>
  <si>
    <t>E5</t>
  </si>
  <si>
    <t>E6</t>
  </si>
  <si>
    <t>Facteurs Risques 1</t>
  </si>
  <si>
    <t>Facteurs Risques 2</t>
  </si>
  <si>
    <t>Facteurs Risques 3</t>
  </si>
  <si>
    <t>Facteurs Risques 4</t>
  </si>
  <si>
    <t>Facteurs Risques 5</t>
  </si>
  <si>
    <t>Facteurs Risques 6</t>
  </si>
  <si>
    <t>Conséquences Risques 1</t>
  </si>
  <si>
    <t>Conséquences Risques 2</t>
  </si>
  <si>
    <t>Conséquences Risques 3</t>
  </si>
  <si>
    <t>Conséquences Risques 4</t>
  </si>
  <si>
    <t>Conséquences Risques 5</t>
  </si>
  <si>
    <t>Conséquences Risques 6</t>
  </si>
  <si>
    <t>Gravité Nette</t>
  </si>
  <si>
    <t>Criticité</t>
  </si>
  <si>
    <t>Criticité :
(zone de surveillance)</t>
  </si>
  <si>
    <t>Gravité Brute évaluée automatiquement :</t>
  </si>
  <si>
    <t>Cette cotation  a été calculée directement à partir des éléments que vous avez saisis préalablement.</t>
  </si>
  <si>
    <t>Cotation du DMR</t>
  </si>
  <si>
    <t>Cotation automatique de la Gravité Brute</t>
  </si>
  <si>
    <t>Cotation de la Gravité Brute par le CMR</t>
  </si>
</sst>
</file>

<file path=xl/styles.xml><?xml version="1.0" encoding="utf-8"?>
<styleSheet xmlns="http://schemas.openxmlformats.org/spreadsheetml/2006/main">
  <numFmts count="3">
    <numFmt numFmtId="44" formatCode="_-* #,##0.00\ &quot;€&quot;_-;\-* #,##0.00\ &quot;€&quot;_-;_-* &quot;-&quot;??\ &quot;€&quot;_-;_-@_-"/>
    <numFmt numFmtId="164" formatCode="[$-F800]dddd\,\ mmmm\ dd\,\ yyyy"/>
    <numFmt numFmtId="165" formatCode="###;\-###;"/>
  </numFmts>
  <fonts count="72">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8"/>
      <name val="Arial"/>
      <family val="2"/>
    </font>
    <font>
      <b/>
      <sz val="10"/>
      <name val="Verdana"/>
      <family val="2"/>
    </font>
    <font>
      <b/>
      <sz val="14"/>
      <name val="Verdana"/>
      <family val="2"/>
    </font>
    <font>
      <b/>
      <sz val="8"/>
      <name val="Verdana"/>
      <family val="2"/>
    </font>
    <font>
      <i/>
      <sz val="8"/>
      <name val="Verdana"/>
      <family val="2"/>
    </font>
    <font>
      <b/>
      <sz val="18"/>
      <name val="Verdana"/>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sz val="9"/>
      <name val="Arial"/>
      <family val="2"/>
    </font>
    <font>
      <b/>
      <sz val="12"/>
      <name val="Arial"/>
      <family val="2"/>
    </font>
    <font>
      <b/>
      <sz val="9"/>
      <name val="Verdana"/>
      <family val="2"/>
    </font>
    <font>
      <i/>
      <u/>
      <sz val="10"/>
      <name val="Verdana"/>
      <family val="2"/>
    </font>
    <font>
      <sz val="8"/>
      <color theme="1"/>
      <name val="Calibri"/>
      <family val="2"/>
      <scheme val="minor"/>
    </font>
    <font>
      <b/>
      <sz val="8"/>
      <color theme="1"/>
      <name val="Calibri"/>
      <family val="2"/>
      <scheme val="minor"/>
    </font>
    <font>
      <b/>
      <sz val="8"/>
      <name val="Arial"/>
      <family val="2"/>
    </font>
    <font>
      <b/>
      <sz val="14"/>
      <name val="Arial"/>
      <family val="2"/>
    </font>
    <font>
      <sz val="8"/>
      <color theme="0"/>
      <name val="Calibri"/>
      <family val="2"/>
      <scheme val="minor"/>
    </font>
    <font>
      <sz val="8.25"/>
      <color rgb="FF000000"/>
      <name val="Arial"/>
      <family val="2"/>
    </font>
    <font>
      <i/>
      <sz val="8"/>
      <color theme="1"/>
      <name val="Calibri"/>
      <family val="2"/>
      <scheme val="minor"/>
    </font>
    <font>
      <sz val="8"/>
      <color rgb="FFFF0000"/>
      <name val="Calibri"/>
      <family val="2"/>
      <scheme val="minor"/>
    </font>
    <font>
      <u/>
      <sz val="11"/>
      <color theme="10"/>
      <name val="Calibri"/>
      <family val="2"/>
    </font>
    <font>
      <sz val="26"/>
      <color theme="0"/>
      <name val="Calibri"/>
      <family val="2"/>
    </font>
    <font>
      <sz val="26"/>
      <name val="Calibri"/>
      <family val="2"/>
      <scheme val="minor"/>
    </font>
    <font>
      <sz val="11"/>
      <name val="Calibri"/>
      <family val="2"/>
      <scheme val="minor"/>
    </font>
    <font>
      <sz val="28"/>
      <color theme="0"/>
      <name val="Calibri"/>
      <family val="2"/>
    </font>
    <font>
      <sz val="9"/>
      <color theme="1"/>
      <name val="Calibri"/>
      <family val="2"/>
      <scheme val="minor"/>
    </font>
    <font>
      <b/>
      <sz val="9"/>
      <color theme="0"/>
      <name val="Arial"/>
      <family val="2"/>
    </font>
    <font>
      <b/>
      <sz val="9"/>
      <name val="Arial"/>
      <family val="2"/>
    </font>
    <font>
      <b/>
      <sz val="9"/>
      <color theme="1"/>
      <name val="Arial"/>
      <family val="2"/>
    </font>
    <font>
      <sz val="9"/>
      <color theme="1"/>
      <name val="Arial"/>
      <family val="2"/>
    </font>
    <font>
      <sz val="9"/>
      <color rgb="FFFF0000"/>
      <name val="Arial"/>
      <family val="2"/>
    </font>
    <font>
      <b/>
      <i/>
      <sz val="14"/>
      <color theme="0"/>
      <name val="Calibri"/>
      <family val="2"/>
      <scheme val="minor"/>
    </font>
    <font>
      <sz val="12"/>
      <color theme="1"/>
      <name val="Calibri"/>
      <family val="2"/>
      <scheme val="minor"/>
    </font>
    <font>
      <b/>
      <sz val="10"/>
      <color theme="3"/>
      <name val="Calibri"/>
      <family val="2"/>
      <scheme val="minor"/>
    </font>
    <font>
      <sz val="9"/>
      <name val="Calibri"/>
      <family val="2"/>
      <scheme val="minor"/>
    </font>
    <font>
      <sz val="9"/>
      <color theme="0"/>
      <name val="Calibri"/>
      <family val="2"/>
      <scheme val="minor"/>
    </font>
    <font>
      <b/>
      <i/>
      <u/>
      <sz val="10"/>
      <color rgb="FFFF0000"/>
      <name val="Calibri"/>
      <family val="2"/>
      <scheme val="minor"/>
    </font>
    <font>
      <b/>
      <sz val="9"/>
      <color rgb="FFFF0000"/>
      <name val="Calibri"/>
      <family val="2"/>
      <scheme val="minor"/>
    </font>
    <font>
      <b/>
      <sz val="9"/>
      <color theme="0"/>
      <name val="Calibri"/>
      <family val="2"/>
      <scheme val="minor"/>
    </font>
    <font>
      <b/>
      <sz val="9"/>
      <name val="Calibri"/>
      <family val="2"/>
      <scheme val="minor"/>
    </font>
    <font>
      <b/>
      <sz val="20"/>
      <name val="Verdana"/>
      <family val="2"/>
    </font>
    <font>
      <b/>
      <sz val="11"/>
      <name val="Verdana"/>
      <family val="2"/>
    </font>
    <font>
      <sz val="11"/>
      <name val="Arial"/>
      <family val="2"/>
    </font>
    <font>
      <b/>
      <sz val="16"/>
      <name val="Arial"/>
      <family val="2"/>
    </font>
    <font>
      <sz val="9"/>
      <color theme="3" tint="0.79998168889431442"/>
      <name val="Calibri"/>
      <family val="2"/>
      <scheme val="minor"/>
    </font>
    <font>
      <sz val="8"/>
      <name val="Calibri"/>
      <family val="2"/>
      <scheme val="minor"/>
    </font>
    <font>
      <sz val="10"/>
      <color rgb="FF000000"/>
      <name val="Arial"/>
      <family val="2"/>
    </font>
    <font>
      <b/>
      <sz val="14"/>
      <color theme="1"/>
      <name val="Calibri"/>
      <family val="2"/>
      <scheme val="minor"/>
    </font>
    <font>
      <b/>
      <sz val="11"/>
      <color theme="1"/>
      <name val="Calibri"/>
      <family val="2"/>
      <scheme val="minor"/>
    </font>
    <font>
      <b/>
      <sz val="11"/>
      <color theme="0"/>
      <name val="Calibri"/>
      <family val="2"/>
      <scheme val="minor"/>
    </font>
  </fonts>
  <fills count="5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42"/>
        <bgColor indexed="64"/>
      </patternFill>
    </fill>
    <fill>
      <patternFill patternType="solid">
        <fgColor indexed="29"/>
        <bgColor indexed="64"/>
      </patternFill>
    </fill>
    <fill>
      <patternFill patternType="solid">
        <fgColor rgb="FF00B050"/>
        <bgColor indexed="64"/>
      </patternFill>
    </fill>
    <fill>
      <patternFill patternType="solid">
        <fgColor theme="1" tint="0.499984740745262"/>
        <bgColor indexed="64"/>
      </patternFill>
    </fill>
    <fill>
      <patternFill patternType="solid">
        <fgColor theme="5"/>
        <bgColor indexed="64"/>
      </patternFill>
    </fill>
    <fill>
      <patternFill patternType="solid">
        <fgColor rgb="FFFFFF00"/>
        <bgColor indexed="64"/>
      </patternFill>
    </fill>
    <fill>
      <patternFill patternType="solid">
        <fgColor rgb="FFFFC000"/>
        <bgColor indexed="64"/>
      </patternFill>
    </fill>
    <fill>
      <patternFill patternType="solid">
        <fgColor theme="9"/>
        <bgColor indexed="64"/>
      </patternFill>
    </fill>
    <fill>
      <patternFill patternType="solid">
        <fgColor rgb="FFFF0000"/>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theme="3"/>
        <bgColor indexed="64"/>
      </patternFill>
    </fill>
    <fill>
      <patternFill patternType="solid">
        <fgColor theme="4" tint="-0.249977111117893"/>
        <bgColor indexed="64"/>
      </patternFill>
    </fill>
    <fill>
      <patternFill patternType="solid">
        <fgColor theme="3" tint="0.79998168889431442"/>
        <bgColor indexed="64"/>
      </patternFill>
    </fill>
    <fill>
      <patternFill patternType="solid">
        <fgColor theme="3" tint="-0.249977111117893"/>
        <bgColor indexed="64"/>
      </patternFill>
    </fill>
    <fill>
      <patternFill patternType="solid">
        <fgColor theme="4" tint="0.79998168889431442"/>
        <bgColor indexed="64"/>
      </patternFill>
    </fill>
    <fill>
      <patternFill patternType="solid">
        <fgColor theme="1"/>
        <bgColor indexed="64"/>
      </patternFill>
    </fill>
    <fill>
      <patternFill patternType="solid">
        <fgColor rgb="FFC6D9F1"/>
        <bgColor indexed="64"/>
      </patternFill>
    </fill>
    <fill>
      <patternFill patternType="solid">
        <fgColor theme="3" tint="0.59999389629810485"/>
        <bgColor indexed="64"/>
      </patternFill>
    </fill>
    <fill>
      <patternFill patternType="solid">
        <fgColor theme="3" tint="0.39997558519241921"/>
        <bgColor indexed="64"/>
      </patternFill>
    </fill>
    <fill>
      <patternFill patternType="solid">
        <fgColor theme="6" tint="0.59999389629810485"/>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rgb="FFFFCC00"/>
        <bgColor indexed="64"/>
      </patternFill>
    </fill>
    <fill>
      <patternFill patternType="solid">
        <fgColor rgb="FF990000"/>
        <bgColor indexed="64"/>
      </patternFill>
    </fill>
    <fill>
      <patternFill patternType="solid">
        <fgColor theme="5" tint="0.39997558519241921"/>
        <bgColor indexed="64"/>
      </patternFill>
    </fill>
    <fill>
      <patternFill patternType="solid">
        <fgColor rgb="FFFFFF66"/>
        <bgColor indexed="64"/>
      </patternFill>
    </fill>
  </fills>
  <borders count="98">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slantDashDot">
        <color auto="1"/>
      </left>
      <right/>
      <top style="slantDashDot">
        <color auto="1"/>
      </top>
      <bottom style="slantDashDot">
        <color auto="1"/>
      </bottom>
      <diagonal/>
    </border>
    <border>
      <left/>
      <right/>
      <top style="slantDashDot">
        <color auto="1"/>
      </top>
      <bottom style="slantDashDot">
        <color auto="1"/>
      </bottom>
      <diagonal/>
    </border>
    <border>
      <left/>
      <right style="slantDashDot">
        <color auto="1"/>
      </right>
      <top style="slantDashDot">
        <color auto="1"/>
      </top>
      <bottom style="slantDashDot">
        <color auto="1"/>
      </bottom>
      <diagonal/>
    </border>
    <border>
      <left style="dashDot">
        <color indexed="64"/>
      </left>
      <right style="dashDot">
        <color indexed="64"/>
      </right>
      <top style="dashDot">
        <color indexed="64"/>
      </top>
      <bottom style="dashDot">
        <color indexed="64"/>
      </bottom>
      <diagonal/>
    </border>
    <border>
      <left style="dashDot">
        <color indexed="64"/>
      </left>
      <right/>
      <top/>
      <bottom/>
      <diagonal/>
    </border>
    <border>
      <left style="dashed">
        <color auto="1"/>
      </left>
      <right style="dashed">
        <color auto="1"/>
      </right>
      <top style="dashed">
        <color auto="1"/>
      </top>
      <bottom style="dashed">
        <color auto="1"/>
      </bottom>
      <diagonal/>
    </border>
    <border>
      <left/>
      <right/>
      <top/>
      <bottom style="thick">
        <color auto="1"/>
      </bottom>
      <diagonal/>
    </border>
    <border>
      <left/>
      <right style="thick">
        <color auto="1"/>
      </right>
      <top/>
      <bottom style="thick">
        <color auto="1"/>
      </bottom>
      <diagonal/>
    </border>
    <border>
      <left/>
      <right style="thick">
        <color auto="1"/>
      </right>
      <top/>
      <bottom/>
      <diagonal/>
    </border>
    <border>
      <left style="slantDashDot">
        <color auto="1"/>
      </left>
      <right style="thick">
        <color auto="1"/>
      </right>
      <top style="slantDashDot">
        <color auto="1"/>
      </top>
      <bottom style="slantDashDot">
        <color auto="1"/>
      </bottom>
      <diagonal/>
    </border>
    <border>
      <left style="dotted">
        <color indexed="64"/>
      </left>
      <right style="thick">
        <color auto="1"/>
      </right>
      <top style="dotted">
        <color indexed="64"/>
      </top>
      <bottom style="dotted">
        <color indexed="64"/>
      </bottom>
      <diagonal/>
    </border>
    <border>
      <left style="dashed">
        <color auto="1"/>
      </left>
      <right style="thick">
        <color auto="1"/>
      </right>
      <top style="dashed">
        <color auto="1"/>
      </top>
      <bottom style="dashed">
        <color auto="1"/>
      </bottom>
      <diagonal/>
    </border>
    <border>
      <left/>
      <right style="thick">
        <color auto="1"/>
      </right>
      <top style="slantDashDot">
        <color auto="1"/>
      </top>
      <bottom style="slantDashDot">
        <color auto="1"/>
      </bottom>
      <diagonal/>
    </border>
    <border>
      <left/>
      <right style="thick">
        <color auto="1"/>
      </right>
      <top style="thick">
        <color auto="1"/>
      </top>
      <bottom/>
      <diagonal/>
    </border>
    <border>
      <left/>
      <right/>
      <top style="thick">
        <color auto="1"/>
      </top>
      <bottom/>
      <diagonal/>
    </border>
    <border>
      <left/>
      <right/>
      <top style="slantDashDot">
        <color auto="1"/>
      </top>
      <bottom/>
      <diagonal/>
    </border>
    <border>
      <left style="slantDashDot">
        <color auto="1"/>
      </left>
      <right style="slantDashDot">
        <color auto="1"/>
      </right>
      <top style="slantDashDot">
        <color auto="1"/>
      </top>
      <bottom style="slantDashDot">
        <color auto="1"/>
      </bottom>
      <diagonal/>
    </border>
    <border>
      <left style="dotted">
        <color indexed="64"/>
      </left>
      <right style="dotted">
        <color indexed="64"/>
      </right>
      <top style="dotted">
        <color indexed="64"/>
      </top>
      <bottom/>
      <diagonal/>
    </border>
    <border>
      <left style="dotted">
        <color indexed="64"/>
      </left>
      <right style="dotted">
        <color indexed="64"/>
      </right>
      <top style="slantDashDot">
        <color auto="1"/>
      </top>
      <bottom style="dotted">
        <color indexed="64"/>
      </bottom>
      <diagonal/>
    </border>
    <border>
      <left/>
      <right/>
      <top/>
      <bottom style="slantDashDot">
        <color auto="1"/>
      </bottom>
      <diagonal/>
    </border>
    <border>
      <left/>
      <right style="thick">
        <color auto="1"/>
      </right>
      <top/>
      <bottom style="slantDashDot">
        <color auto="1"/>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slantDashDot">
        <color auto="1"/>
      </left>
      <right/>
      <top style="thick">
        <color indexed="64"/>
      </top>
      <bottom style="slantDashDot">
        <color auto="1"/>
      </bottom>
      <diagonal/>
    </border>
    <border>
      <left/>
      <right/>
      <top style="thick">
        <color indexed="64"/>
      </top>
      <bottom style="slantDashDot">
        <color auto="1"/>
      </bottom>
      <diagonal/>
    </border>
    <border>
      <left/>
      <right style="slantDashDot">
        <color auto="1"/>
      </right>
      <top style="thick">
        <color indexed="64"/>
      </top>
      <bottom style="slantDashDot">
        <color auto="1"/>
      </bottom>
      <diagonal/>
    </border>
    <border>
      <left style="dashDot">
        <color indexed="64"/>
      </left>
      <right style="dashDot">
        <color indexed="64"/>
      </right>
      <top style="dashDot">
        <color indexed="64"/>
      </top>
      <bottom/>
      <diagonal/>
    </border>
    <border>
      <left style="dotted">
        <color indexed="64"/>
      </left>
      <right style="thick">
        <color auto="1"/>
      </right>
      <top style="dotted">
        <color indexed="64"/>
      </top>
      <bottom/>
      <diagonal/>
    </border>
    <border>
      <left style="dotted">
        <color indexed="64"/>
      </left>
      <right style="dotted">
        <color indexed="64"/>
      </right>
      <top style="slantDashDot">
        <color auto="1"/>
      </top>
      <bottom/>
      <diagonal/>
    </border>
    <border>
      <left/>
      <right style="thin">
        <color indexed="64"/>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ck">
        <color indexed="64"/>
      </right>
      <top style="thick">
        <color indexed="64"/>
      </top>
      <bottom style="slantDashDot">
        <color auto="1"/>
      </bottom>
      <diagonal/>
    </border>
    <border>
      <left style="dotted">
        <color indexed="64"/>
      </left>
      <right style="thick">
        <color indexed="64"/>
      </right>
      <top style="slantDashDot">
        <color auto="1"/>
      </top>
      <bottom style="dotted">
        <color indexed="64"/>
      </bottom>
      <diagonal/>
    </border>
    <border>
      <left style="dotted">
        <color indexed="64"/>
      </left>
      <right style="thick">
        <color indexed="64"/>
      </right>
      <top/>
      <bottom style="slantDashDot">
        <color auto="1"/>
      </bottom>
      <diagonal/>
    </border>
    <border>
      <left/>
      <right style="thick">
        <color indexed="64"/>
      </right>
      <top style="slantDashDot">
        <color auto="1"/>
      </top>
      <bottom/>
      <diagonal/>
    </border>
    <border>
      <left style="thick">
        <color indexed="64"/>
      </left>
      <right/>
      <top style="thick">
        <color indexed="64"/>
      </top>
      <bottom style="slantDashDot">
        <color auto="1"/>
      </bottom>
      <diagonal/>
    </border>
    <border>
      <left style="thick">
        <color indexed="64"/>
      </left>
      <right/>
      <top/>
      <bottom/>
      <diagonal/>
    </border>
    <border>
      <left style="thick">
        <color indexed="64"/>
      </left>
      <right/>
      <top/>
      <bottom style="thick">
        <color indexed="64"/>
      </bottom>
      <diagonal/>
    </border>
    <border>
      <left/>
      <right style="thick">
        <color indexed="64"/>
      </right>
      <top/>
      <bottom style="thick">
        <color indexed="64"/>
      </bottom>
      <diagonal/>
    </border>
    <border>
      <left/>
      <right style="thick">
        <color indexed="64"/>
      </right>
      <top style="dotted">
        <color indexed="64"/>
      </top>
      <bottom style="dashed">
        <color auto="1"/>
      </bottom>
      <diagonal/>
    </border>
    <border>
      <left style="dotted">
        <color indexed="64"/>
      </left>
      <right style="dotted">
        <color indexed="64"/>
      </right>
      <top style="slantDashDot">
        <color auto="1"/>
      </top>
      <bottom style="thick">
        <color indexed="64"/>
      </bottom>
      <diagonal/>
    </border>
    <border>
      <left style="dashed">
        <color auto="1"/>
      </left>
      <right/>
      <top style="slantDashDot">
        <color auto="1"/>
      </top>
      <bottom style="slantDashDot">
        <color auto="1"/>
      </bottom>
      <diagonal/>
    </border>
    <border>
      <left style="dotted">
        <color indexed="64"/>
      </left>
      <right/>
      <top style="slantDashDot">
        <color auto="1"/>
      </top>
      <bottom style="dotted">
        <color indexed="64"/>
      </bottom>
      <diagonal/>
    </border>
    <border>
      <left style="dashDot">
        <color auto="1"/>
      </left>
      <right style="dashDot">
        <color auto="1"/>
      </right>
      <top style="slantDashDot">
        <color auto="1"/>
      </top>
      <bottom style="slantDashDot">
        <color auto="1"/>
      </bottom>
      <diagonal/>
    </border>
    <border>
      <left style="dashDot">
        <color auto="1"/>
      </left>
      <right/>
      <top style="slantDashDot">
        <color auto="1"/>
      </top>
      <bottom style="slantDashDot">
        <color auto="1"/>
      </bottom>
      <diagonal/>
    </border>
    <border>
      <left/>
      <right style="dashed">
        <color auto="1"/>
      </right>
      <top style="slantDashDot">
        <color auto="1"/>
      </top>
      <bottom style="slantDashDot">
        <color auto="1"/>
      </bottom>
      <diagonal/>
    </border>
    <border>
      <left style="dotted">
        <color indexed="64"/>
      </left>
      <right style="dashDot">
        <color auto="1"/>
      </right>
      <top style="slantDashDot">
        <color auto="1"/>
      </top>
      <bottom style="thick">
        <color indexed="64"/>
      </bottom>
      <diagonal/>
    </border>
    <border>
      <left style="dashDot">
        <color auto="1"/>
      </left>
      <right/>
      <top style="slantDashDot">
        <color auto="1"/>
      </top>
      <bottom style="thick">
        <color indexed="64"/>
      </bottom>
      <diagonal/>
    </border>
    <border>
      <left/>
      <right style="dashed">
        <color auto="1"/>
      </right>
      <top style="slantDashDot">
        <color auto="1"/>
      </top>
      <bottom style="thick">
        <color indexed="64"/>
      </bottom>
      <diagonal/>
    </border>
    <border>
      <left style="dashed">
        <color auto="1"/>
      </left>
      <right/>
      <top style="slantDashDot">
        <color auto="1"/>
      </top>
      <bottom style="thick">
        <color indexed="64"/>
      </bottom>
      <diagonal/>
    </border>
    <border>
      <left/>
      <right style="thick">
        <color indexed="64"/>
      </right>
      <top style="slantDashDot">
        <color auto="1"/>
      </top>
      <bottom style="thick">
        <color indexed="64"/>
      </bottom>
      <diagonal/>
    </border>
  </borders>
  <cellStyleXfs count="52">
    <xf numFmtId="0" fontId="0" fillId="0" borderId="0"/>
    <xf numFmtId="0" fontId="13" fillId="2" borderId="0" applyNumberFormat="0" applyBorder="0" applyAlignment="0" applyProtection="0"/>
    <xf numFmtId="0" fontId="13" fillId="3"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8" borderId="0" applyNumberFormat="0" applyBorder="0" applyAlignment="0" applyProtection="0"/>
    <xf numFmtId="0" fontId="13" fillId="11" borderId="0" applyNumberFormat="0" applyBorder="0" applyAlignment="0" applyProtection="0"/>
    <xf numFmtId="0" fontId="14" fillId="12"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16" borderId="0" applyNumberFormat="0" applyBorder="0" applyAlignment="0" applyProtection="0"/>
    <xf numFmtId="0" fontId="14" fillId="17" borderId="0" applyNumberFormat="0" applyBorder="0" applyAlignment="0" applyProtection="0"/>
    <xf numFmtId="0" fontId="14" fillId="18"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9" borderId="0" applyNumberFormat="0" applyBorder="0" applyAlignment="0" applyProtection="0"/>
    <xf numFmtId="0" fontId="15" fillId="0" borderId="0" applyNumberFormat="0" applyFill="0" applyBorder="0" applyAlignment="0" applyProtection="0"/>
    <xf numFmtId="0" fontId="16" fillId="20" borderId="1" applyNumberFormat="0" applyAlignment="0" applyProtection="0"/>
    <xf numFmtId="0" fontId="17" fillId="0" borderId="2" applyNumberFormat="0" applyFill="0" applyAlignment="0" applyProtection="0"/>
    <xf numFmtId="0" fontId="13" fillId="21" borderId="3" applyNumberFormat="0" applyFont="0" applyAlignment="0" applyProtection="0"/>
    <xf numFmtId="0" fontId="18" fillId="7" borderId="1" applyNumberFormat="0" applyAlignment="0" applyProtection="0"/>
    <xf numFmtId="0" fontId="19" fillId="3" borderId="0" applyNumberFormat="0" applyBorder="0" applyAlignment="0" applyProtection="0"/>
    <xf numFmtId="0" fontId="20" fillId="22" borderId="0" applyNumberFormat="0" applyBorder="0" applyAlignment="0" applyProtection="0"/>
    <xf numFmtId="164" fontId="13" fillId="0" borderId="0"/>
    <xf numFmtId="0" fontId="21" fillId="4" borderId="0" applyNumberFormat="0" applyBorder="0" applyAlignment="0" applyProtection="0"/>
    <xf numFmtId="0" fontId="22" fillId="20" borderId="4"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0" borderId="5" applyNumberFormat="0" applyFill="0" applyAlignment="0" applyProtection="0"/>
    <xf numFmtId="0" fontId="26" fillId="0" borderId="6" applyNumberFormat="0" applyFill="0" applyAlignment="0" applyProtection="0"/>
    <xf numFmtId="0" fontId="27" fillId="0" borderId="7" applyNumberFormat="0" applyFill="0" applyAlignment="0" applyProtection="0"/>
    <xf numFmtId="0" fontId="27" fillId="0" borderId="0" applyNumberFormat="0" applyFill="0" applyBorder="0" applyAlignment="0" applyProtection="0"/>
    <xf numFmtId="0" fontId="28" fillId="0" borderId="8" applyNumberFormat="0" applyFill="0" applyAlignment="0" applyProtection="0"/>
    <xf numFmtId="0" fontId="29" fillId="23" borderId="9" applyNumberFormat="0" applyAlignment="0" applyProtection="0"/>
    <xf numFmtId="0" fontId="4" fillId="0" borderId="0"/>
    <xf numFmtId="0" fontId="3" fillId="0" borderId="0"/>
    <xf numFmtId="0" fontId="2" fillId="0" borderId="0"/>
    <xf numFmtId="0" fontId="42" fillId="0" borderId="0" applyNumberFormat="0" applyFill="0" applyBorder="0" applyAlignment="0" applyProtection="0">
      <alignment vertical="top"/>
      <protection locked="0"/>
    </xf>
    <xf numFmtId="9" fontId="2" fillId="0" borderId="0" applyFont="0" applyFill="0" applyBorder="0" applyAlignment="0" applyProtection="0"/>
    <xf numFmtId="44" fontId="2" fillId="0" borderId="0" applyFont="0" applyFill="0" applyBorder="0" applyAlignment="0" applyProtection="0"/>
    <xf numFmtId="0" fontId="2" fillId="0" borderId="0"/>
    <xf numFmtId="0" fontId="5" fillId="0" borderId="0"/>
    <xf numFmtId="0" fontId="1" fillId="0" borderId="0"/>
  </cellStyleXfs>
  <cellXfs count="410">
    <xf numFmtId="0" fontId="0" fillId="0" borderId="0" xfId="0"/>
    <xf numFmtId="0" fontId="0" fillId="0" borderId="0" xfId="0" applyAlignment="1">
      <alignment wrapText="1"/>
    </xf>
    <xf numFmtId="0" fontId="0" fillId="0" borderId="0" xfId="0" applyAlignment="1">
      <alignment horizontal="center"/>
    </xf>
    <xf numFmtId="0" fontId="6" fillId="0" borderId="0" xfId="0" applyFont="1"/>
    <xf numFmtId="0" fontId="0" fillId="0" borderId="0" xfId="0" applyAlignment="1">
      <alignment horizontal="centerContinuous"/>
    </xf>
    <xf numFmtId="0" fontId="9" fillId="0" borderId="0" xfId="0" applyFont="1" applyAlignment="1">
      <alignment horizontal="centerContinuous"/>
    </xf>
    <xf numFmtId="0" fontId="0" fillId="0" borderId="0" xfId="0" applyAlignment="1">
      <alignment horizontal="centerContinuous" vertical="center"/>
    </xf>
    <xf numFmtId="0" fontId="8" fillId="0" borderId="10" xfId="0" applyFont="1" applyBorder="1" applyAlignment="1">
      <alignment horizontal="centerContinuous" vertical="center"/>
    </xf>
    <xf numFmtId="0" fontId="0" fillId="0" borderId="10" xfId="0" applyBorder="1" applyAlignment="1">
      <alignment horizontal="centerContinuous" vertical="center"/>
    </xf>
    <xf numFmtId="0" fontId="11" fillId="0" borderId="0" xfId="0" applyFont="1"/>
    <xf numFmtId="0" fontId="12" fillId="0" borderId="0" xfId="0" applyFont="1" applyAlignment="1">
      <alignment horizontal="centerContinuous" vertical="center"/>
    </xf>
    <xf numFmtId="0" fontId="10" fillId="0" borderId="0" xfId="0" applyFont="1" applyFill="1" applyBorder="1" applyAlignment="1">
      <alignment horizontal="center" vertical="center" textRotation="90"/>
    </xf>
    <xf numFmtId="0" fontId="32" fillId="0" borderId="10" xfId="0" applyFont="1" applyFill="1" applyBorder="1" applyAlignment="1">
      <alignment horizontal="center" vertical="center"/>
    </xf>
    <xf numFmtId="0" fontId="30" fillId="0" borderId="0" xfId="0" applyFont="1"/>
    <xf numFmtId="0" fontId="33" fillId="0" borderId="0" xfId="0" applyFont="1" applyAlignment="1">
      <alignment horizontal="center" vertical="center"/>
    </xf>
    <xf numFmtId="0" fontId="0" fillId="0" borderId="0" xfId="0" applyAlignment="1">
      <alignment horizontal="left"/>
    </xf>
    <xf numFmtId="0" fontId="10" fillId="0" borderId="0" xfId="0" applyFont="1" applyAlignment="1">
      <alignment horizontal="center"/>
    </xf>
    <xf numFmtId="0" fontId="32" fillId="0" borderId="10" xfId="0" applyFont="1" applyFill="1" applyBorder="1" applyAlignment="1">
      <alignment horizontal="center" vertical="center" textRotation="90"/>
    </xf>
    <xf numFmtId="0" fontId="32" fillId="0" borderId="16" xfId="0" applyFont="1" applyFill="1" applyBorder="1" applyAlignment="1">
      <alignment horizontal="center" vertical="center" textRotation="90"/>
    </xf>
    <xf numFmtId="16" fontId="32" fillId="0" borderId="16" xfId="0" applyNumberFormat="1" applyFont="1" applyFill="1" applyBorder="1" applyAlignment="1">
      <alignment horizontal="center" vertical="center" textRotation="90"/>
    </xf>
    <xf numFmtId="0" fontId="32" fillId="0" borderId="12" xfId="0" applyFont="1" applyFill="1" applyBorder="1" applyAlignment="1">
      <alignment vertical="center" textRotation="90" wrapText="1"/>
    </xf>
    <xf numFmtId="0" fontId="34" fillId="0" borderId="0" xfId="44" applyFont="1" applyProtection="1"/>
    <xf numFmtId="0" fontId="34" fillId="0" borderId="0" xfId="44" applyFont="1" applyFill="1" applyProtection="1"/>
    <xf numFmtId="0" fontId="34" fillId="0" borderId="0" xfId="44" applyFont="1" applyFill="1" applyAlignment="1" applyProtection="1">
      <alignment horizontal="center" vertical="center"/>
    </xf>
    <xf numFmtId="0" fontId="34" fillId="0" borderId="17" xfId="44" applyFont="1" applyBorder="1" applyProtection="1"/>
    <xf numFmtId="0" fontId="34" fillId="0" borderId="0" xfId="44" applyFont="1" applyBorder="1" applyProtection="1"/>
    <xf numFmtId="0" fontId="0" fillId="0" borderId="0" xfId="0" applyAlignment="1">
      <alignment horizontal="center" vertical="center"/>
    </xf>
    <xf numFmtId="0" fontId="31" fillId="32" borderId="10" xfId="0" applyNumberFormat="1" applyFont="1" applyFill="1" applyBorder="1" applyAlignment="1">
      <alignment horizontal="center" vertical="center" wrapText="1"/>
    </xf>
    <xf numFmtId="0" fontId="31" fillId="25" borderId="10" xfId="0" applyNumberFormat="1" applyFont="1" applyFill="1" applyBorder="1" applyAlignment="1">
      <alignment horizontal="center" vertical="center" wrapText="1"/>
    </xf>
    <xf numFmtId="0" fontId="31" fillId="31" borderId="10" xfId="0" applyNumberFormat="1" applyFont="1" applyFill="1" applyBorder="1" applyAlignment="1">
      <alignment horizontal="center" vertical="center" wrapText="1"/>
    </xf>
    <xf numFmtId="0" fontId="31" fillId="29" borderId="10" xfId="0" applyNumberFormat="1" applyFont="1" applyFill="1" applyBorder="1" applyAlignment="1">
      <alignment horizontal="center" vertical="center" wrapText="1"/>
    </xf>
    <xf numFmtId="0" fontId="31" fillId="24" borderId="10" xfId="0" applyNumberFormat="1" applyFont="1" applyFill="1" applyBorder="1" applyAlignment="1">
      <alignment horizontal="center" vertical="center" wrapText="1"/>
    </xf>
    <xf numFmtId="0" fontId="31" fillId="26" borderId="10" xfId="0" applyNumberFormat="1" applyFont="1" applyFill="1" applyBorder="1" applyAlignment="1">
      <alignment horizontal="center" vertical="center" wrapText="1"/>
    </xf>
    <xf numFmtId="0" fontId="6" fillId="24" borderId="10" xfId="0" applyFont="1" applyFill="1" applyBorder="1" applyAlignment="1" applyProtection="1">
      <alignment horizontal="center" vertical="center" wrapText="1"/>
    </xf>
    <xf numFmtId="0" fontId="6" fillId="26" borderId="10" xfId="0" applyFont="1" applyFill="1" applyBorder="1" applyAlignment="1" applyProtection="1">
      <alignment horizontal="center" vertical="center" wrapText="1"/>
    </xf>
    <xf numFmtId="0" fontId="6" fillId="29" borderId="10" xfId="0" applyFont="1" applyFill="1" applyBorder="1" applyAlignment="1" applyProtection="1">
      <alignment horizontal="center" vertical="center" wrapText="1"/>
    </xf>
    <xf numFmtId="0" fontId="6" fillId="30" borderId="10" xfId="0" applyFont="1" applyFill="1" applyBorder="1" applyAlignment="1" applyProtection="1">
      <alignment horizontal="center" vertical="center" wrapText="1"/>
    </xf>
    <xf numFmtId="0" fontId="6" fillId="32" borderId="10" xfId="0" applyFont="1" applyFill="1" applyBorder="1" applyAlignment="1" applyProtection="1">
      <alignment horizontal="center" vertical="center" wrapText="1"/>
    </xf>
    <xf numFmtId="0" fontId="0" fillId="0" borderId="10" xfId="0" applyBorder="1" applyAlignment="1" applyProtection="1">
      <alignment horizontal="center" vertical="center"/>
    </xf>
    <xf numFmtId="0" fontId="0" fillId="0" borderId="10" xfId="0" applyBorder="1" applyAlignment="1" applyProtection="1">
      <alignment horizontal="left" vertical="center" wrapText="1"/>
    </xf>
    <xf numFmtId="0" fontId="7" fillId="0" borderId="10" xfId="0" applyFont="1" applyBorder="1" applyAlignment="1" applyProtection="1">
      <alignment horizontal="center" vertical="center"/>
    </xf>
    <xf numFmtId="0" fontId="6" fillId="0" borderId="10" xfId="0" applyFont="1" applyBorder="1" applyAlignment="1" applyProtection="1">
      <alignment horizontal="center" vertical="center"/>
    </xf>
    <xf numFmtId="0" fontId="5" fillId="0" borderId="10" xfId="0" applyFont="1" applyBorder="1" applyAlignment="1" applyProtection="1">
      <alignment horizontal="left" vertical="center"/>
    </xf>
    <xf numFmtId="0" fontId="5" fillId="0" borderId="10" xfId="0" applyFont="1" applyBorder="1" applyAlignment="1" applyProtection="1">
      <alignment horizontal="left" vertical="center" wrapText="1"/>
    </xf>
    <xf numFmtId="0" fontId="6" fillId="0" borderId="10" xfId="0" applyNumberFormat="1" applyFont="1" applyBorder="1" applyAlignment="1" applyProtection="1">
      <alignment horizontal="center" vertical="center"/>
    </xf>
    <xf numFmtId="0" fontId="36" fillId="0" borderId="10" xfId="0" applyNumberFormat="1" applyFont="1" applyBorder="1" applyAlignment="1" applyProtection="1">
      <alignment horizontal="center" vertical="center"/>
    </xf>
    <xf numFmtId="0" fontId="6" fillId="0" borderId="10" xfId="0" applyNumberFormat="1" applyFont="1" applyFill="1" applyBorder="1" applyAlignment="1" applyProtection="1">
      <alignment horizontal="center" vertical="center"/>
    </xf>
    <xf numFmtId="0" fontId="37" fillId="0" borderId="0" xfId="0" applyFont="1" applyAlignment="1">
      <alignment horizontal="centerContinuous"/>
    </xf>
    <xf numFmtId="0" fontId="38" fillId="36" borderId="0" xfId="45" applyFont="1" applyFill="1" applyAlignment="1">
      <alignment horizontal="center" vertical="center"/>
    </xf>
    <xf numFmtId="0" fontId="38" fillId="0" borderId="0" xfId="45" applyFont="1" applyFill="1" applyAlignment="1">
      <alignment horizontal="center" vertical="center"/>
    </xf>
    <xf numFmtId="0" fontId="34" fillId="0" borderId="0" xfId="45" applyFont="1"/>
    <xf numFmtId="0" fontId="34" fillId="0" borderId="0" xfId="45" applyFont="1" applyAlignment="1"/>
    <xf numFmtId="14" fontId="34" fillId="0" borderId="0" xfId="45" applyNumberFormat="1" applyFont="1" applyFill="1"/>
    <xf numFmtId="0" fontId="34" fillId="0" borderId="0" xfId="45" applyFont="1" applyFill="1"/>
    <xf numFmtId="0" fontId="34" fillId="0" borderId="0" xfId="45" applyFont="1" applyFill="1" applyAlignment="1">
      <alignment horizontal="center" vertical="center"/>
    </xf>
    <xf numFmtId="0" fontId="34" fillId="0" borderId="0" xfId="45" applyFont="1" applyFill="1" applyAlignment="1">
      <alignment horizontal="left" vertical="center"/>
    </xf>
    <xf numFmtId="0" fontId="34" fillId="0" borderId="0" xfId="45" applyFont="1" applyFill="1" applyAlignment="1">
      <alignment horizontal="center" vertical="center" wrapText="1"/>
    </xf>
    <xf numFmtId="0" fontId="35" fillId="34" borderId="0" xfId="45" applyFont="1" applyFill="1" applyAlignment="1">
      <alignment horizontal="center" vertical="center"/>
    </xf>
    <xf numFmtId="0" fontId="34" fillId="29" borderId="0" xfId="45" applyFont="1" applyFill="1"/>
    <xf numFmtId="0" fontId="34" fillId="29" borderId="0" xfId="45" applyFont="1" applyFill="1" applyAlignment="1">
      <alignment horizontal="left" vertical="center"/>
    </xf>
    <xf numFmtId="0" fontId="34" fillId="29" borderId="0" xfId="45" applyFont="1" applyFill="1" applyAlignment="1">
      <alignment horizontal="left"/>
    </xf>
    <xf numFmtId="0" fontId="34" fillId="0" borderId="0" xfId="45" applyFont="1" applyAlignment="1">
      <alignment horizontal="left"/>
    </xf>
    <xf numFmtId="14" fontId="38" fillId="36" borderId="0" xfId="45" applyNumberFormat="1" applyFont="1" applyFill="1"/>
    <xf numFmtId="0" fontId="38" fillId="36" borderId="0" xfId="45" applyFont="1" applyFill="1" applyBorder="1"/>
    <xf numFmtId="0" fontId="38" fillId="36" borderId="0" xfId="45" applyFont="1" applyFill="1"/>
    <xf numFmtId="0" fontId="34" fillId="0" borderId="0" xfId="45" applyFont="1" applyBorder="1"/>
    <xf numFmtId="0" fontId="34" fillId="0" borderId="0" xfId="45" applyFont="1" applyFill="1" applyBorder="1"/>
    <xf numFmtId="0" fontId="2" fillId="0" borderId="0" xfId="45"/>
    <xf numFmtId="0" fontId="39" fillId="0" borderId="0" xfId="45" applyFont="1"/>
    <xf numFmtId="0" fontId="34" fillId="0" borderId="0" xfId="45" applyFont="1" applyAlignment="1">
      <alignment horizontal="left" vertical="center"/>
    </xf>
    <xf numFmtId="0" fontId="38" fillId="36" borderId="0" xfId="45" applyFont="1" applyFill="1" applyAlignment="1">
      <alignment horizontal="left" vertical="center"/>
    </xf>
    <xf numFmtId="0" fontId="2" fillId="0" borderId="0" xfId="45" applyAlignment="1">
      <alignment horizontal="left" vertical="center"/>
    </xf>
    <xf numFmtId="0" fontId="34" fillId="0" borderId="0" xfId="45" applyFont="1" applyFill="1" applyAlignment="1">
      <alignment horizontal="left" vertical="center" wrapText="1"/>
    </xf>
    <xf numFmtId="0" fontId="40" fillId="0" borderId="0" xfId="45" applyFont="1"/>
    <xf numFmtId="0" fontId="41" fillId="0" borderId="0" xfId="45" applyFont="1" applyFill="1" applyBorder="1" applyAlignment="1">
      <alignment horizontal="left" vertical="center"/>
    </xf>
    <xf numFmtId="0" fontId="38" fillId="0" borderId="0" xfId="45" applyFont="1" applyFill="1" applyBorder="1" applyAlignment="1">
      <alignment horizontal="center" vertical="center"/>
    </xf>
    <xf numFmtId="14" fontId="34" fillId="0" borderId="0" xfId="45" applyNumberFormat="1" applyFont="1"/>
    <xf numFmtId="0" fontId="41" fillId="0" borderId="0" xfId="45" applyFont="1" applyFill="1" applyBorder="1"/>
    <xf numFmtId="0" fontId="34" fillId="0" borderId="0" xfId="45" applyFont="1" applyAlignment="1">
      <alignment wrapText="1"/>
    </xf>
    <xf numFmtId="0" fontId="44" fillId="0" borderId="0" xfId="45" applyFont="1" applyFill="1" applyAlignment="1">
      <alignment vertical="center"/>
    </xf>
    <xf numFmtId="0" fontId="45" fillId="0" borderId="0" xfId="45" applyFont="1" applyFill="1"/>
    <xf numFmtId="0" fontId="2" fillId="0" borderId="21" xfId="45" applyBorder="1"/>
    <xf numFmtId="0" fontId="2" fillId="0" borderId="0" xfId="45" applyBorder="1"/>
    <xf numFmtId="0" fontId="2" fillId="0" borderId="0" xfId="45" applyBorder="1" applyAlignment="1">
      <alignment wrapText="1"/>
    </xf>
    <xf numFmtId="0" fontId="2" fillId="0" borderId="17" xfId="45" applyBorder="1" applyAlignment="1">
      <alignment wrapText="1"/>
    </xf>
    <xf numFmtId="0" fontId="47" fillId="0" borderId="21" xfId="45" applyFont="1" applyBorder="1" applyAlignment="1">
      <alignment horizontal="center" vertical="center"/>
    </xf>
    <xf numFmtId="0" fontId="30" fillId="0" borderId="21" xfId="45" applyFont="1" applyBorder="1" applyAlignment="1">
      <alignment horizontal="center" vertical="center" wrapText="1"/>
    </xf>
    <xf numFmtId="0" fontId="49" fillId="0" borderId="21" xfId="45" applyFont="1" applyFill="1" applyBorder="1" applyAlignment="1">
      <alignment horizontal="center" vertical="center" wrapText="1"/>
    </xf>
    <xf numFmtId="0" fontId="30" fillId="0" borderId="27" xfId="45" applyFont="1" applyFill="1" applyBorder="1" applyAlignment="1">
      <alignment horizontal="center" vertical="center" wrapText="1" readingOrder="1"/>
    </xf>
    <xf numFmtId="0" fontId="30" fillId="0" borderId="28" xfId="45" applyFont="1" applyFill="1" applyBorder="1" applyAlignment="1">
      <alignment horizontal="center" vertical="center" wrapText="1"/>
    </xf>
    <xf numFmtId="0" fontId="30" fillId="0" borderId="29" xfId="45" applyFont="1" applyFill="1" applyBorder="1" applyAlignment="1">
      <alignment horizontal="center" vertical="center" wrapText="1" readingOrder="1"/>
    </xf>
    <xf numFmtId="0" fontId="30" fillId="0" borderId="10" xfId="45" applyFont="1" applyFill="1" applyBorder="1" applyAlignment="1">
      <alignment horizontal="center" vertical="center" wrapText="1" readingOrder="1"/>
    </xf>
    <xf numFmtId="0" fontId="30" fillId="0" borderId="14" xfId="45" applyFont="1" applyFill="1" applyBorder="1" applyAlignment="1">
      <alignment horizontal="center" vertical="center" wrapText="1"/>
    </xf>
    <xf numFmtId="0" fontId="30" fillId="0" borderId="24" xfId="45" applyFont="1" applyFill="1" applyBorder="1" applyAlignment="1">
      <alignment horizontal="center" vertical="center" wrapText="1" readingOrder="1"/>
    </xf>
    <xf numFmtId="0" fontId="49" fillId="0" borderId="12" xfId="45" applyFont="1" applyFill="1" applyBorder="1" applyAlignment="1">
      <alignment horizontal="center" vertical="center" wrapText="1" readingOrder="1"/>
    </xf>
    <xf numFmtId="0" fontId="49" fillId="0" borderId="31" xfId="45" applyFont="1" applyFill="1" applyBorder="1" applyAlignment="1">
      <alignment horizontal="center" vertical="center" wrapText="1"/>
    </xf>
    <xf numFmtId="0" fontId="49" fillId="0" borderId="25" xfId="45" applyFont="1" applyFill="1" applyBorder="1" applyAlignment="1">
      <alignment horizontal="center" vertical="center" wrapText="1" readingOrder="1"/>
    </xf>
    <xf numFmtId="0" fontId="30" fillId="0" borderId="12" xfId="45" applyFont="1" applyFill="1" applyBorder="1" applyAlignment="1">
      <alignment horizontal="center" vertical="center" wrapText="1" readingOrder="1"/>
    </xf>
    <xf numFmtId="0" fontId="30" fillId="0" borderId="31" xfId="45" applyFont="1" applyFill="1" applyBorder="1" applyAlignment="1">
      <alignment horizontal="center" vertical="center" wrapText="1"/>
    </xf>
    <xf numFmtId="0" fontId="30" fillId="0" borderId="24" xfId="45" applyFont="1" applyFill="1" applyBorder="1" applyAlignment="1">
      <alignment horizontal="center" vertical="center" wrapText="1"/>
    </xf>
    <xf numFmtId="0" fontId="30" fillId="0" borderId="32" xfId="45" applyFont="1" applyFill="1" applyBorder="1" applyAlignment="1">
      <alignment horizontal="center" vertical="center" wrapText="1"/>
    </xf>
    <xf numFmtId="0" fontId="51" fillId="0" borderId="27" xfId="45" applyFont="1" applyFill="1" applyBorder="1" applyAlignment="1">
      <alignment horizontal="center" vertical="center" wrapText="1"/>
    </xf>
    <xf numFmtId="0" fontId="51" fillId="0" borderId="28" xfId="45" applyFont="1" applyFill="1" applyBorder="1" applyAlignment="1">
      <alignment horizontal="center" vertical="center" wrapText="1"/>
    </xf>
    <xf numFmtId="0" fontId="51" fillId="0" borderId="29" xfId="45" applyFont="1" applyFill="1" applyBorder="1" applyAlignment="1">
      <alignment horizontal="center" vertical="center" wrapText="1"/>
    </xf>
    <xf numFmtId="0" fontId="30" fillId="0" borderId="10" xfId="45" applyFont="1" applyFill="1" applyBorder="1" applyAlignment="1">
      <alignment horizontal="center" vertical="center" wrapText="1"/>
    </xf>
    <xf numFmtId="0" fontId="51" fillId="0" borderId="10" xfId="45" applyFont="1" applyFill="1" applyBorder="1" applyAlignment="1">
      <alignment horizontal="center" vertical="center" wrapText="1"/>
    </xf>
    <xf numFmtId="0" fontId="51" fillId="0" borderId="24" xfId="45" applyFont="1" applyFill="1" applyBorder="1" applyAlignment="1">
      <alignment horizontal="center" vertical="center" wrapText="1"/>
    </xf>
    <xf numFmtId="0" fontId="51" fillId="0" borderId="34" xfId="45" applyFont="1" applyFill="1" applyBorder="1" applyAlignment="1">
      <alignment horizontal="center" vertical="center" wrapText="1"/>
    </xf>
    <xf numFmtId="0" fontId="30" fillId="0" borderId="35" xfId="45" applyFont="1" applyFill="1" applyBorder="1" applyAlignment="1">
      <alignment horizontal="center" vertical="center" wrapText="1"/>
    </xf>
    <xf numFmtId="0" fontId="30" fillId="0" borderId="34" xfId="45" applyFont="1" applyFill="1" applyBorder="1" applyAlignment="1">
      <alignment horizontal="center" vertical="center" wrapText="1"/>
    </xf>
    <xf numFmtId="0" fontId="50" fillId="0" borderId="21" xfId="45" applyFont="1" applyFill="1" applyBorder="1" applyAlignment="1">
      <alignment horizontal="center" vertical="center" wrapText="1"/>
    </xf>
    <xf numFmtId="0" fontId="2" fillId="0" borderId="21" xfId="45" applyBorder="1" applyAlignment="1">
      <alignment wrapText="1"/>
    </xf>
    <xf numFmtId="0" fontId="50" fillId="26" borderId="14" xfId="45" applyFont="1" applyFill="1" applyBorder="1" applyAlignment="1">
      <alignment horizontal="center" vertical="center" wrapText="1"/>
    </xf>
    <xf numFmtId="0" fontId="50" fillId="35" borderId="14" xfId="45" applyFont="1" applyFill="1" applyBorder="1" applyAlignment="1">
      <alignment horizontal="center" vertical="center" wrapText="1"/>
    </xf>
    <xf numFmtId="0" fontId="50" fillId="29" borderId="14" xfId="45" applyFont="1" applyFill="1" applyBorder="1" applyAlignment="1">
      <alignment horizontal="center" vertical="center" wrapText="1"/>
    </xf>
    <xf numFmtId="0" fontId="50" fillId="30" borderId="14" xfId="45" applyFont="1" applyFill="1" applyBorder="1" applyAlignment="1">
      <alignment horizontal="center" vertical="center" wrapText="1"/>
    </xf>
    <xf numFmtId="0" fontId="50" fillId="32" borderId="14" xfId="45" applyFont="1" applyFill="1" applyBorder="1" applyAlignment="1">
      <alignment horizontal="center" vertical="center" wrapText="1"/>
    </xf>
    <xf numFmtId="0" fontId="48" fillId="41" borderId="24" xfId="45" applyFont="1" applyFill="1" applyBorder="1" applyAlignment="1">
      <alignment horizontal="center" vertical="center" wrapText="1"/>
    </xf>
    <xf numFmtId="0" fontId="50" fillId="40" borderId="37" xfId="45" applyFont="1" applyFill="1" applyBorder="1" applyAlignment="1">
      <alignment horizontal="center" vertical="center" wrapText="1"/>
    </xf>
    <xf numFmtId="0" fontId="51" fillId="0" borderId="14" xfId="45" applyFont="1" applyBorder="1" applyAlignment="1">
      <alignment horizontal="center" vertical="center" wrapText="1"/>
    </xf>
    <xf numFmtId="0" fontId="51" fillId="0" borderId="24" xfId="45" applyFont="1" applyBorder="1" applyAlignment="1">
      <alignment horizontal="center" vertical="center" wrapText="1"/>
    </xf>
    <xf numFmtId="0" fontId="54" fillId="0" borderId="0" xfId="45" applyFont="1"/>
    <xf numFmtId="0" fontId="55" fillId="38" borderId="0" xfId="45" applyNumberFormat="1" applyFont="1" applyFill="1" applyBorder="1" applyAlignment="1" applyProtection="1">
      <alignment vertical="center"/>
    </xf>
    <xf numFmtId="0" fontId="56" fillId="38" borderId="12" xfId="45" applyFont="1" applyFill="1" applyBorder="1" applyAlignment="1">
      <alignment horizontal="center" vertical="center" wrapText="1"/>
    </xf>
    <xf numFmtId="0" fontId="47" fillId="0" borderId="0" xfId="45" applyFont="1" applyAlignment="1">
      <alignment horizontal="center"/>
    </xf>
    <xf numFmtId="0" fontId="34" fillId="0" borderId="10" xfId="45" applyFont="1" applyBorder="1" applyAlignment="1">
      <alignment horizontal="center" vertical="center" wrapText="1"/>
    </xf>
    <xf numFmtId="14" fontId="34" fillId="0" borderId="10" xfId="45" applyNumberFormat="1" applyFont="1" applyBorder="1" applyAlignment="1">
      <alignment horizontal="center" vertical="center" wrapText="1"/>
    </xf>
    <xf numFmtId="0" fontId="47" fillId="0" borderId="16" xfId="45" applyFont="1" applyBorder="1"/>
    <xf numFmtId="0" fontId="47" fillId="0" borderId="10" xfId="45" applyFont="1" applyBorder="1"/>
    <xf numFmtId="0" fontId="47" fillId="0" borderId="0" xfId="45" applyFont="1"/>
    <xf numFmtId="0" fontId="56" fillId="38" borderId="0" xfId="45" applyFont="1" applyFill="1" applyBorder="1" applyProtection="1"/>
    <xf numFmtId="0" fontId="57" fillId="0" borderId="0" xfId="45" applyFont="1" applyFill="1" applyBorder="1" applyProtection="1"/>
    <xf numFmtId="0" fontId="56" fillId="0" borderId="0" xfId="45" applyFont="1" applyFill="1" applyBorder="1" applyProtection="1"/>
    <xf numFmtId="0" fontId="56" fillId="38" borderId="0" xfId="45" applyFont="1" applyFill="1" applyBorder="1" applyAlignment="1" applyProtection="1">
      <alignment horizontal="right" vertical="center"/>
    </xf>
    <xf numFmtId="14" fontId="58" fillId="38" borderId="0" xfId="45" applyNumberFormat="1" applyFont="1" applyFill="1" applyBorder="1" applyAlignment="1" applyProtection="1">
      <alignment horizontal="left" vertical="center"/>
    </xf>
    <xf numFmtId="0" fontId="59" fillId="38" borderId="0" xfId="45" applyFont="1" applyFill="1" applyBorder="1" applyAlignment="1" applyProtection="1">
      <alignment horizontal="left" vertical="center"/>
    </xf>
    <xf numFmtId="0" fontId="56" fillId="38" borderId="0" xfId="45" applyFont="1" applyFill="1" applyBorder="1" applyAlignment="1" applyProtection="1">
      <alignment horizontal="center" vertical="center" wrapText="1"/>
    </xf>
    <xf numFmtId="0" fontId="57" fillId="38" borderId="0" xfId="45" applyNumberFormat="1" applyFont="1" applyFill="1" applyBorder="1" applyAlignment="1" applyProtection="1">
      <alignment horizontal="center" vertical="center" wrapText="1"/>
    </xf>
    <xf numFmtId="0" fontId="56" fillId="38" borderId="0" xfId="45" applyFont="1" applyFill="1" applyBorder="1" applyAlignment="1" applyProtection="1">
      <alignment horizontal="right" vertical="center" wrapText="1"/>
    </xf>
    <xf numFmtId="0" fontId="56" fillId="38" borderId="0" xfId="45" applyFont="1" applyFill="1" applyBorder="1" applyAlignment="1" applyProtection="1">
      <alignment horizontal="right" vertical="center" wrapText="1" indent="1"/>
    </xf>
    <xf numFmtId="14" fontId="60" fillId="44" borderId="45" xfId="45" applyNumberFormat="1" applyFont="1" applyFill="1" applyBorder="1" applyAlignment="1" applyProtection="1">
      <alignment horizontal="center" vertical="center" wrapText="1"/>
    </xf>
    <xf numFmtId="0" fontId="61" fillId="0" borderId="47" xfId="45" applyFont="1" applyFill="1" applyBorder="1" applyAlignment="1" applyProtection="1">
      <alignment horizontal="center" vertical="center" wrapText="1"/>
      <protection locked="0"/>
    </xf>
    <xf numFmtId="0" fontId="56" fillId="0" borderId="0" xfId="45" applyFont="1" applyFill="1" applyBorder="1" applyAlignment="1" applyProtection="1">
      <alignment horizontal="center" vertical="center" wrapText="1"/>
    </xf>
    <xf numFmtId="0" fontId="2" fillId="0" borderId="0" xfId="49"/>
    <xf numFmtId="0" fontId="2" fillId="0" borderId="0" xfId="49" applyAlignment="1">
      <alignment horizontal="center" vertical="center"/>
    </xf>
    <xf numFmtId="0" fontId="50" fillId="40" borderId="37" xfId="49" applyFont="1" applyFill="1" applyBorder="1" applyAlignment="1">
      <alignment horizontal="center" vertical="center" wrapText="1"/>
    </xf>
    <xf numFmtId="0" fontId="30" fillId="0" borderId="0" xfId="49" applyFont="1" applyFill="1" applyBorder="1" applyAlignment="1">
      <alignment horizontal="left" vertical="center" wrapText="1" readingOrder="1"/>
    </xf>
    <xf numFmtId="0" fontId="50" fillId="26" borderId="14" xfId="49" applyFont="1" applyFill="1" applyBorder="1" applyAlignment="1">
      <alignment horizontal="center" vertical="center" wrapText="1"/>
    </xf>
    <xf numFmtId="0" fontId="34" fillId="0" borderId="0" xfId="49" applyFont="1" applyFill="1" applyAlignment="1">
      <alignment horizontal="right" vertical="center"/>
    </xf>
    <xf numFmtId="0" fontId="2" fillId="0" borderId="0" xfId="49" applyAlignment="1">
      <alignment horizontal="left" vertical="center" indent="3"/>
    </xf>
    <xf numFmtId="0" fontId="50" fillId="35" borderId="14" xfId="49" applyFont="1" applyFill="1" applyBorder="1" applyAlignment="1">
      <alignment horizontal="center" vertical="center" wrapText="1"/>
    </xf>
    <xf numFmtId="0" fontId="50" fillId="29" borderId="14" xfId="49" applyFont="1" applyFill="1" applyBorder="1" applyAlignment="1">
      <alignment horizontal="center" vertical="center" wrapText="1"/>
    </xf>
    <xf numFmtId="0" fontId="50" fillId="30" borderId="14" xfId="49" applyFont="1" applyFill="1" applyBorder="1" applyAlignment="1">
      <alignment horizontal="center" vertical="center" wrapText="1"/>
    </xf>
    <xf numFmtId="0" fontId="50" fillId="32" borderId="14" xfId="49" applyFont="1" applyFill="1" applyBorder="1" applyAlignment="1">
      <alignment horizontal="center" vertical="center" wrapText="1"/>
    </xf>
    <xf numFmtId="0" fontId="48" fillId="41" borderId="14" xfId="49" applyFont="1" applyFill="1" applyBorder="1" applyAlignment="1">
      <alignment horizontal="center" vertical="center" wrapText="1"/>
    </xf>
    <xf numFmtId="0" fontId="34" fillId="0" borderId="0" xfId="49" applyFont="1" applyAlignment="1">
      <alignment horizontal="right" vertical="center"/>
    </xf>
    <xf numFmtId="0" fontId="42" fillId="0" borderId="10" xfId="46" applyFill="1" applyBorder="1" applyAlignment="1" applyProtection="1">
      <alignment horizontal="center" vertical="center"/>
    </xf>
    <xf numFmtId="0" fontId="5" fillId="0" borderId="10" xfId="0" applyFont="1" applyBorder="1" applyAlignment="1" applyProtection="1">
      <alignment horizontal="center" vertical="center"/>
    </xf>
    <xf numFmtId="0" fontId="6" fillId="30" borderId="10" xfId="0" applyNumberFormat="1" applyFont="1" applyFill="1" applyBorder="1" applyAlignment="1">
      <alignment horizontal="center" vertical="center" wrapText="1"/>
    </xf>
    <xf numFmtId="0" fontId="6" fillId="28" borderId="10" xfId="0" applyNumberFormat="1" applyFont="1" applyFill="1" applyBorder="1" applyAlignment="1">
      <alignment horizontal="center" vertical="center" wrapText="1"/>
    </xf>
    <xf numFmtId="0" fontId="6" fillId="29" borderId="10" xfId="0" applyNumberFormat="1" applyFont="1" applyFill="1" applyBorder="1" applyAlignment="1">
      <alignment horizontal="center" vertical="center" wrapText="1"/>
    </xf>
    <xf numFmtId="0" fontId="6" fillId="24" borderId="10" xfId="0" applyNumberFormat="1" applyFont="1" applyFill="1" applyBorder="1" applyAlignment="1">
      <alignment horizontal="center" vertical="center" wrapText="1"/>
    </xf>
    <xf numFmtId="0" fontId="5" fillId="0" borderId="10" xfId="0" applyFont="1" applyBorder="1" applyAlignment="1" applyProtection="1">
      <alignment horizontal="center" vertical="center" wrapText="1"/>
    </xf>
    <xf numFmtId="0" fontId="63" fillId="0" borderId="12" xfId="0" applyFont="1" applyFill="1" applyBorder="1" applyAlignment="1">
      <alignment vertical="center" textRotation="90" wrapText="1"/>
    </xf>
    <xf numFmtId="0" fontId="63" fillId="0" borderId="16" xfId="0" applyFont="1" applyFill="1" applyBorder="1" applyAlignment="1">
      <alignment horizontal="center" vertical="center" textRotation="90"/>
    </xf>
    <xf numFmtId="16" fontId="63" fillId="0" borderId="16" xfId="0" applyNumberFormat="1" applyFont="1" applyFill="1" applyBorder="1" applyAlignment="1">
      <alignment horizontal="center" vertical="center" textRotation="90"/>
    </xf>
    <xf numFmtId="0" fontId="64" fillId="0" borderId="0" xfId="0" applyFont="1"/>
    <xf numFmtId="0" fontId="63" fillId="0" borderId="10" xfId="0" applyFont="1" applyBorder="1" applyAlignment="1">
      <alignment horizontal="centerContinuous" vertical="center"/>
    </xf>
    <xf numFmtId="0" fontId="64" fillId="0" borderId="10" xfId="0" applyFont="1" applyBorder="1" applyAlignment="1">
      <alignment horizontal="centerContinuous" vertical="center"/>
    </xf>
    <xf numFmtId="0" fontId="63" fillId="0" borderId="10" xfId="0" applyFont="1" applyFill="1" applyBorder="1" applyAlignment="1">
      <alignment horizontal="center" vertical="center"/>
    </xf>
    <xf numFmtId="0" fontId="61" fillId="0" borderId="49" xfId="45" applyFont="1" applyFill="1" applyBorder="1" applyAlignment="1" applyProtection="1">
      <alignment horizontal="center" vertical="center" wrapText="1"/>
      <protection locked="0"/>
    </xf>
    <xf numFmtId="0" fontId="61" fillId="0" borderId="43" xfId="45" applyFont="1" applyFill="1" applyBorder="1" applyAlignment="1" applyProtection="1">
      <alignment horizontal="center" vertical="center" wrapText="1"/>
      <protection locked="0"/>
    </xf>
    <xf numFmtId="0" fontId="56" fillId="38" borderId="52" xfId="45" applyFont="1" applyFill="1" applyBorder="1" applyProtection="1"/>
    <xf numFmtId="0" fontId="56" fillId="38" borderId="52" xfId="45" applyFont="1" applyFill="1" applyBorder="1" applyAlignment="1" applyProtection="1">
      <alignment horizontal="right" vertical="center" wrapText="1"/>
    </xf>
    <xf numFmtId="0" fontId="60" fillId="44" borderId="53" xfId="45" applyFont="1" applyFill="1" applyBorder="1" applyAlignment="1" applyProtection="1">
      <alignment horizontal="center" vertical="center" wrapText="1"/>
    </xf>
    <xf numFmtId="0" fontId="56" fillId="45" borderId="54" xfId="45" applyFont="1" applyFill="1" applyBorder="1" applyAlignment="1" applyProtection="1">
      <alignment horizontal="left" vertical="center" wrapText="1"/>
    </xf>
    <xf numFmtId="0" fontId="56" fillId="45" borderId="55" xfId="45" applyFont="1" applyFill="1" applyBorder="1" applyAlignment="1" applyProtection="1">
      <alignment horizontal="left" vertical="center" wrapText="1"/>
    </xf>
    <xf numFmtId="0" fontId="56" fillId="38" borderId="58" xfId="45" applyFont="1" applyFill="1" applyBorder="1" applyProtection="1"/>
    <xf numFmtId="0" fontId="56" fillId="38" borderId="57" xfId="45" applyFont="1" applyFill="1" applyBorder="1" applyProtection="1"/>
    <xf numFmtId="0" fontId="34" fillId="0" borderId="0" xfId="45" applyFont="1" applyAlignment="1">
      <alignment horizontal="center" vertical="center"/>
    </xf>
    <xf numFmtId="0" fontId="34" fillId="0" borderId="0" xfId="49" applyFont="1" applyFill="1" applyAlignment="1">
      <alignment horizontal="center" vertical="center"/>
    </xf>
    <xf numFmtId="0" fontId="34" fillId="0" borderId="0" xfId="45" applyFont="1" applyAlignment="1">
      <alignment horizontal="center"/>
    </xf>
    <xf numFmtId="0" fontId="56" fillId="33" borderId="12" xfId="45" applyFont="1" applyFill="1" applyBorder="1" applyAlignment="1">
      <alignment horizontal="center" vertical="center" wrapText="1"/>
    </xf>
    <xf numFmtId="0" fontId="51" fillId="0" borderId="0" xfId="0" applyFont="1" applyBorder="1" applyAlignment="1">
      <alignment horizontal="center" vertical="center" wrapText="1"/>
    </xf>
    <xf numFmtId="0" fontId="0" fillId="0" borderId="0" xfId="0" applyFill="1" applyAlignment="1">
      <alignment wrapText="1"/>
    </xf>
    <xf numFmtId="0" fontId="51" fillId="0" borderId="0" xfId="0" applyFont="1" applyFill="1" applyBorder="1" applyAlignment="1">
      <alignment vertical="center" wrapText="1"/>
    </xf>
    <xf numFmtId="0" fontId="51" fillId="0" borderId="0" xfId="0" applyFont="1" applyFill="1" applyBorder="1" applyAlignment="1">
      <alignment horizontal="left" vertical="center" wrapText="1"/>
    </xf>
    <xf numFmtId="0" fontId="50" fillId="0" borderId="0" xfId="0" applyFont="1" applyFill="1" applyBorder="1" applyAlignment="1">
      <alignment horizontal="center" vertical="center" wrapText="1"/>
    </xf>
    <xf numFmtId="0" fontId="56" fillId="0" borderId="0" xfId="0" applyFont="1" applyBorder="1" applyAlignment="1">
      <alignment horizontal="center" wrapText="1"/>
    </xf>
    <xf numFmtId="0" fontId="30" fillId="0" borderId="17" xfId="43" applyFont="1" applyFill="1" applyBorder="1" applyAlignment="1">
      <alignment horizontal="center"/>
    </xf>
    <xf numFmtId="0" fontId="56" fillId="0" borderId="0" xfId="0" applyFont="1" applyBorder="1" applyAlignment="1">
      <alignment wrapText="1"/>
    </xf>
    <xf numFmtId="0" fontId="56" fillId="0" borderId="0" xfId="0" applyFont="1" applyBorder="1" applyAlignment="1">
      <alignment horizontal="left" wrapText="1"/>
    </xf>
    <xf numFmtId="0" fontId="51" fillId="0" borderId="0" xfId="49" applyFont="1" applyBorder="1" applyAlignment="1">
      <alignment horizontal="center" vertical="center" wrapText="1"/>
    </xf>
    <xf numFmtId="0" fontId="50" fillId="0" borderId="0" xfId="49" applyFont="1" applyFill="1" applyBorder="1" applyAlignment="1">
      <alignment horizontal="center" vertical="center" wrapText="1"/>
    </xf>
    <xf numFmtId="0" fontId="51" fillId="0" borderId="10" xfId="49" applyFont="1" applyBorder="1" applyAlignment="1">
      <alignment horizontal="left" vertical="center" wrapText="1"/>
    </xf>
    <xf numFmtId="0" fontId="51" fillId="0" borderId="10" xfId="49" applyFont="1" applyBorder="1" applyAlignment="1">
      <alignment horizontal="left" vertical="top" wrapText="1"/>
    </xf>
    <xf numFmtId="0" fontId="45" fillId="38" borderId="0" xfId="45" applyFont="1" applyFill="1" applyBorder="1" applyAlignment="1" applyProtection="1">
      <alignment horizontal="center" vertical="center"/>
    </xf>
    <xf numFmtId="0" fontId="66" fillId="38" borderId="0" xfId="45" applyFont="1" applyFill="1" applyBorder="1" applyAlignment="1" applyProtection="1">
      <alignment horizontal="right" vertical="center" wrapText="1" indent="1"/>
    </xf>
    <xf numFmtId="0" fontId="66" fillId="38" borderId="0" xfId="45" applyFont="1" applyFill="1" applyBorder="1" applyAlignment="1" applyProtection="1">
      <alignment horizontal="center" vertical="center" wrapText="1"/>
    </xf>
    <xf numFmtId="0" fontId="56" fillId="34" borderId="0" xfId="45" applyFont="1" applyFill="1" applyBorder="1" applyAlignment="1" applyProtection="1">
      <alignment horizontal="right" vertical="center" wrapText="1" indent="1"/>
    </xf>
    <xf numFmtId="0" fontId="56" fillId="34" borderId="52" xfId="45" applyFont="1" applyFill="1" applyBorder="1" applyAlignment="1" applyProtection="1">
      <alignment horizontal="right" vertical="center" wrapText="1"/>
    </xf>
    <xf numFmtId="0" fontId="61" fillId="0" borderId="71" xfId="45" applyFont="1" applyFill="1" applyBorder="1" applyAlignment="1" applyProtection="1">
      <alignment horizontal="center" vertical="center" wrapText="1"/>
      <protection locked="0"/>
    </xf>
    <xf numFmtId="0" fontId="61" fillId="0" borderId="61" xfId="45" applyFont="1" applyFill="1" applyBorder="1" applyAlignment="1" applyProtection="1">
      <alignment horizontal="center" vertical="center" wrapText="1"/>
      <protection locked="0"/>
    </xf>
    <xf numFmtId="0" fontId="56" fillId="45" borderId="72" xfId="45" applyFont="1" applyFill="1" applyBorder="1" applyAlignment="1" applyProtection="1">
      <alignment horizontal="left" vertical="center" wrapText="1"/>
    </xf>
    <xf numFmtId="14" fontId="60" fillId="44" borderId="60" xfId="45" applyNumberFormat="1" applyFont="1" applyFill="1" applyBorder="1" applyAlignment="1" applyProtection="1">
      <alignment horizontal="center" vertical="center" wrapText="1"/>
    </xf>
    <xf numFmtId="0" fontId="56" fillId="46" borderId="12" xfId="45" applyFont="1" applyFill="1" applyBorder="1" applyAlignment="1">
      <alignment horizontal="center" vertical="center" wrapText="1"/>
    </xf>
    <xf numFmtId="0" fontId="56" fillId="46" borderId="0" xfId="45" applyFont="1" applyFill="1" applyBorder="1" applyAlignment="1">
      <alignment horizontal="center" vertical="center" wrapText="1"/>
    </xf>
    <xf numFmtId="0" fontId="61" fillId="38" borderId="62" xfId="45" applyFont="1" applyFill="1" applyBorder="1" applyAlignment="1" applyProtection="1">
      <alignment horizontal="center" vertical="center" wrapText="1"/>
    </xf>
    <xf numFmtId="0" fontId="61" fillId="38" borderId="73" xfId="45" applyFont="1" applyFill="1" applyBorder="1" applyAlignment="1" applyProtection="1">
      <alignment horizontal="center" vertical="center" wrapText="1"/>
    </xf>
    <xf numFmtId="0" fontId="6" fillId="24" borderId="12" xfId="0" applyFont="1" applyFill="1" applyBorder="1" applyAlignment="1" applyProtection="1">
      <alignment horizontal="center" vertical="center"/>
    </xf>
    <xf numFmtId="0" fontId="6" fillId="24" borderId="14" xfId="0" applyFont="1" applyFill="1" applyBorder="1" applyAlignment="1" applyProtection="1">
      <alignment horizontal="center" vertical="center"/>
    </xf>
    <xf numFmtId="0" fontId="5" fillId="0" borderId="0" xfId="0" applyFont="1"/>
    <xf numFmtId="0" fontId="6" fillId="24" borderId="10" xfId="0" applyFont="1" applyFill="1" applyBorder="1" applyAlignment="1" applyProtection="1">
      <alignment horizontal="center" vertical="center"/>
    </xf>
    <xf numFmtId="0" fontId="6" fillId="32" borderId="10" xfId="0" applyNumberFormat="1" applyFont="1" applyFill="1" applyBorder="1" applyAlignment="1">
      <alignment horizontal="center" vertical="center" wrapText="1"/>
    </xf>
    <xf numFmtId="0" fontId="6" fillId="25" borderId="10" xfId="0" applyNumberFormat="1" applyFont="1" applyFill="1" applyBorder="1" applyAlignment="1">
      <alignment horizontal="center" vertical="center" wrapText="1"/>
    </xf>
    <xf numFmtId="0" fontId="6" fillId="31" borderId="10" xfId="0" applyNumberFormat="1" applyFont="1" applyFill="1" applyBorder="1" applyAlignment="1">
      <alignment horizontal="center" vertical="center" wrapText="1"/>
    </xf>
    <xf numFmtId="0" fontId="6" fillId="26" borderId="10" xfId="0" applyNumberFormat="1" applyFont="1" applyFill="1" applyBorder="1" applyAlignment="1">
      <alignment horizontal="center" vertical="center" wrapText="1"/>
    </xf>
    <xf numFmtId="0" fontId="32" fillId="0" borderId="16" xfId="0" applyFont="1" applyFill="1" applyBorder="1" applyAlignment="1">
      <alignment horizontal="center" vertical="center"/>
    </xf>
    <xf numFmtId="16" fontId="32" fillId="0" borderId="16" xfId="0" applyNumberFormat="1" applyFont="1" applyFill="1" applyBorder="1" applyAlignment="1">
      <alignment horizontal="center" vertical="center"/>
    </xf>
    <xf numFmtId="0" fontId="8" fillId="0" borderId="0" xfId="0" applyFont="1" applyBorder="1" applyAlignment="1">
      <alignment vertical="center" textRotation="90"/>
    </xf>
    <xf numFmtId="0" fontId="32" fillId="0" borderId="74" xfId="0" applyFont="1" applyFill="1" applyBorder="1" applyAlignment="1">
      <alignment vertical="center" wrapText="1"/>
    </xf>
    <xf numFmtId="0" fontId="5" fillId="0" borderId="0" xfId="0" applyFont="1" applyAlignment="1">
      <alignment wrapText="1"/>
    </xf>
    <xf numFmtId="0" fontId="6" fillId="27" borderId="12" xfId="0" applyFont="1" applyFill="1" applyBorder="1" applyAlignment="1" applyProtection="1">
      <alignment vertical="center"/>
    </xf>
    <xf numFmtId="0" fontId="6" fillId="27" borderId="12" xfId="0" applyFont="1" applyFill="1" applyBorder="1" applyAlignment="1" applyProtection="1">
      <alignment vertical="center" wrapText="1"/>
    </xf>
    <xf numFmtId="0" fontId="56" fillId="34" borderId="63" xfId="45" applyFont="1" applyFill="1" applyBorder="1" applyAlignment="1" applyProtection="1">
      <alignment horizontal="center" vertical="center" wrapText="1"/>
    </xf>
    <xf numFmtId="165" fontId="31" fillId="29" borderId="10" xfId="0" applyNumberFormat="1" applyFont="1" applyFill="1" applyBorder="1" applyAlignment="1">
      <alignment horizontal="center" vertical="center" wrapText="1"/>
    </xf>
    <xf numFmtId="165" fontId="31" fillId="30" borderId="10" xfId="0" applyNumberFormat="1" applyFont="1" applyFill="1" applyBorder="1" applyAlignment="1">
      <alignment horizontal="center" vertical="center" wrapText="1"/>
    </xf>
    <xf numFmtId="165" fontId="31" fillId="28" borderId="10" xfId="0" applyNumberFormat="1" applyFont="1" applyFill="1" applyBorder="1" applyAlignment="1">
      <alignment horizontal="center" vertical="center" wrapText="1"/>
    </xf>
    <xf numFmtId="165" fontId="31" fillId="24" borderId="10" xfId="0" applyNumberFormat="1" applyFont="1" applyFill="1" applyBorder="1" applyAlignment="1">
      <alignment horizontal="center" vertical="center" wrapText="1"/>
    </xf>
    <xf numFmtId="0" fontId="1" fillId="0" borderId="0" xfId="51"/>
    <xf numFmtId="0" fontId="71" fillId="41" borderId="10" xfId="51" applyFont="1" applyFill="1" applyBorder="1" applyAlignment="1">
      <alignment horizontal="center" vertical="center"/>
    </xf>
    <xf numFmtId="0" fontId="1" fillId="0" borderId="10" xfId="51" applyBorder="1" applyAlignment="1">
      <alignment horizontal="center" vertical="center"/>
    </xf>
    <xf numFmtId="0" fontId="1" fillId="30" borderId="10" xfId="51" applyFill="1" applyBorder="1"/>
    <xf numFmtId="0" fontId="1" fillId="32" borderId="10" xfId="51" applyFill="1" applyBorder="1"/>
    <xf numFmtId="0" fontId="70" fillId="32" borderId="10" xfId="51" applyFont="1" applyFill="1" applyBorder="1" applyAlignment="1">
      <alignment horizontal="center" vertical="center"/>
    </xf>
    <xf numFmtId="0" fontId="70" fillId="30" borderId="10" xfId="51" applyFont="1" applyFill="1" applyBorder="1" applyAlignment="1">
      <alignment horizontal="center" vertical="center"/>
    </xf>
    <xf numFmtId="0" fontId="1" fillId="29" borderId="10" xfId="51" applyFill="1" applyBorder="1"/>
    <xf numFmtId="0" fontId="70" fillId="29" borderId="10" xfId="51" applyFont="1" applyFill="1" applyBorder="1" applyAlignment="1">
      <alignment horizontal="center" vertical="center"/>
    </xf>
    <xf numFmtId="0" fontId="1" fillId="26" borderId="10" xfId="51" applyFill="1" applyBorder="1"/>
    <xf numFmtId="0" fontId="70" fillId="35" borderId="10" xfId="51" applyFont="1" applyFill="1" applyBorder="1" applyAlignment="1">
      <alignment horizontal="center" vertical="center"/>
    </xf>
    <xf numFmtId="0" fontId="70" fillId="0" borderId="0" xfId="51" applyFont="1" applyFill="1" applyBorder="1" applyAlignment="1">
      <alignment horizontal="center" vertical="center" wrapText="1"/>
    </xf>
    <xf numFmtId="0" fontId="70" fillId="26" borderId="10" xfId="51" applyFont="1" applyFill="1" applyBorder="1" applyAlignment="1">
      <alignment horizontal="center" vertical="center"/>
    </xf>
    <xf numFmtId="0" fontId="71" fillId="0" borderId="0" xfId="51" applyFont="1" applyFill="1" applyBorder="1" applyAlignment="1">
      <alignment horizontal="center" vertical="center" wrapText="1"/>
    </xf>
    <xf numFmtId="0" fontId="1" fillId="0" borderId="0" xfId="51" applyAlignment="1">
      <alignment horizontal="center" vertical="center"/>
    </xf>
    <xf numFmtId="0" fontId="1" fillId="0" borderId="0" xfId="51" applyFill="1" applyBorder="1"/>
    <xf numFmtId="0" fontId="38" fillId="0" borderId="0" xfId="51" applyFont="1" applyFill="1" applyBorder="1" applyAlignment="1">
      <alignment horizontal="left" vertical="center" wrapText="1"/>
    </xf>
    <xf numFmtId="0" fontId="34" fillId="0" borderId="0" xfId="51" applyFont="1" applyFill="1" applyBorder="1" applyAlignment="1">
      <alignment horizontal="left" vertical="center" wrapText="1"/>
    </xf>
    <xf numFmtId="0" fontId="1" fillId="0" borderId="0" xfId="51" applyAlignment="1">
      <alignment wrapText="1"/>
    </xf>
    <xf numFmtId="0" fontId="1" fillId="0" borderId="0" xfId="51" applyFill="1" applyBorder="1" applyAlignment="1">
      <alignment horizontal="center" vertical="center" wrapText="1"/>
    </xf>
    <xf numFmtId="0" fontId="1" fillId="0" borderId="0" xfId="51" applyBorder="1" applyAlignment="1">
      <alignment horizontal="center" vertical="center" wrapText="1"/>
    </xf>
    <xf numFmtId="0" fontId="70" fillId="50" borderId="10" xfId="51" applyFont="1" applyFill="1" applyBorder="1" applyAlignment="1">
      <alignment horizontal="center" vertical="center"/>
    </xf>
    <xf numFmtId="0" fontId="70" fillId="0" borderId="0" xfId="51" applyFont="1" applyFill="1" applyBorder="1" applyAlignment="1">
      <alignment horizontal="center" vertical="center"/>
    </xf>
    <xf numFmtId="0" fontId="56" fillId="0" borderId="54" xfId="45" applyFont="1" applyFill="1" applyBorder="1" applyAlignment="1" applyProtection="1">
      <alignment horizontal="center" vertical="center" wrapText="1"/>
      <protection locked="0"/>
    </xf>
    <xf numFmtId="0" fontId="56" fillId="0" borderId="53" xfId="45" applyFont="1" applyFill="1" applyBorder="1" applyAlignment="1" applyProtection="1">
      <alignment horizontal="center" vertical="center" wrapText="1"/>
      <protection locked="0"/>
    </xf>
    <xf numFmtId="14" fontId="56" fillId="0" borderId="79" xfId="45" applyNumberFormat="1" applyFont="1" applyFill="1" applyBorder="1" applyAlignment="1" applyProtection="1">
      <alignment horizontal="center" vertical="center" wrapText="1"/>
      <protection locked="0"/>
    </xf>
    <xf numFmtId="0" fontId="56" fillId="0" borderId="54" xfId="45" applyFont="1" applyFill="1" applyBorder="1" applyAlignment="1" applyProtection="1">
      <alignment horizontal="left" vertical="top" wrapText="1"/>
      <protection locked="0"/>
    </xf>
    <xf numFmtId="0" fontId="56" fillId="0" borderId="46" xfId="45" applyFont="1" applyFill="1" applyBorder="1" applyAlignment="1" applyProtection="1">
      <alignment horizontal="center" vertical="center" wrapText="1"/>
      <protection locked="0"/>
    </xf>
    <xf numFmtId="0" fontId="56" fillId="34" borderId="83" xfId="45" applyFont="1" applyFill="1" applyBorder="1" applyAlignment="1" applyProtection="1">
      <alignment horizontal="right" vertical="center" wrapText="1" indent="1"/>
    </xf>
    <xf numFmtId="0" fontId="56" fillId="34" borderId="84" xfId="45" applyFont="1" applyFill="1" applyBorder="1" applyAlignment="1" applyProtection="1">
      <alignment horizontal="right" vertical="center" wrapText="1" indent="1"/>
    </xf>
    <xf numFmtId="0" fontId="56" fillId="34" borderId="85" xfId="45" applyFont="1" applyFill="1" applyBorder="1" applyAlignment="1" applyProtection="1">
      <alignment horizontal="center" vertical="center" wrapText="1"/>
    </xf>
    <xf numFmtId="0" fontId="56" fillId="0" borderId="79" xfId="45" applyFont="1" applyFill="1" applyBorder="1" applyAlignment="1" applyProtection="1">
      <alignment horizontal="center" vertical="center" wrapText="1"/>
      <protection locked="0"/>
    </xf>
    <xf numFmtId="0" fontId="45" fillId="38" borderId="86" xfId="45" applyFont="1" applyFill="1" applyBorder="1" applyAlignment="1" applyProtection="1">
      <alignment horizontal="center" vertical="center"/>
    </xf>
    <xf numFmtId="0" fontId="56" fillId="40" borderId="87" xfId="45" applyFont="1" applyFill="1" applyBorder="1" applyAlignment="1" applyProtection="1">
      <alignment horizontal="right" vertical="center" wrapText="1" indent="1"/>
    </xf>
    <xf numFmtId="0" fontId="61" fillId="38" borderId="47" xfId="45" applyFont="1" applyFill="1" applyBorder="1" applyAlignment="1" applyProtection="1">
      <alignment horizontal="center" vertical="center" wrapText="1"/>
      <protection locked="0"/>
    </xf>
    <xf numFmtId="0" fontId="6" fillId="24" borderId="14" xfId="0" applyFont="1" applyFill="1" applyBorder="1" applyAlignment="1" applyProtection="1">
      <alignment horizontal="center" vertical="center"/>
    </xf>
    <xf numFmtId="0" fontId="6" fillId="24" borderId="12" xfId="0" applyFont="1" applyFill="1" applyBorder="1" applyAlignment="1" applyProtection="1">
      <alignment horizontal="center" vertical="center"/>
    </xf>
    <xf numFmtId="0" fontId="56" fillId="40" borderId="89" xfId="45" applyFont="1" applyFill="1" applyBorder="1" applyAlignment="1" applyProtection="1">
      <alignment horizontal="right" vertical="center" wrapText="1" indent="1"/>
    </xf>
    <xf numFmtId="0" fontId="61" fillId="38" borderId="90" xfId="45" applyFont="1" applyFill="1" applyBorder="1" applyAlignment="1" applyProtection="1">
      <alignment horizontal="center" vertical="center" wrapText="1"/>
    </xf>
    <xf numFmtId="0" fontId="61" fillId="38" borderId="93" xfId="45" applyFont="1" applyFill="1" applyBorder="1" applyAlignment="1" applyProtection="1">
      <alignment horizontal="center" vertical="center" wrapText="1"/>
    </xf>
    <xf numFmtId="0" fontId="67" fillId="0" borderId="10" xfId="0" applyFont="1" applyBorder="1" applyAlignment="1">
      <alignment horizontal="center" vertical="center"/>
    </xf>
    <xf numFmtId="0" fontId="56" fillId="0" borderId="72" xfId="45" applyFont="1" applyFill="1" applyBorder="1" applyAlignment="1" applyProtection="1">
      <alignment horizontal="center" vertical="center" wrapText="1"/>
      <protection locked="0"/>
    </xf>
    <xf numFmtId="0" fontId="56" fillId="0" borderId="80" xfId="45" applyFont="1" applyFill="1" applyBorder="1" applyAlignment="1" applyProtection="1">
      <alignment horizontal="center" vertical="center" wrapText="1"/>
      <protection locked="0"/>
    </xf>
    <xf numFmtId="0" fontId="60" fillId="46" borderId="44" xfId="45" applyFont="1" applyFill="1" applyBorder="1" applyAlignment="1" applyProtection="1">
      <alignment horizontal="center" vertical="center" wrapText="1"/>
    </xf>
    <xf numFmtId="0" fontId="0" fillId="46" borderId="56" xfId="0" applyFill="1" applyBorder="1"/>
    <xf numFmtId="0" fontId="45" fillId="38" borderId="48" xfId="45" applyFont="1" applyFill="1" applyBorder="1" applyAlignment="1" applyProtection="1">
      <alignment horizontal="center" vertical="center"/>
    </xf>
    <xf numFmtId="0" fontId="45" fillId="38" borderId="0" xfId="45" applyFont="1" applyFill="1" applyBorder="1" applyAlignment="1" applyProtection="1">
      <alignment horizontal="center" vertical="center"/>
    </xf>
    <xf numFmtId="0" fontId="56" fillId="0" borderId="41" xfId="45" applyFont="1" applyFill="1" applyBorder="1" applyAlignment="1" applyProtection="1">
      <alignment horizontal="center" vertical="center" wrapText="1"/>
      <protection locked="0"/>
    </xf>
    <xf numFmtId="0" fontId="56" fillId="0" borderId="42" xfId="45" applyFont="1" applyFill="1" applyBorder="1" applyAlignment="1" applyProtection="1">
      <alignment horizontal="center" vertical="center" wrapText="1"/>
      <protection locked="0"/>
    </xf>
    <xf numFmtId="0" fontId="60" fillId="46" borderId="68" xfId="45" applyFont="1" applyFill="1" applyBorder="1" applyAlignment="1" applyProtection="1">
      <alignment horizontal="center" vertical="center" wrapText="1"/>
    </xf>
    <xf numFmtId="0" fontId="0" fillId="46" borderId="78" xfId="0" applyFill="1" applyBorder="1"/>
    <xf numFmtId="0" fontId="60" fillId="46" borderId="82" xfId="45" applyFont="1" applyFill="1" applyBorder="1" applyAlignment="1" applyProtection="1">
      <alignment horizontal="center" vertical="center" wrapText="1"/>
    </xf>
    <xf numFmtId="0" fontId="60" fillId="46" borderId="78" xfId="45" applyFont="1" applyFill="1" applyBorder="1" applyAlignment="1" applyProtection="1">
      <alignment horizontal="center" vertical="center" wrapText="1"/>
    </xf>
    <xf numFmtId="0" fontId="60" fillId="44" borderId="44" xfId="45" applyFont="1" applyFill="1" applyBorder="1" applyAlignment="1" applyProtection="1">
      <alignment horizontal="center" vertical="center" wrapText="1"/>
    </xf>
    <xf numFmtId="0" fontId="60" fillId="44" borderId="45" xfId="45" applyFont="1" applyFill="1" applyBorder="1" applyAlignment="1" applyProtection="1">
      <alignment horizontal="center" vertical="center" wrapText="1"/>
    </xf>
    <xf numFmtId="0" fontId="60" fillId="44" borderId="56" xfId="45" applyFont="1" applyFill="1" applyBorder="1" applyAlignment="1" applyProtection="1">
      <alignment horizontal="center" vertical="center" wrapText="1"/>
    </xf>
    <xf numFmtId="0" fontId="56" fillId="34" borderId="59" xfId="45" applyFont="1" applyFill="1" applyBorder="1" applyAlignment="1" applyProtection="1">
      <alignment horizontal="center" vertical="center" wrapText="1"/>
    </xf>
    <xf numFmtId="0" fontId="56" fillId="34" borderId="81" xfId="45" applyFont="1" applyFill="1" applyBorder="1" applyAlignment="1" applyProtection="1">
      <alignment horizontal="center" vertical="center" wrapText="1"/>
    </xf>
    <xf numFmtId="0" fontId="56" fillId="34" borderId="0" xfId="45" applyFont="1" applyFill="1" applyBorder="1" applyAlignment="1" applyProtection="1">
      <alignment horizontal="center" vertical="center" wrapText="1"/>
    </xf>
    <xf numFmtId="0" fontId="56" fillId="34" borderId="52" xfId="45" applyFont="1" applyFill="1" applyBorder="1" applyAlignment="1" applyProtection="1">
      <alignment horizontal="center" vertical="center" wrapText="1"/>
    </xf>
    <xf numFmtId="0" fontId="56" fillId="34" borderId="50" xfId="45" applyFont="1" applyFill="1" applyBorder="1" applyAlignment="1" applyProtection="1">
      <alignment horizontal="center" vertical="center" wrapText="1"/>
    </xf>
    <xf numFmtId="0" fontId="56" fillId="34" borderId="51" xfId="45" applyFont="1" applyFill="1" applyBorder="1" applyAlignment="1" applyProtection="1">
      <alignment horizontal="center" vertical="center" wrapText="1"/>
    </xf>
    <xf numFmtId="0" fontId="60" fillId="46" borderId="63" xfId="45" applyFont="1" applyFill="1" applyBorder="1" applyAlignment="1" applyProtection="1">
      <alignment horizontal="center" vertical="center" wrapText="1"/>
    </xf>
    <xf numFmtId="0" fontId="60" fillId="46" borderId="64" xfId="45" applyFont="1" applyFill="1" applyBorder="1" applyAlignment="1" applyProtection="1">
      <alignment horizontal="center" vertical="center" wrapText="1"/>
    </xf>
    <xf numFmtId="0" fontId="60" fillId="46" borderId="45" xfId="45" applyFont="1" applyFill="1" applyBorder="1" applyAlignment="1" applyProtection="1">
      <alignment horizontal="center" vertical="center" wrapText="1"/>
    </xf>
    <xf numFmtId="0" fontId="60" fillId="46" borderId="56" xfId="45" applyFont="1" applyFill="1" applyBorder="1" applyAlignment="1" applyProtection="1">
      <alignment horizontal="center" vertical="center" wrapText="1"/>
    </xf>
    <xf numFmtId="0" fontId="60" fillId="47" borderId="65" xfId="45" applyFont="1" applyFill="1" applyBorder="1" applyAlignment="1" applyProtection="1">
      <alignment horizontal="center" vertical="center" wrapText="1"/>
    </xf>
    <xf numFmtId="0" fontId="60" fillId="47" borderId="66" xfId="45" applyFont="1" applyFill="1" applyBorder="1" applyAlignment="1" applyProtection="1">
      <alignment horizontal="center" vertical="center" wrapText="1"/>
    </xf>
    <xf numFmtId="0" fontId="60" fillId="47" borderId="67" xfId="45" applyFont="1" applyFill="1" applyBorder="1" applyAlignment="1" applyProtection="1">
      <alignment horizontal="center" vertical="center" wrapText="1"/>
    </xf>
    <xf numFmtId="0" fontId="60" fillId="39" borderId="65" xfId="45" applyFont="1" applyFill="1" applyBorder="1" applyAlignment="1" applyProtection="1">
      <alignment horizontal="center" vertical="center" wrapText="1"/>
    </xf>
    <xf numFmtId="0" fontId="60" fillId="39" borderId="66" xfId="45" applyFont="1" applyFill="1" applyBorder="1" applyAlignment="1" applyProtection="1">
      <alignment horizontal="center" vertical="center" wrapText="1"/>
    </xf>
    <xf numFmtId="0" fontId="60" fillId="39" borderId="67" xfId="45" applyFont="1" applyFill="1" applyBorder="1" applyAlignment="1" applyProtection="1">
      <alignment horizontal="center" vertical="center" wrapText="1"/>
    </xf>
    <xf numFmtId="0" fontId="60" fillId="44" borderId="60" xfId="45" applyFont="1" applyFill="1" applyBorder="1" applyAlignment="1" applyProtection="1">
      <alignment horizontal="center" vertical="center" wrapText="1"/>
    </xf>
    <xf numFmtId="0" fontId="60" fillId="44" borderId="68" xfId="45" applyFont="1" applyFill="1" applyBorder="1" applyAlignment="1" applyProtection="1">
      <alignment horizontal="center" vertical="center" wrapText="1"/>
    </xf>
    <xf numFmtId="0" fontId="60" fillId="44" borderId="69" xfId="45" applyFont="1" applyFill="1" applyBorder="1" applyAlignment="1" applyProtection="1">
      <alignment horizontal="center" vertical="center" wrapText="1"/>
    </xf>
    <xf numFmtId="0" fontId="60" fillId="44" borderId="70" xfId="45" applyFont="1" applyFill="1" applyBorder="1" applyAlignment="1" applyProtection="1">
      <alignment horizontal="center" vertical="center" wrapText="1"/>
    </xf>
    <xf numFmtId="0" fontId="61" fillId="38" borderId="94" xfId="45" applyFont="1" applyFill="1" applyBorder="1" applyAlignment="1" applyProtection="1">
      <alignment horizontal="center" vertical="center" wrapText="1"/>
    </xf>
    <xf numFmtId="0" fontId="61" fillId="38" borderId="95" xfId="45" applyFont="1" applyFill="1" applyBorder="1" applyAlignment="1" applyProtection="1">
      <alignment horizontal="center" vertical="center" wrapText="1"/>
    </xf>
    <xf numFmtId="0" fontId="56" fillId="45" borderId="96" xfId="45" applyFont="1" applyFill="1" applyBorder="1" applyAlignment="1" applyProtection="1">
      <alignment horizontal="center" vertical="center" wrapText="1"/>
    </xf>
    <xf numFmtId="0" fontId="56" fillId="45" borderId="97" xfId="45" applyFont="1" applyFill="1" applyBorder="1" applyAlignment="1" applyProtection="1">
      <alignment horizontal="center" vertical="center" wrapText="1"/>
    </xf>
    <xf numFmtId="0" fontId="56" fillId="45" borderId="88" xfId="45" applyFont="1" applyFill="1" applyBorder="1" applyAlignment="1" applyProtection="1">
      <alignment horizontal="center" vertical="center" wrapText="1"/>
    </xf>
    <xf numFmtId="0" fontId="56" fillId="45" borderId="56" xfId="45" applyFont="1" applyFill="1" applyBorder="1" applyAlignment="1" applyProtection="1">
      <alignment horizontal="center" vertical="center" wrapText="1"/>
    </xf>
    <xf numFmtId="0" fontId="61" fillId="38" borderId="91" xfId="45" applyFont="1" applyFill="1" applyBorder="1" applyAlignment="1" applyProtection="1">
      <alignment horizontal="center" vertical="center" wrapText="1"/>
    </xf>
    <xf numFmtId="0" fontId="61" fillId="38" borderId="92" xfId="45" applyFont="1" applyFill="1" applyBorder="1" applyAlignment="1" applyProtection="1">
      <alignment horizontal="center" vertical="center" wrapText="1"/>
    </xf>
    <xf numFmtId="0" fontId="34" fillId="0" borderId="0" xfId="45" applyFont="1" applyFill="1" applyAlignment="1">
      <alignment horizontal="left" vertical="top" wrapText="1"/>
    </xf>
    <xf numFmtId="0" fontId="43" fillId="39" borderId="0" xfId="46" applyFont="1" applyFill="1" applyAlignment="1" applyProtection="1">
      <alignment horizontal="center" vertical="center"/>
    </xf>
    <xf numFmtId="0" fontId="31" fillId="40" borderId="18" xfId="45" applyFont="1" applyFill="1" applyBorder="1" applyAlignment="1">
      <alignment horizontal="center" vertical="center" wrapText="1"/>
    </xf>
    <xf numFmtId="0" fontId="31" fillId="40" borderId="19" xfId="45" applyFont="1" applyFill="1" applyBorder="1" applyAlignment="1">
      <alignment horizontal="center" vertical="center" wrapText="1"/>
    </xf>
    <xf numFmtId="0" fontId="31" fillId="40" borderId="20" xfId="45" applyFont="1" applyFill="1" applyBorder="1" applyAlignment="1">
      <alignment horizontal="center" vertical="center" wrapText="1"/>
    </xf>
    <xf numFmtId="0" fontId="31" fillId="40" borderId="21" xfId="45" applyFont="1" applyFill="1" applyBorder="1" applyAlignment="1">
      <alignment horizontal="center" vertical="center" wrapText="1"/>
    </xf>
    <xf numFmtId="0" fontId="31" fillId="40" borderId="0" xfId="45" applyFont="1" applyFill="1" applyBorder="1" applyAlignment="1">
      <alignment horizontal="center" vertical="center" wrapText="1"/>
    </xf>
    <xf numFmtId="0" fontId="31" fillId="40" borderId="17" xfId="45" applyFont="1" applyFill="1" applyBorder="1" applyAlignment="1">
      <alignment horizontal="center" vertical="center" wrapText="1"/>
    </xf>
    <xf numFmtId="0" fontId="46" fillId="39" borderId="21" xfId="46" applyFont="1" applyFill="1" applyBorder="1" applyAlignment="1" applyProtection="1">
      <alignment horizontal="center" vertical="center" textRotation="90"/>
    </xf>
    <xf numFmtId="0" fontId="48" fillId="36" borderId="22" xfId="45" applyFont="1" applyFill="1" applyBorder="1" applyAlignment="1">
      <alignment horizontal="center" vertical="center" wrapText="1"/>
    </xf>
    <xf numFmtId="0" fontId="48" fillId="36" borderId="23" xfId="45" applyFont="1" applyFill="1" applyBorder="1" applyAlignment="1">
      <alignment horizontal="center" vertical="center" wrapText="1"/>
    </xf>
    <xf numFmtId="0" fontId="49" fillId="26" borderId="10" xfId="45" applyFont="1" applyFill="1" applyBorder="1" applyAlignment="1">
      <alignment horizontal="center" vertical="center" wrapText="1"/>
    </xf>
    <xf numFmtId="0" fontId="49" fillId="26" borderId="12" xfId="45" applyFont="1" applyFill="1" applyBorder="1" applyAlignment="1">
      <alignment horizontal="center" vertical="center" wrapText="1"/>
    </xf>
    <xf numFmtId="0" fontId="49" fillId="35" borderId="10" xfId="45" applyFont="1" applyFill="1" applyBorder="1" applyAlignment="1">
      <alignment horizontal="center" vertical="center" wrapText="1"/>
    </xf>
    <xf numFmtId="0" fontId="49" fillId="35" borderId="12" xfId="45" applyFont="1" applyFill="1" applyBorder="1" applyAlignment="1">
      <alignment horizontal="center" vertical="center" wrapText="1"/>
    </xf>
    <xf numFmtId="0" fontId="49" fillId="29" borderId="10" xfId="45" applyFont="1" applyFill="1" applyBorder="1" applyAlignment="1">
      <alignment horizontal="center" vertical="center" wrapText="1"/>
    </xf>
    <xf numFmtId="0" fontId="49" fillId="29" borderId="12" xfId="45" applyFont="1" applyFill="1" applyBorder="1" applyAlignment="1">
      <alignment horizontal="center" vertical="center" wrapText="1"/>
    </xf>
    <xf numFmtId="0" fontId="49" fillId="30" borderId="10" xfId="45" applyFont="1" applyFill="1" applyBorder="1" applyAlignment="1">
      <alignment horizontal="center" vertical="center" wrapText="1"/>
    </xf>
    <xf numFmtId="0" fontId="49" fillId="30" borderId="12" xfId="45" applyFont="1" applyFill="1" applyBorder="1" applyAlignment="1">
      <alignment horizontal="center" vertical="center" wrapText="1"/>
    </xf>
    <xf numFmtId="0" fontId="49" fillId="32" borderId="10" xfId="45" applyFont="1" applyFill="1" applyBorder="1" applyAlignment="1">
      <alignment horizontal="center" vertical="center" wrapText="1"/>
    </xf>
    <xf numFmtId="0" fontId="49" fillId="32" borderId="12" xfId="45" applyFont="1" applyFill="1" applyBorder="1" applyAlignment="1">
      <alignment horizontal="center" vertical="center" wrapText="1"/>
    </xf>
    <xf numFmtId="0" fontId="48" fillId="41" borderId="24" xfId="45" applyFont="1" applyFill="1" applyBorder="1" applyAlignment="1">
      <alignment horizontal="center" vertical="center" wrapText="1"/>
    </xf>
    <xf numFmtId="0" fontId="48" fillId="41" borderId="25" xfId="45" applyFont="1" applyFill="1" applyBorder="1" applyAlignment="1">
      <alignment horizontal="center" vertical="center" wrapText="1"/>
    </xf>
    <xf numFmtId="0" fontId="50" fillId="42" borderId="26" xfId="45" applyFont="1" applyFill="1" applyBorder="1" applyAlignment="1">
      <alignment horizontal="center" vertical="center" wrapText="1"/>
    </xf>
    <xf numFmtId="0" fontId="50" fillId="42" borderId="30" xfId="45" applyFont="1" applyFill="1" applyBorder="1" applyAlignment="1">
      <alignment horizontal="center" vertical="center" wrapText="1"/>
    </xf>
    <xf numFmtId="0" fontId="50" fillId="42" borderId="33" xfId="45" applyFont="1" applyFill="1" applyBorder="1" applyAlignment="1">
      <alignment horizontal="center" vertical="center" wrapText="1"/>
    </xf>
    <xf numFmtId="0" fontId="50" fillId="42" borderId="36" xfId="45" applyFont="1" applyFill="1" applyBorder="1" applyAlignment="1">
      <alignment horizontal="center" vertical="center" wrapText="1"/>
    </xf>
    <xf numFmtId="0" fontId="50" fillId="42" borderId="37" xfId="45" applyFont="1" applyFill="1" applyBorder="1" applyAlignment="1">
      <alignment horizontal="center" vertical="center" wrapText="1"/>
    </xf>
    <xf numFmtId="0" fontId="50" fillId="42" borderId="38" xfId="45" applyFont="1" applyFill="1" applyBorder="1" applyAlignment="1">
      <alignment horizontal="center" vertical="center" wrapText="1"/>
    </xf>
    <xf numFmtId="0" fontId="51" fillId="0" borderId="27" xfId="45" applyFont="1" applyFill="1" applyBorder="1" applyAlignment="1">
      <alignment horizontal="center" vertical="center" wrapText="1"/>
    </xf>
    <xf numFmtId="0" fontId="51" fillId="0" borderId="10" xfId="45" applyFont="1" applyFill="1" applyBorder="1" applyAlignment="1">
      <alignment horizontal="center" vertical="center" wrapText="1"/>
    </xf>
    <xf numFmtId="0" fontId="51" fillId="0" borderId="34" xfId="45" applyFont="1" applyFill="1" applyBorder="1" applyAlignment="1">
      <alignment horizontal="center" vertical="center" wrapText="1"/>
    </xf>
    <xf numFmtId="0" fontId="51" fillId="0" borderId="29" xfId="45" applyFont="1" applyFill="1" applyBorder="1" applyAlignment="1">
      <alignment horizontal="center" vertical="center" wrapText="1"/>
    </xf>
    <xf numFmtId="0" fontId="51" fillId="0" borderId="24" xfId="45" applyFont="1" applyFill="1" applyBorder="1" applyAlignment="1">
      <alignment horizontal="center" vertical="center" wrapText="1"/>
    </xf>
    <xf numFmtId="0" fontId="51" fillId="0" borderId="32" xfId="45" applyFont="1" applyFill="1" applyBorder="1" applyAlignment="1">
      <alignment horizontal="center" vertical="center" wrapText="1"/>
    </xf>
    <xf numFmtId="0" fontId="51" fillId="0" borderId="12" xfId="45" applyFont="1" applyFill="1" applyBorder="1" applyAlignment="1">
      <alignment horizontal="center" vertical="center" wrapText="1"/>
    </xf>
    <xf numFmtId="0" fontId="51" fillId="0" borderId="39" xfId="45" applyFont="1" applyFill="1" applyBorder="1" applyAlignment="1">
      <alignment horizontal="center" vertical="center" wrapText="1"/>
    </xf>
    <xf numFmtId="0" fontId="51" fillId="0" borderId="40" xfId="45" applyFont="1" applyFill="1" applyBorder="1" applyAlignment="1">
      <alignment horizontal="center" vertical="center" wrapText="1"/>
    </xf>
    <xf numFmtId="0" fontId="51" fillId="0" borderId="13" xfId="45" applyFont="1" applyFill="1" applyBorder="1" applyAlignment="1">
      <alignment horizontal="center" vertical="center" wrapText="1"/>
    </xf>
    <xf numFmtId="0" fontId="51" fillId="0" borderId="11" xfId="45" applyFont="1" applyFill="1" applyBorder="1" applyAlignment="1">
      <alignment horizontal="center" vertical="center" wrapText="1"/>
    </xf>
    <xf numFmtId="0" fontId="55" fillId="43" borderId="0" xfId="45" applyNumberFormat="1" applyFont="1" applyFill="1" applyBorder="1" applyAlignment="1" applyProtection="1">
      <alignment horizontal="left" vertical="center"/>
    </xf>
    <xf numFmtId="0" fontId="46" fillId="39" borderId="0" xfId="46" applyFont="1" applyFill="1" applyAlignment="1" applyProtection="1">
      <alignment horizontal="center" vertical="center"/>
    </xf>
    <xf numFmtId="0" fontId="53" fillId="37" borderId="0" xfId="45" applyFont="1" applyFill="1" applyAlignment="1">
      <alignment horizontal="center" vertical="center"/>
    </xf>
    <xf numFmtId="0" fontId="53" fillId="37" borderId="17" xfId="45" applyFont="1" applyFill="1" applyBorder="1" applyAlignment="1">
      <alignment horizontal="center" vertical="center"/>
    </xf>
    <xf numFmtId="0" fontId="51" fillId="0" borderId="12" xfId="49" applyFont="1" applyBorder="1" applyAlignment="1">
      <alignment horizontal="center" vertical="center" wrapText="1"/>
    </xf>
    <xf numFmtId="0" fontId="51" fillId="0" borderId="13" xfId="49" applyFont="1" applyBorder="1" applyAlignment="1">
      <alignment horizontal="center" vertical="center" wrapText="1"/>
    </xf>
    <xf numFmtId="0" fontId="51" fillId="0" borderId="11" xfId="49" applyFont="1" applyBorder="1" applyAlignment="1">
      <alignment horizontal="center" vertical="center" wrapText="1"/>
    </xf>
    <xf numFmtId="0" fontId="62" fillId="0" borderId="0" xfId="0" applyFont="1" applyAlignment="1">
      <alignment horizontal="center" vertical="center"/>
    </xf>
    <xf numFmtId="0" fontId="8" fillId="0" borderId="12" xfId="0" applyFont="1" applyBorder="1" applyAlignment="1">
      <alignment horizontal="center" vertical="center" textRotation="90"/>
    </xf>
    <xf numFmtId="0" fontId="8" fillId="0" borderId="13" xfId="0" applyFont="1" applyBorder="1" applyAlignment="1">
      <alignment horizontal="center" vertical="center" textRotation="90"/>
    </xf>
    <xf numFmtId="0" fontId="8" fillId="0" borderId="11" xfId="0" applyFont="1" applyBorder="1" applyAlignment="1">
      <alignment horizontal="center" vertical="center" textRotation="90"/>
    </xf>
    <xf numFmtId="0" fontId="8" fillId="0" borderId="10" xfId="0" applyFont="1" applyBorder="1" applyAlignment="1">
      <alignment horizontal="center" vertical="center"/>
    </xf>
    <xf numFmtId="0" fontId="8" fillId="0" borderId="10" xfId="0" applyFont="1" applyBorder="1" applyAlignment="1">
      <alignment horizontal="center" vertical="center" textRotation="90"/>
    </xf>
    <xf numFmtId="0" fontId="65" fillId="0" borderId="0" xfId="0" applyFont="1" applyAlignment="1">
      <alignment horizontal="center" vertical="center"/>
    </xf>
    <xf numFmtId="0" fontId="65" fillId="0" borderId="22" xfId="0" applyFont="1" applyBorder="1" applyAlignment="1">
      <alignment horizontal="center" vertical="center"/>
    </xf>
    <xf numFmtId="0" fontId="63" fillId="0" borderId="10" xfId="0" applyFont="1" applyBorder="1" applyAlignment="1">
      <alignment horizontal="center" vertical="center" textRotation="90"/>
    </xf>
    <xf numFmtId="0" fontId="32" fillId="0" borderId="12" xfId="0" applyFont="1" applyFill="1" applyBorder="1" applyAlignment="1">
      <alignment horizontal="center" vertical="center" textRotation="90"/>
    </xf>
    <xf numFmtId="0" fontId="32" fillId="0" borderId="13" xfId="0" applyFont="1" applyFill="1" applyBorder="1" applyAlignment="1">
      <alignment horizontal="center" vertical="center" textRotation="90"/>
    </xf>
    <xf numFmtId="0" fontId="32" fillId="0" borderId="11" xfId="0" applyFont="1" applyFill="1" applyBorder="1" applyAlignment="1">
      <alignment horizontal="center" vertical="center" textRotation="90"/>
    </xf>
    <xf numFmtId="0" fontId="8" fillId="0" borderId="10" xfId="0" applyFont="1" applyBorder="1" applyAlignment="1">
      <alignment horizontal="center" vertical="center" textRotation="90" wrapText="1"/>
    </xf>
    <xf numFmtId="0" fontId="69" fillId="0" borderId="31" xfId="51" applyFont="1" applyBorder="1" applyAlignment="1">
      <alignment horizontal="center" vertical="center"/>
    </xf>
    <xf numFmtId="0" fontId="69" fillId="0" borderId="75" xfId="51" applyFont="1" applyBorder="1" applyAlignment="1">
      <alignment horizontal="center" vertical="center"/>
    </xf>
    <xf numFmtId="0" fontId="69" fillId="0" borderId="74" xfId="51" applyFont="1" applyBorder="1" applyAlignment="1">
      <alignment horizontal="center" vertical="center"/>
    </xf>
    <xf numFmtId="0" fontId="69" fillId="0" borderId="76" xfId="51" applyFont="1" applyBorder="1" applyAlignment="1">
      <alignment horizontal="center" vertical="center"/>
    </xf>
    <xf numFmtId="0" fontId="69" fillId="0" borderId="22" xfId="51" applyFont="1" applyBorder="1" applyAlignment="1">
      <alignment horizontal="center" vertical="center"/>
    </xf>
    <xf numFmtId="0" fontId="69" fillId="0" borderId="77" xfId="51" applyFont="1" applyBorder="1" applyAlignment="1">
      <alignment horizontal="center" vertical="center"/>
    </xf>
    <xf numFmtId="0" fontId="70" fillId="48" borderId="10" xfId="51" applyFont="1" applyFill="1" applyBorder="1" applyAlignment="1">
      <alignment horizontal="center" vertical="center" textRotation="90" wrapText="1"/>
    </xf>
    <xf numFmtId="0" fontId="70" fillId="48" borderId="10" xfId="51" applyFont="1" applyFill="1" applyBorder="1" applyAlignment="1">
      <alignment horizontal="center" vertical="center" textRotation="90"/>
    </xf>
    <xf numFmtId="0" fontId="70" fillId="49" borderId="14" xfId="51" applyFont="1" applyFill="1" applyBorder="1" applyAlignment="1">
      <alignment horizontal="center" vertical="center"/>
    </xf>
    <xf numFmtId="0" fontId="70" fillId="49" borderId="15" xfId="51" applyFont="1" applyFill="1" applyBorder="1" applyAlignment="1">
      <alignment horizontal="center" vertical="center"/>
    </xf>
    <xf numFmtId="0" fontId="70" fillId="49" borderId="16" xfId="51" applyFont="1" applyFill="1" applyBorder="1" applyAlignment="1">
      <alignment horizontal="center" vertical="center"/>
    </xf>
    <xf numFmtId="0" fontId="70" fillId="0" borderId="10" xfId="51" applyFont="1" applyBorder="1" applyAlignment="1">
      <alignment horizontal="center" vertical="center" wrapText="1"/>
    </xf>
    <xf numFmtId="0" fontId="70" fillId="26" borderId="10" xfId="51" applyFont="1" applyFill="1" applyBorder="1" applyAlignment="1">
      <alignment horizontal="center" vertical="center"/>
    </xf>
    <xf numFmtId="0" fontId="70" fillId="29" borderId="10" xfId="51" applyFont="1" applyFill="1" applyBorder="1" applyAlignment="1">
      <alignment horizontal="center" vertical="center"/>
    </xf>
    <xf numFmtId="0" fontId="70" fillId="50" borderId="10" xfId="51" applyFont="1" applyFill="1" applyBorder="1" applyAlignment="1">
      <alignment horizontal="center" vertical="center"/>
    </xf>
    <xf numFmtId="0" fontId="70" fillId="32" borderId="10" xfId="51" applyFont="1" applyFill="1" applyBorder="1" applyAlignment="1">
      <alignment horizontal="center" vertical="center"/>
    </xf>
    <xf numFmtId="0" fontId="1" fillId="48" borderId="12" xfId="51" applyFill="1" applyBorder="1" applyAlignment="1">
      <alignment horizontal="center" vertical="center" textRotation="90" wrapText="1"/>
    </xf>
    <xf numFmtId="0" fontId="1" fillId="48" borderId="13" xfId="51" applyFill="1" applyBorder="1" applyAlignment="1">
      <alignment horizontal="center" vertical="center" textRotation="90" wrapText="1"/>
    </xf>
    <xf numFmtId="0" fontId="1" fillId="48" borderId="11" xfId="51" applyFill="1" applyBorder="1" applyAlignment="1">
      <alignment horizontal="center" vertical="center" textRotation="90" wrapText="1"/>
    </xf>
    <xf numFmtId="0" fontId="1" fillId="51" borderId="10" xfId="51" applyFill="1" applyBorder="1" applyAlignment="1">
      <alignment horizontal="center"/>
    </xf>
    <xf numFmtId="0" fontId="1" fillId="52" borderId="10" xfId="51" applyFill="1" applyBorder="1" applyAlignment="1">
      <alignment horizontal="center"/>
    </xf>
    <xf numFmtId="0" fontId="1" fillId="30" borderId="10" xfId="51" applyFill="1" applyBorder="1" applyAlignment="1">
      <alignment horizontal="center"/>
    </xf>
    <xf numFmtId="0" fontId="1" fillId="53" borderId="10" xfId="51" applyFill="1" applyBorder="1" applyAlignment="1">
      <alignment horizontal="center"/>
    </xf>
    <xf numFmtId="0" fontId="1" fillId="35" borderId="10" xfId="51" applyFill="1" applyBorder="1" applyAlignment="1">
      <alignment horizontal="center"/>
    </xf>
    <xf numFmtId="0" fontId="1" fillId="26" borderId="10" xfId="51" applyFill="1" applyBorder="1" applyAlignment="1">
      <alignment horizontal="center"/>
    </xf>
    <xf numFmtId="0" fontId="1" fillId="0" borderId="10" xfId="51" applyFill="1" applyBorder="1" applyAlignment="1">
      <alignment horizontal="center" vertical="center" wrapText="1"/>
    </xf>
    <xf numFmtId="0" fontId="1" fillId="0" borderId="10" xfId="51" applyBorder="1" applyAlignment="1">
      <alignment horizontal="center" vertical="center" wrapText="1"/>
    </xf>
    <xf numFmtId="0" fontId="69" fillId="0" borderId="10" xfId="51" applyFont="1" applyBorder="1" applyAlignment="1">
      <alignment horizontal="center" vertical="center"/>
    </xf>
    <xf numFmtId="0" fontId="1" fillId="0" borderId="10" xfId="51" applyBorder="1" applyAlignment="1">
      <alignment horizontal="center"/>
    </xf>
    <xf numFmtId="0" fontId="70" fillId="26" borderId="10" xfId="51" applyFont="1" applyFill="1" applyBorder="1" applyAlignment="1">
      <alignment horizontal="center" vertical="center" wrapText="1"/>
    </xf>
    <xf numFmtId="0" fontId="70" fillId="35" borderId="10" xfId="51" applyFont="1" applyFill="1" applyBorder="1" applyAlignment="1">
      <alignment horizontal="center" vertical="center" wrapText="1"/>
    </xf>
    <xf numFmtId="0" fontId="70" fillId="29" borderId="10" xfId="51" applyFont="1" applyFill="1" applyBorder="1" applyAlignment="1">
      <alignment horizontal="center" vertical="center" wrapText="1"/>
    </xf>
    <xf numFmtId="0" fontId="70" fillId="30" borderId="10" xfId="51" applyFont="1" applyFill="1" applyBorder="1" applyAlignment="1">
      <alignment horizontal="center" vertical="center" wrapText="1"/>
    </xf>
    <xf numFmtId="0" fontId="70" fillId="52" borderId="10" xfId="51" applyFont="1" applyFill="1" applyBorder="1" applyAlignment="1">
      <alignment horizontal="center" vertical="center" wrapText="1"/>
    </xf>
    <xf numFmtId="0" fontId="71" fillId="51" borderId="10" xfId="51" applyFont="1" applyFill="1" applyBorder="1" applyAlignment="1">
      <alignment horizontal="center" vertical="center" wrapText="1"/>
    </xf>
    <xf numFmtId="0" fontId="70" fillId="30" borderId="10" xfId="51" applyFont="1" applyFill="1" applyBorder="1" applyAlignment="1">
      <alignment horizontal="center" vertical="center"/>
    </xf>
    <xf numFmtId="0" fontId="70" fillId="49" borderId="10" xfId="51" applyFont="1" applyFill="1" applyBorder="1" applyAlignment="1">
      <alignment horizontal="center" vertical="center"/>
    </xf>
  </cellXfs>
  <cellStyles count="52">
    <cellStyle name="20 % - Accent1" xfId="1" builtinId="30" customBuiltin="1"/>
    <cellStyle name="20 % - Accent2" xfId="2" builtinId="34" customBuiltin="1"/>
    <cellStyle name="20 % - Accent3" xfId="3" builtinId="38" customBuiltin="1"/>
    <cellStyle name="20 % - Accent4" xfId="4" builtinId="42" customBuiltin="1"/>
    <cellStyle name="20 % - Accent5" xfId="5" builtinId="46" customBuiltin="1"/>
    <cellStyle name="20 % - Accent6" xfId="6" builtinId="50" customBuiltin="1"/>
    <cellStyle name="40 % - Accent1" xfId="7" builtinId="31" customBuiltin="1"/>
    <cellStyle name="40 % - Accent2" xfId="8" builtinId="35" customBuiltin="1"/>
    <cellStyle name="40 % - Accent3" xfId="9" builtinId="39" customBuiltin="1"/>
    <cellStyle name="40 % - Accent4" xfId="10" builtinId="43" customBuiltin="1"/>
    <cellStyle name="40 % - Accent5" xfId="11" builtinId="47" customBuiltin="1"/>
    <cellStyle name="40 % - Accent6" xfId="12" builtinId="51" customBuiltin="1"/>
    <cellStyle name="60 % - Accent1" xfId="13" builtinId="32" customBuiltin="1"/>
    <cellStyle name="60 % - Accent2" xfId="14" builtinId="36" customBuiltin="1"/>
    <cellStyle name="60 % - Accent3" xfId="15" builtinId="40" customBuiltin="1"/>
    <cellStyle name="60 % - Accent4" xfId="16" builtinId="44" customBuiltin="1"/>
    <cellStyle name="60 % - Accent5" xfId="17" builtinId="48" customBuiltin="1"/>
    <cellStyle name="60 %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Avertissement" xfId="25" builtinId="11" customBuiltin="1"/>
    <cellStyle name="Calcul" xfId="26" builtinId="22" customBuiltin="1"/>
    <cellStyle name="Cellule liée" xfId="27" builtinId="24" customBuiltin="1"/>
    <cellStyle name="Commentaire" xfId="28" builtinId="10" customBuiltin="1"/>
    <cellStyle name="Entrée" xfId="29" builtinId="20" customBuiltin="1"/>
    <cellStyle name="Insatisfaisant" xfId="30" builtinId="27" customBuiltin="1"/>
    <cellStyle name="Lien hypertexte" xfId="46" builtinId="8"/>
    <cellStyle name="Monétaire 2" xfId="48"/>
    <cellStyle name="Neutre" xfId="31" builtinId="28" customBuiltin="1"/>
    <cellStyle name="Normal" xfId="0" builtinId="0"/>
    <cellStyle name="Normal 2" xfId="43"/>
    <cellStyle name="Normal 3" xfId="32"/>
    <cellStyle name="Normal 4" xfId="44"/>
    <cellStyle name="Normal 4 2" xfId="49"/>
    <cellStyle name="Normal 5" xfId="45"/>
    <cellStyle name="Normal 6" xfId="50"/>
    <cellStyle name="Normal 7" xfId="51"/>
    <cellStyle name="Pourcentage 2" xfId="47"/>
    <cellStyle name="Satisfaisant" xfId="33" builtinId="26" customBuiltin="1"/>
    <cellStyle name="Sortie" xfId="34" builtinId="21" customBuiltin="1"/>
    <cellStyle name="Texte explicatif" xfId="35" builtinId="53" customBuiltin="1"/>
    <cellStyle name="Titre" xfId="36" builtinId="15" customBuiltin="1"/>
    <cellStyle name="Titre 1" xfId="37" builtinId="16" customBuiltin="1"/>
    <cellStyle name="Titre 2" xfId="38" builtinId="17" customBuiltin="1"/>
    <cellStyle name="Titre 3" xfId="39" builtinId="18" customBuiltin="1"/>
    <cellStyle name="Titre 4" xfId="40" builtinId="19" customBuiltin="1"/>
    <cellStyle name="Total" xfId="41" builtinId="25" customBuiltin="1"/>
    <cellStyle name="Vérification" xfId="42" builtinId="23" customBuiltin="1"/>
  </cellStyles>
  <dxfs count="71">
    <dxf>
      <fill>
        <gradientFill degree="90">
          <stop position="0">
            <color theme="0"/>
          </stop>
          <stop position="1">
            <color theme="6"/>
          </stop>
        </gradientFill>
      </fill>
    </dxf>
    <dxf>
      <fill>
        <gradientFill degree="90">
          <stop position="0">
            <color theme="0"/>
          </stop>
          <stop position="1">
            <color rgb="FF00B050"/>
          </stop>
        </gradientFill>
      </fill>
    </dxf>
    <dxf>
      <fill>
        <gradientFill degree="90">
          <stop position="0">
            <color theme="0"/>
          </stop>
          <stop position="1">
            <color theme="6"/>
          </stop>
        </gradientFill>
      </fill>
    </dxf>
    <dxf>
      <fill>
        <gradientFill degree="90">
          <stop position="0">
            <color theme="0"/>
          </stop>
          <stop position="1">
            <color rgb="FF00B050"/>
          </stop>
        </gradientFill>
      </fill>
    </dxf>
    <dxf>
      <fill>
        <gradientFill degree="90">
          <stop position="0">
            <color theme="0"/>
          </stop>
          <stop position="1">
            <color theme="6"/>
          </stop>
        </gradientFill>
      </fill>
    </dxf>
    <dxf>
      <fill>
        <gradientFill degree="90">
          <stop position="0">
            <color theme="0"/>
          </stop>
          <stop position="1">
            <color rgb="FFFFC000"/>
          </stop>
        </gradientFill>
      </fill>
    </dxf>
    <dxf>
      <fill>
        <gradientFill degree="90">
          <stop position="0">
            <color theme="0"/>
          </stop>
          <stop position="1">
            <color rgb="FFFF0000"/>
          </stop>
        </gradientFill>
      </fill>
    </dxf>
    <dxf>
      <fill>
        <gradientFill degree="90">
          <stop position="0">
            <color theme="0"/>
          </stop>
          <stop position="1">
            <color theme="1"/>
          </stop>
        </gradientFill>
      </fill>
    </dxf>
    <dxf>
      <fill>
        <gradientFill degree="90">
          <stop position="0">
            <color theme="0"/>
          </stop>
          <stop position="1">
            <color rgb="FF00B050"/>
          </stop>
        </gradientFill>
      </fill>
    </dxf>
    <dxf>
      <fill>
        <gradientFill degree="90">
          <stop position="0">
            <color theme="0"/>
          </stop>
          <stop position="1">
            <color rgb="FF92D050"/>
          </stop>
        </gradientFill>
      </fill>
    </dxf>
    <dxf>
      <fill>
        <gradientFill degree="90">
          <stop position="0">
            <color theme="0"/>
          </stop>
          <stop position="1">
            <color rgb="FFFFFF00"/>
          </stop>
        </gradientFill>
      </fill>
    </dxf>
    <dxf>
      <fill>
        <gradientFill degree="90">
          <stop position="0">
            <color theme="0"/>
          </stop>
          <stop position="1">
            <color rgb="FFCC6600"/>
          </stop>
        </gradientFill>
      </fill>
    </dxf>
    <dxf>
      <fill>
        <gradientFill degree="90">
          <stop position="0">
            <color theme="0"/>
          </stop>
          <stop position="1">
            <color rgb="FFFF0000"/>
          </stop>
        </gradientFill>
      </fill>
    </dxf>
    <dxf>
      <fill>
        <gradientFill degree="90">
          <stop position="0">
            <color theme="0"/>
          </stop>
          <stop position="1">
            <color theme="1"/>
          </stop>
        </gradientFill>
      </fill>
    </dxf>
    <dxf>
      <fill>
        <gradientFill degree="90">
          <stop position="0">
            <color theme="0"/>
          </stop>
          <stop position="1">
            <color rgb="FF00B050"/>
          </stop>
        </gradientFill>
      </fill>
    </dxf>
    <dxf>
      <fill>
        <gradientFill degree="90">
          <stop position="0">
            <color theme="0"/>
          </stop>
          <stop position="1">
            <color rgb="FFFF0000"/>
          </stop>
        </gradientFill>
      </fill>
    </dxf>
    <dxf>
      <fill>
        <gradientFill degree="90">
          <stop position="0">
            <color theme="0"/>
          </stop>
          <stop position="1">
            <color rgb="FFFFFF00"/>
          </stop>
        </gradientFill>
      </fill>
    </dxf>
    <dxf>
      <font>
        <b/>
        <i val="0"/>
      </font>
      <fill>
        <patternFill>
          <bgColor rgb="FF00B050"/>
        </patternFill>
      </fill>
    </dxf>
    <dxf>
      <font>
        <b/>
        <i val="0"/>
      </font>
      <fill>
        <patternFill>
          <bgColor rgb="FF92D050"/>
        </patternFill>
      </fill>
    </dxf>
    <dxf>
      <font>
        <b/>
        <i val="0"/>
      </font>
      <fill>
        <patternFill>
          <bgColor theme="5" tint="0.59996337778862885"/>
        </patternFill>
      </fill>
    </dxf>
    <dxf>
      <font>
        <b/>
        <i val="0"/>
      </font>
      <fill>
        <patternFill>
          <bgColor rgb="FFFFFF00"/>
        </patternFill>
      </fill>
    </dxf>
    <dxf>
      <font>
        <b/>
        <i val="0"/>
      </font>
      <fill>
        <patternFill>
          <bgColor theme="9"/>
        </patternFill>
      </fill>
    </dxf>
    <dxf>
      <fill>
        <patternFill>
          <bgColor rgb="FFFF0000"/>
        </patternFill>
      </fill>
    </dxf>
    <dxf>
      <font>
        <b/>
        <i val="0"/>
      </font>
      <fill>
        <patternFill>
          <bgColor rgb="FFFF0000"/>
        </patternFill>
      </fill>
    </dxf>
    <dxf>
      <font>
        <b/>
        <i val="0"/>
      </font>
      <fill>
        <patternFill>
          <bgColor rgb="FFFFC000"/>
        </patternFill>
      </fill>
    </dxf>
    <dxf>
      <font>
        <b/>
        <i val="0"/>
      </font>
      <fill>
        <patternFill>
          <bgColor rgb="FFFFFF00"/>
        </patternFill>
      </fill>
    </dxf>
    <dxf>
      <font>
        <b/>
        <i val="0"/>
      </font>
      <fill>
        <patternFill>
          <bgColor rgb="FF00B050"/>
        </patternFill>
      </fill>
    </dxf>
    <dxf>
      <font>
        <b/>
        <i val="0"/>
      </font>
      <fill>
        <patternFill>
          <bgColor rgb="FF00B050"/>
        </patternFill>
      </fill>
    </dxf>
    <dxf>
      <font>
        <b/>
        <i val="0"/>
      </font>
      <fill>
        <patternFill>
          <bgColor rgb="FFFFFF00"/>
        </patternFill>
      </fill>
    </dxf>
    <dxf>
      <fill>
        <patternFill>
          <bgColor rgb="FFFFC000"/>
        </patternFill>
      </fill>
    </dxf>
    <dxf>
      <font>
        <b/>
        <i val="0"/>
      </font>
      <fill>
        <patternFill>
          <bgColor rgb="FFFF0000"/>
        </patternFill>
      </fill>
    </dxf>
    <dxf>
      <font>
        <b/>
        <i val="0"/>
      </font>
      <fill>
        <patternFill>
          <bgColor rgb="FF00B050"/>
        </patternFill>
      </fill>
    </dxf>
    <dxf>
      <font>
        <b/>
        <i val="0"/>
      </font>
      <fill>
        <patternFill>
          <bgColor rgb="FF92D050"/>
        </patternFill>
      </fill>
    </dxf>
    <dxf>
      <font>
        <b/>
        <i val="0"/>
      </font>
      <fill>
        <patternFill>
          <bgColor theme="5" tint="0.59996337778862885"/>
        </patternFill>
      </fill>
    </dxf>
    <dxf>
      <font>
        <b/>
        <i val="0"/>
      </font>
      <fill>
        <patternFill>
          <bgColor rgb="FFFFFF00"/>
        </patternFill>
      </fill>
    </dxf>
    <dxf>
      <font>
        <b/>
        <i val="0"/>
      </font>
      <fill>
        <patternFill>
          <bgColor theme="9"/>
        </patternFill>
      </fill>
    </dxf>
    <dxf>
      <fill>
        <patternFill>
          <bgColor rgb="FFFF0000"/>
        </patternFill>
      </fill>
    </dxf>
    <dxf>
      <font>
        <b/>
        <i val="0"/>
      </font>
      <fill>
        <patternFill>
          <bgColor rgb="FFFF0000"/>
        </patternFill>
      </fill>
    </dxf>
    <dxf>
      <font>
        <b/>
        <i val="0"/>
      </font>
      <fill>
        <patternFill>
          <bgColor rgb="FFFFC000"/>
        </patternFill>
      </fill>
    </dxf>
    <dxf>
      <font>
        <b/>
        <i val="0"/>
      </font>
      <fill>
        <patternFill>
          <bgColor rgb="FFFFFF00"/>
        </patternFill>
      </fill>
    </dxf>
    <dxf>
      <font>
        <b/>
        <i val="0"/>
      </font>
      <fill>
        <patternFill>
          <bgColor rgb="FF00B050"/>
        </patternFill>
      </fill>
    </dxf>
    <dxf>
      <font>
        <b/>
        <i val="0"/>
      </font>
      <fill>
        <patternFill>
          <bgColor rgb="FF00B050"/>
        </patternFill>
      </fill>
    </dxf>
    <dxf>
      <font>
        <b/>
        <i val="0"/>
      </font>
      <fill>
        <patternFill>
          <bgColor rgb="FFFFFF00"/>
        </patternFill>
      </fill>
    </dxf>
    <dxf>
      <fill>
        <patternFill>
          <bgColor rgb="FFFFC000"/>
        </patternFill>
      </fill>
    </dxf>
    <dxf>
      <font>
        <b/>
        <i val="0"/>
      </font>
      <fill>
        <patternFill>
          <bgColor rgb="FFFF0000"/>
        </patternFill>
      </fill>
    </dxf>
    <dxf>
      <fill>
        <patternFill>
          <bgColor rgb="FF00B050"/>
        </patternFill>
      </fill>
    </dxf>
    <dxf>
      <fill>
        <patternFill>
          <bgColor rgb="FFFFFF00"/>
        </patternFill>
      </fill>
    </dxf>
    <dxf>
      <fill>
        <patternFill>
          <bgColor theme="9"/>
        </patternFill>
      </fill>
    </dxf>
    <dxf>
      <fill>
        <patternFill>
          <bgColor rgb="FFFF0000"/>
        </patternFill>
      </fill>
    </dxf>
    <dxf>
      <fill>
        <patternFill>
          <bgColor rgb="FF92D050"/>
        </patternFill>
      </fill>
    </dxf>
    <dxf>
      <fill>
        <patternFill>
          <bgColor rgb="FFFFC000"/>
        </patternFill>
      </fill>
    </dxf>
    <dxf>
      <fill>
        <gradientFill type="path" left="0.5" right="0.5" top="0.5" bottom="0.5">
          <stop position="0">
            <color rgb="FF00B050"/>
          </stop>
          <stop position="1">
            <color theme="0"/>
          </stop>
        </gradientFill>
      </fill>
    </dxf>
    <dxf>
      <fill>
        <gradientFill type="path" left="0.5" right="0.5" top="0.5" bottom="0.5">
          <stop position="0">
            <color rgb="FF92D050"/>
          </stop>
          <stop position="1">
            <color theme="0"/>
          </stop>
        </gradientFill>
      </fill>
    </dxf>
    <dxf>
      <fill>
        <gradientFill type="path" left="0.5" right="0.5" top="0.5" bottom="0.5">
          <stop position="0">
            <color rgb="FFFFFF00"/>
          </stop>
          <stop position="1">
            <color theme="0"/>
          </stop>
        </gradientFill>
      </fill>
    </dxf>
    <dxf>
      <fill>
        <gradientFill type="path" left="0.5" right="0.5" top="0.5" bottom="0.5">
          <stop position="0">
            <color rgb="FFCC6600"/>
          </stop>
          <stop position="1">
            <color theme="0"/>
          </stop>
        </gradientFill>
      </fill>
    </dxf>
    <dxf>
      <fill>
        <gradientFill type="path" left="0.5" right="0.5" top="0.5" bottom="0.5">
          <stop position="0">
            <color rgb="FFFF0000"/>
          </stop>
          <stop position="1">
            <color theme="0"/>
          </stop>
        </gradientFill>
      </fill>
    </dxf>
    <dxf>
      <font>
        <color theme="0"/>
      </font>
      <fill>
        <gradientFill type="path" left="0.5" right="0.5" top="0.5" bottom="0.5">
          <stop position="0">
            <color theme="1"/>
          </stop>
          <stop position="1">
            <color theme="0"/>
          </stop>
        </gradientFill>
      </fill>
    </dxf>
    <dxf>
      <fill>
        <patternFill>
          <bgColor rgb="FF00B050"/>
        </patternFill>
      </fill>
    </dxf>
    <dxf>
      <fill>
        <patternFill>
          <bgColor rgb="FFFFFF00"/>
        </patternFill>
      </fill>
    </dxf>
    <dxf>
      <fill>
        <patternFill>
          <bgColor rgb="FFFFC000"/>
        </patternFill>
      </fill>
    </dxf>
    <dxf>
      <fill>
        <patternFill>
          <bgColor rgb="FFFF0000"/>
        </patternFill>
      </fill>
    </dxf>
    <dxf>
      <font>
        <color theme="0"/>
      </font>
      <fill>
        <patternFill>
          <bgColor theme="1"/>
        </patternFill>
      </fill>
    </dxf>
    <dxf>
      <fill>
        <patternFill>
          <bgColor rgb="FFFFC000"/>
        </patternFill>
      </fill>
    </dxf>
    <dxf>
      <fill>
        <patternFill>
          <bgColor rgb="FF00B050"/>
        </patternFill>
      </fill>
    </dxf>
    <dxf>
      <fill>
        <patternFill>
          <bgColor rgb="FFFFFF00"/>
        </patternFill>
      </fill>
    </dxf>
    <dxf>
      <fill>
        <patternFill>
          <bgColor rgb="FF92D050"/>
        </patternFill>
      </fill>
    </dxf>
    <dxf>
      <fill>
        <patternFill>
          <bgColor rgb="FF00B050"/>
        </patternFill>
      </fill>
    </dxf>
    <dxf>
      <fill>
        <patternFill>
          <bgColor rgb="FFFF0000"/>
        </patternFill>
      </fill>
    </dxf>
    <dxf>
      <font>
        <color theme="0"/>
      </font>
      <fill>
        <patternFill>
          <bgColor theme="1" tint="4.9989318521683403E-2"/>
        </patternFill>
      </fill>
    </dxf>
    <dxf>
      <fill>
        <patternFill>
          <bgColor rgb="FF92D050"/>
        </patternFill>
      </fill>
    </dxf>
    <dxf>
      <fill>
        <patternFill>
          <bgColor rgb="FFFF0000"/>
        </patternFill>
      </fill>
    </dxf>
  </dxfs>
  <tableStyles count="0" defaultTableStyle="TableStyleMedium9" defaultPivotStyle="PivotStyleLight16"/>
  <colors>
    <mruColors>
      <color rgb="FFFBF69B"/>
      <color rgb="FFF7F8D4"/>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onnections" Target="connections.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416718</xdr:colOff>
      <xdr:row>4</xdr:row>
      <xdr:rowOff>221456</xdr:rowOff>
    </xdr:from>
    <xdr:to>
      <xdr:col>4</xdr:col>
      <xdr:colOff>797718</xdr:colOff>
      <xdr:row>4</xdr:row>
      <xdr:rowOff>602456</xdr:rowOff>
    </xdr:to>
    <xdr:sp macro="" textlink="">
      <xdr:nvSpPr>
        <xdr:cNvPr id="110" name="Ellipse 109"/>
        <xdr:cNvSpPr/>
      </xdr:nvSpPr>
      <xdr:spPr>
        <a:xfrm>
          <a:off x="1493043" y="1383506"/>
          <a:ext cx="381000" cy="381000"/>
        </a:xfrm>
        <a:prstGeom prst="ellipse">
          <a:avLst/>
        </a:prstGeom>
        <a:solidFill>
          <a:srgbClr val="000000"/>
        </a:solidFill>
        <a:ln>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5</xdr:col>
      <xdr:colOff>416718</xdr:colOff>
      <xdr:row>4</xdr:row>
      <xdr:rowOff>221456</xdr:rowOff>
    </xdr:from>
    <xdr:to>
      <xdr:col>5</xdr:col>
      <xdr:colOff>797718</xdr:colOff>
      <xdr:row>4</xdr:row>
      <xdr:rowOff>602456</xdr:rowOff>
    </xdr:to>
    <xdr:sp macro="" textlink="">
      <xdr:nvSpPr>
        <xdr:cNvPr id="111" name="Ellipse 110"/>
        <xdr:cNvSpPr/>
      </xdr:nvSpPr>
      <xdr:spPr>
        <a:xfrm>
          <a:off x="3540918" y="1383506"/>
          <a:ext cx="381000" cy="381000"/>
        </a:xfrm>
        <a:prstGeom prst="ellipse">
          <a:avLst/>
        </a:prstGeom>
        <a:solidFill>
          <a:srgbClr val="000000"/>
        </a:solidFill>
        <a:ln>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6</xdr:col>
      <xdr:colOff>416718</xdr:colOff>
      <xdr:row>4</xdr:row>
      <xdr:rowOff>221456</xdr:rowOff>
    </xdr:from>
    <xdr:to>
      <xdr:col>6</xdr:col>
      <xdr:colOff>797718</xdr:colOff>
      <xdr:row>4</xdr:row>
      <xdr:rowOff>602456</xdr:rowOff>
    </xdr:to>
    <xdr:sp macro="" textlink="">
      <xdr:nvSpPr>
        <xdr:cNvPr id="112" name="Ellipse 111"/>
        <xdr:cNvSpPr/>
      </xdr:nvSpPr>
      <xdr:spPr>
        <a:xfrm>
          <a:off x="5588793" y="1383506"/>
          <a:ext cx="381000" cy="381000"/>
        </a:xfrm>
        <a:prstGeom prst="ellipse">
          <a:avLst/>
        </a:prstGeom>
        <a:solidFill>
          <a:srgbClr val="000000"/>
        </a:solidFill>
        <a:ln>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7</xdr:col>
      <xdr:colOff>416718</xdr:colOff>
      <xdr:row>4</xdr:row>
      <xdr:rowOff>221456</xdr:rowOff>
    </xdr:from>
    <xdr:to>
      <xdr:col>7</xdr:col>
      <xdr:colOff>797718</xdr:colOff>
      <xdr:row>4</xdr:row>
      <xdr:rowOff>602456</xdr:rowOff>
    </xdr:to>
    <xdr:sp macro="" textlink="">
      <xdr:nvSpPr>
        <xdr:cNvPr id="113" name="Ellipse 112"/>
        <xdr:cNvSpPr/>
      </xdr:nvSpPr>
      <xdr:spPr>
        <a:xfrm>
          <a:off x="7636668" y="1383506"/>
          <a:ext cx="381000" cy="381000"/>
        </a:xfrm>
        <a:prstGeom prst="ellipse">
          <a:avLst/>
        </a:prstGeom>
        <a:solidFill>
          <a:srgbClr val="000000"/>
        </a:solidFill>
        <a:ln>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8</xdr:col>
      <xdr:colOff>416718</xdr:colOff>
      <xdr:row>4</xdr:row>
      <xdr:rowOff>221456</xdr:rowOff>
    </xdr:from>
    <xdr:to>
      <xdr:col>8</xdr:col>
      <xdr:colOff>797718</xdr:colOff>
      <xdr:row>4</xdr:row>
      <xdr:rowOff>602456</xdr:rowOff>
    </xdr:to>
    <xdr:sp macro="" textlink="">
      <xdr:nvSpPr>
        <xdr:cNvPr id="114" name="Ellipse 113"/>
        <xdr:cNvSpPr/>
      </xdr:nvSpPr>
      <xdr:spPr>
        <a:xfrm>
          <a:off x="9684543" y="1383506"/>
          <a:ext cx="381000" cy="381000"/>
        </a:xfrm>
        <a:prstGeom prst="ellipse">
          <a:avLst/>
        </a:prstGeom>
        <a:solidFill>
          <a:srgbClr val="000000"/>
        </a:solidFill>
        <a:ln>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9</xdr:col>
      <xdr:colOff>416718</xdr:colOff>
      <xdr:row>4</xdr:row>
      <xdr:rowOff>221456</xdr:rowOff>
    </xdr:from>
    <xdr:to>
      <xdr:col>9</xdr:col>
      <xdr:colOff>797718</xdr:colOff>
      <xdr:row>4</xdr:row>
      <xdr:rowOff>602456</xdr:rowOff>
    </xdr:to>
    <xdr:sp macro="" textlink="">
      <xdr:nvSpPr>
        <xdr:cNvPr id="115" name="Ellipse 114"/>
        <xdr:cNvSpPr/>
      </xdr:nvSpPr>
      <xdr:spPr>
        <a:xfrm>
          <a:off x="11732418" y="1383506"/>
          <a:ext cx="381000" cy="381000"/>
        </a:xfrm>
        <a:prstGeom prst="ellipse">
          <a:avLst/>
        </a:prstGeom>
        <a:solidFill>
          <a:srgbClr val="000000"/>
        </a:solidFill>
        <a:ln>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4</xdr:col>
      <xdr:colOff>416718</xdr:colOff>
      <xdr:row>5</xdr:row>
      <xdr:rowOff>221456</xdr:rowOff>
    </xdr:from>
    <xdr:to>
      <xdr:col>4</xdr:col>
      <xdr:colOff>797718</xdr:colOff>
      <xdr:row>5</xdr:row>
      <xdr:rowOff>602456</xdr:rowOff>
    </xdr:to>
    <xdr:sp macro="" textlink="">
      <xdr:nvSpPr>
        <xdr:cNvPr id="116" name="Ellipse 115"/>
        <xdr:cNvSpPr/>
      </xdr:nvSpPr>
      <xdr:spPr>
        <a:xfrm>
          <a:off x="1493043" y="2650331"/>
          <a:ext cx="381000" cy="381000"/>
        </a:xfrm>
        <a:prstGeom prst="ellipse">
          <a:avLst/>
        </a:prstGeom>
        <a:solidFill>
          <a:srgbClr val="000000"/>
        </a:solidFill>
        <a:ln>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5</xdr:col>
      <xdr:colOff>416718</xdr:colOff>
      <xdr:row>5</xdr:row>
      <xdr:rowOff>221456</xdr:rowOff>
    </xdr:from>
    <xdr:to>
      <xdr:col>5</xdr:col>
      <xdr:colOff>797718</xdr:colOff>
      <xdr:row>5</xdr:row>
      <xdr:rowOff>602456</xdr:rowOff>
    </xdr:to>
    <xdr:sp macro="" textlink="">
      <xdr:nvSpPr>
        <xdr:cNvPr id="117" name="Ellipse 116"/>
        <xdr:cNvSpPr/>
      </xdr:nvSpPr>
      <xdr:spPr>
        <a:xfrm>
          <a:off x="3540918" y="2650331"/>
          <a:ext cx="381000" cy="381000"/>
        </a:xfrm>
        <a:prstGeom prst="ellipse">
          <a:avLst/>
        </a:prstGeom>
        <a:solidFill>
          <a:srgbClr val="000000"/>
        </a:solidFill>
        <a:ln>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6</xdr:col>
      <xdr:colOff>416718</xdr:colOff>
      <xdr:row>5</xdr:row>
      <xdr:rowOff>221456</xdr:rowOff>
    </xdr:from>
    <xdr:to>
      <xdr:col>6</xdr:col>
      <xdr:colOff>797718</xdr:colOff>
      <xdr:row>5</xdr:row>
      <xdr:rowOff>602456</xdr:rowOff>
    </xdr:to>
    <xdr:sp macro="" textlink="">
      <xdr:nvSpPr>
        <xdr:cNvPr id="118" name="Ellipse 117"/>
        <xdr:cNvSpPr/>
      </xdr:nvSpPr>
      <xdr:spPr>
        <a:xfrm>
          <a:off x="5588793" y="2650331"/>
          <a:ext cx="381000" cy="381000"/>
        </a:xfrm>
        <a:prstGeom prst="ellipse">
          <a:avLst/>
        </a:prstGeom>
        <a:solidFill>
          <a:srgbClr val="000000"/>
        </a:solidFill>
        <a:ln>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7</xdr:col>
      <xdr:colOff>416718</xdr:colOff>
      <xdr:row>5</xdr:row>
      <xdr:rowOff>221456</xdr:rowOff>
    </xdr:from>
    <xdr:to>
      <xdr:col>7</xdr:col>
      <xdr:colOff>797718</xdr:colOff>
      <xdr:row>5</xdr:row>
      <xdr:rowOff>602456</xdr:rowOff>
    </xdr:to>
    <xdr:sp macro="" textlink="">
      <xdr:nvSpPr>
        <xdr:cNvPr id="119" name="Ellipse 118"/>
        <xdr:cNvSpPr/>
      </xdr:nvSpPr>
      <xdr:spPr>
        <a:xfrm>
          <a:off x="7636668" y="2650331"/>
          <a:ext cx="381000" cy="381000"/>
        </a:xfrm>
        <a:prstGeom prst="ellipse">
          <a:avLst/>
        </a:prstGeom>
        <a:solidFill>
          <a:srgbClr val="000000"/>
        </a:solidFill>
        <a:ln>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8</xdr:col>
      <xdr:colOff>416718</xdr:colOff>
      <xdr:row>5</xdr:row>
      <xdr:rowOff>221456</xdr:rowOff>
    </xdr:from>
    <xdr:to>
      <xdr:col>8</xdr:col>
      <xdr:colOff>797718</xdr:colOff>
      <xdr:row>5</xdr:row>
      <xdr:rowOff>602456</xdr:rowOff>
    </xdr:to>
    <xdr:sp macro="" textlink="">
      <xdr:nvSpPr>
        <xdr:cNvPr id="120" name="Ellipse 119"/>
        <xdr:cNvSpPr/>
      </xdr:nvSpPr>
      <xdr:spPr>
        <a:xfrm>
          <a:off x="9684543" y="2650331"/>
          <a:ext cx="381000" cy="381000"/>
        </a:xfrm>
        <a:prstGeom prst="ellipse">
          <a:avLst/>
        </a:prstGeom>
        <a:solidFill>
          <a:srgbClr val="000000"/>
        </a:solidFill>
        <a:ln>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9</xdr:col>
      <xdr:colOff>416718</xdr:colOff>
      <xdr:row>5</xdr:row>
      <xdr:rowOff>221456</xdr:rowOff>
    </xdr:from>
    <xdr:to>
      <xdr:col>9</xdr:col>
      <xdr:colOff>797718</xdr:colOff>
      <xdr:row>5</xdr:row>
      <xdr:rowOff>602456</xdr:rowOff>
    </xdr:to>
    <xdr:sp macro="" textlink="">
      <xdr:nvSpPr>
        <xdr:cNvPr id="121" name="Ellipse 120"/>
        <xdr:cNvSpPr/>
      </xdr:nvSpPr>
      <xdr:spPr>
        <a:xfrm>
          <a:off x="11732418" y="2650331"/>
          <a:ext cx="381000" cy="381000"/>
        </a:xfrm>
        <a:prstGeom prst="ellipse">
          <a:avLst/>
        </a:prstGeom>
        <a:solidFill>
          <a:srgbClr val="000000"/>
        </a:solidFill>
        <a:ln>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4</xdr:col>
      <xdr:colOff>416718</xdr:colOff>
      <xdr:row>6</xdr:row>
      <xdr:rowOff>221456</xdr:rowOff>
    </xdr:from>
    <xdr:to>
      <xdr:col>4</xdr:col>
      <xdr:colOff>797718</xdr:colOff>
      <xdr:row>6</xdr:row>
      <xdr:rowOff>602456</xdr:rowOff>
    </xdr:to>
    <xdr:sp macro="" textlink="">
      <xdr:nvSpPr>
        <xdr:cNvPr id="122" name="Ellipse 121"/>
        <xdr:cNvSpPr/>
      </xdr:nvSpPr>
      <xdr:spPr>
        <a:xfrm>
          <a:off x="1493043" y="3917156"/>
          <a:ext cx="381000" cy="381000"/>
        </a:xfrm>
        <a:prstGeom prst="ellipse">
          <a:avLst/>
        </a:prstGeom>
        <a:solidFill>
          <a:srgbClr val="000000"/>
        </a:solidFill>
        <a:ln>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5</xdr:col>
      <xdr:colOff>416718</xdr:colOff>
      <xdr:row>6</xdr:row>
      <xdr:rowOff>221456</xdr:rowOff>
    </xdr:from>
    <xdr:to>
      <xdr:col>5</xdr:col>
      <xdr:colOff>797718</xdr:colOff>
      <xdr:row>6</xdr:row>
      <xdr:rowOff>602456</xdr:rowOff>
    </xdr:to>
    <xdr:sp macro="" textlink="">
      <xdr:nvSpPr>
        <xdr:cNvPr id="123" name="Ellipse 122"/>
        <xdr:cNvSpPr/>
      </xdr:nvSpPr>
      <xdr:spPr>
        <a:xfrm>
          <a:off x="3540918" y="3917156"/>
          <a:ext cx="381000" cy="381000"/>
        </a:xfrm>
        <a:prstGeom prst="ellipse">
          <a:avLst/>
        </a:prstGeom>
        <a:solidFill>
          <a:srgbClr val="000000"/>
        </a:solidFill>
        <a:ln>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6</xdr:col>
      <xdr:colOff>416718</xdr:colOff>
      <xdr:row>6</xdr:row>
      <xdr:rowOff>221456</xdr:rowOff>
    </xdr:from>
    <xdr:to>
      <xdr:col>6</xdr:col>
      <xdr:colOff>797718</xdr:colOff>
      <xdr:row>6</xdr:row>
      <xdr:rowOff>602456</xdr:rowOff>
    </xdr:to>
    <xdr:sp macro="" textlink="">
      <xdr:nvSpPr>
        <xdr:cNvPr id="124" name="Ellipse 123"/>
        <xdr:cNvSpPr/>
      </xdr:nvSpPr>
      <xdr:spPr>
        <a:xfrm>
          <a:off x="5588793" y="3917156"/>
          <a:ext cx="381000" cy="381000"/>
        </a:xfrm>
        <a:prstGeom prst="ellipse">
          <a:avLst/>
        </a:prstGeom>
        <a:solidFill>
          <a:srgbClr val="000000"/>
        </a:solidFill>
        <a:ln>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7</xdr:col>
      <xdr:colOff>416718</xdr:colOff>
      <xdr:row>6</xdr:row>
      <xdr:rowOff>221456</xdr:rowOff>
    </xdr:from>
    <xdr:to>
      <xdr:col>7</xdr:col>
      <xdr:colOff>797718</xdr:colOff>
      <xdr:row>6</xdr:row>
      <xdr:rowOff>602456</xdr:rowOff>
    </xdr:to>
    <xdr:sp macro="" textlink="">
      <xdr:nvSpPr>
        <xdr:cNvPr id="125" name="Ellipse 124"/>
        <xdr:cNvSpPr/>
      </xdr:nvSpPr>
      <xdr:spPr>
        <a:xfrm>
          <a:off x="7636668" y="3917156"/>
          <a:ext cx="381000" cy="381000"/>
        </a:xfrm>
        <a:prstGeom prst="ellipse">
          <a:avLst/>
        </a:prstGeom>
        <a:solidFill>
          <a:srgbClr val="000000"/>
        </a:solidFill>
        <a:ln>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8</xdr:col>
      <xdr:colOff>416718</xdr:colOff>
      <xdr:row>6</xdr:row>
      <xdr:rowOff>221456</xdr:rowOff>
    </xdr:from>
    <xdr:to>
      <xdr:col>8</xdr:col>
      <xdr:colOff>797718</xdr:colOff>
      <xdr:row>6</xdr:row>
      <xdr:rowOff>602456</xdr:rowOff>
    </xdr:to>
    <xdr:sp macro="" textlink="">
      <xdr:nvSpPr>
        <xdr:cNvPr id="126" name="Ellipse 125"/>
        <xdr:cNvSpPr/>
      </xdr:nvSpPr>
      <xdr:spPr>
        <a:xfrm>
          <a:off x="9684543" y="3917156"/>
          <a:ext cx="381000" cy="381000"/>
        </a:xfrm>
        <a:prstGeom prst="ellipse">
          <a:avLst/>
        </a:prstGeom>
        <a:solidFill>
          <a:srgbClr val="000000"/>
        </a:solidFill>
        <a:ln>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9</xdr:col>
      <xdr:colOff>416718</xdr:colOff>
      <xdr:row>6</xdr:row>
      <xdr:rowOff>221456</xdr:rowOff>
    </xdr:from>
    <xdr:to>
      <xdr:col>9</xdr:col>
      <xdr:colOff>797718</xdr:colOff>
      <xdr:row>6</xdr:row>
      <xdr:rowOff>602456</xdr:rowOff>
    </xdr:to>
    <xdr:sp macro="" textlink="">
      <xdr:nvSpPr>
        <xdr:cNvPr id="127" name="Ellipse 126"/>
        <xdr:cNvSpPr/>
      </xdr:nvSpPr>
      <xdr:spPr>
        <a:xfrm>
          <a:off x="11732418" y="3917156"/>
          <a:ext cx="381000" cy="381000"/>
        </a:xfrm>
        <a:prstGeom prst="ellipse">
          <a:avLst/>
        </a:prstGeom>
        <a:solidFill>
          <a:srgbClr val="000000"/>
        </a:solidFill>
        <a:ln>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4</xdr:col>
      <xdr:colOff>416718</xdr:colOff>
      <xdr:row>7</xdr:row>
      <xdr:rowOff>221456</xdr:rowOff>
    </xdr:from>
    <xdr:to>
      <xdr:col>4</xdr:col>
      <xdr:colOff>797718</xdr:colOff>
      <xdr:row>7</xdr:row>
      <xdr:rowOff>602456</xdr:rowOff>
    </xdr:to>
    <xdr:sp macro="" textlink="">
      <xdr:nvSpPr>
        <xdr:cNvPr id="128" name="Ellipse 127"/>
        <xdr:cNvSpPr/>
      </xdr:nvSpPr>
      <xdr:spPr>
        <a:xfrm>
          <a:off x="1493043" y="5183981"/>
          <a:ext cx="381000" cy="381000"/>
        </a:xfrm>
        <a:prstGeom prst="ellipse">
          <a:avLst/>
        </a:prstGeom>
        <a:solidFill>
          <a:srgbClr val="000000"/>
        </a:solidFill>
        <a:ln>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5</xdr:col>
      <xdr:colOff>416718</xdr:colOff>
      <xdr:row>7</xdr:row>
      <xdr:rowOff>221456</xdr:rowOff>
    </xdr:from>
    <xdr:to>
      <xdr:col>5</xdr:col>
      <xdr:colOff>797718</xdr:colOff>
      <xdr:row>7</xdr:row>
      <xdr:rowOff>602456</xdr:rowOff>
    </xdr:to>
    <xdr:sp macro="" textlink="">
      <xdr:nvSpPr>
        <xdr:cNvPr id="129" name="Ellipse 128"/>
        <xdr:cNvSpPr/>
      </xdr:nvSpPr>
      <xdr:spPr>
        <a:xfrm>
          <a:off x="3540918" y="5183981"/>
          <a:ext cx="381000" cy="381000"/>
        </a:xfrm>
        <a:prstGeom prst="ellipse">
          <a:avLst/>
        </a:prstGeom>
        <a:solidFill>
          <a:srgbClr val="000000"/>
        </a:solidFill>
        <a:ln>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6</xdr:col>
      <xdr:colOff>416718</xdr:colOff>
      <xdr:row>7</xdr:row>
      <xdr:rowOff>221456</xdr:rowOff>
    </xdr:from>
    <xdr:to>
      <xdr:col>6</xdr:col>
      <xdr:colOff>797718</xdr:colOff>
      <xdr:row>7</xdr:row>
      <xdr:rowOff>602456</xdr:rowOff>
    </xdr:to>
    <xdr:sp macro="" textlink="">
      <xdr:nvSpPr>
        <xdr:cNvPr id="130" name="Ellipse 129"/>
        <xdr:cNvSpPr/>
      </xdr:nvSpPr>
      <xdr:spPr>
        <a:xfrm>
          <a:off x="5588793" y="5183981"/>
          <a:ext cx="381000" cy="381000"/>
        </a:xfrm>
        <a:prstGeom prst="ellipse">
          <a:avLst/>
        </a:prstGeom>
        <a:solidFill>
          <a:srgbClr val="000000"/>
        </a:solidFill>
        <a:ln>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7</xdr:col>
      <xdr:colOff>416718</xdr:colOff>
      <xdr:row>7</xdr:row>
      <xdr:rowOff>221456</xdr:rowOff>
    </xdr:from>
    <xdr:to>
      <xdr:col>7</xdr:col>
      <xdr:colOff>797718</xdr:colOff>
      <xdr:row>7</xdr:row>
      <xdr:rowOff>602456</xdr:rowOff>
    </xdr:to>
    <xdr:sp macro="" textlink="">
      <xdr:nvSpPr>
        <xdr:cNvPr id="131" name="Ellipse 130"/>
        <xdr:cNvSpPr/>
      </xdr:nvSpPr>
      <xdr:spPr>
        <a:xfrm>
          <a:off x="7636668" y="5183981"/>
          <a:ext cx="381000" cy="381000"/>
        </a:xfrm>
        <a:prstGeom prst="ellipse">
          <a:avLst/>
        </a:prstGeom>
        <a:solidFill>
          <a:srgbClr val="000000"/>
        </a:solidFill>
        <a:ln>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8</xdr:col>
      <xdr:colOff>416718</xdr:colOff>
      <xdr:row>7</xdr:row>
      <xdr:rowOff>221456</xdr:rowOff>
    </xdr:from>
    <xdr:to>
      <xdr:col>8</xdr:col>
      <xdr:colOff>797718</xdr:colOff>
      <xdr:row>7</xdr:row>
      <xdr:rowOff>602456</xdr:rowOff>
    </xdr:to>
    <xdr:sp macro="" textlink="">
      <xdr:nvSpPr>
        <xdr:cNvPr id="132" name="Ellipse 131"/>
        <xdr:cNvSpPr/>
      </xdr:nvSpPr>
      <xdr:spPr>
        <a:xfrm>
          <a:off x="9684543" y="5183981"/>
          <a:ext cx="381000" cy="381000"/>
        </a:xfrm>
        <a:prstGeom prst="ellipse">
          <a:avLst/>
        </a:prstGeom>
        <a:solidFill>
          <a:srgbClr val="000000"/>
        </a:solidFill>
        <a:ln>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9</xdr:col>
      <xdr:colOff>416718</xdr:colOff>
      <xdr:row>7</xdr:row>
      <xdr:rowOff>221456</xdr:rowOff>
    </xdr:from>
    <xdr:to>
      <xdr:col>9</xdr:col>
      <xdr:colOff>797718</xdr:colOff>
      <xdr:row>7</xdr:row>
      <xdr:rowOff>602456</xdr:rowOff>
    </xdr:to>
    <xdr:sp macro="" textlink="">
      <xdr:nvSpPr>
        <xdr:cNvPr id="133" name="Ellipse 132"/>
        <xdr:cNvSpPr/>
      </xdr:nvSpPr>
      <xdr:spPr>
        <a:xfrm>
          <a:off x="11732418" y="5183981"/>
          <a:ext cx="381000" cy="381000"/>
        </a:xfrm>
        <a:prstGeom prst="ellipse">
          <a:avLst/>
        </a:prstGeom>
        <a:solidFill>
          <a:srgbClr val="000000"/>
        </a:solidFill>
        <a:ln>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4</xdr:col>
      <xdr:colOff>416718</xdr:colOff>
      <xdr:row>8</xdr:row>
      <xdr:rowOff>221456</xdr:rowOff>
    </xdr:from>
    <xdr:to>
      <xdr:col>4</xdr:col>
      <xdr:colOff>797718</xdr:colOff>
      <xdr:row>8</xdr:row>
      <xdr:rowOff>602456</xdr:rowOff>
    </xdr:to>
    <xdr:sp macro="" textlink="">
      <xdr:nvSpPr>
        <xdr:cNvPr id="134" name="Ellipse 133"/>
        <xdr:cNvSpPr/>
      </xdr:nvSpPr>
      <xdr:spPr>
        <a:xfrm>
          <a:off x="1493043" y="6450806"/>
          <a:ext cx="381000" cy="381000"/>
        </a:xfrm>
        <a:prstGeom prst="ellipse">
          <a:avLst/>
        </a:prstGeom>
        <a:solidFill>
          <a:srgbClr val="000000"/>
        </a:solidFill>
        <a:ln>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5</xdr:col>
      <xdr:colOff>416718</xdr:colOff>
      <xdr:row>8</xdr:row>
      <xdr:rowOff>221456</xdr:rowOff>
    </xdr:from>
    <xdr:to>
      <xdr:col>5</xdr:col>
      <xdr:colOff>797718</xdr:colOff>
      <xdr:row>8</xdr:row>
      <xdr:rowOff>602456</xdr:rowOff>
    </xdr:to>
    <xdr:sp macro="" textlink="">
      <xdr:nvSpPr>
        <xdr:cNvPr id="135" name="Ellipse 134"/>
        <xdr:cNvSpPr/>
      </xdr:nvSpPr>
      <xdr:spPr>
        <a:xfrm>
          <a:off x="3540918" y="6450806"/>
          <a:ext cx="381000" cy="381000"/>
        </a:xfrm>
        <a:prstGeom prst="ellipse">
          <a:avLst/>
        </a:prstGeom>
        <a:solidFill>
          <a:srgbClr val="000000"/>
        </a:solidFill>
        <a:ln>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6</xdr:col>
      <xdr:colOff>416718</xdr:colOff>
      <xdr:row>8</xdr:row>
      <xdr:rowOff>221456</xdr:rowOff>
    </xdr:from>
    <xdr:to>
      <xdr:col>6</xdr:col>
      <xdr:colOff>797718</xdr:colOff>
      <xdr:row>8</xdr:row>
      <xdr:rowOff>602456</xdr:rowOff>
    </xdr:to>
    <xdr:sp macro="" textlink="">
      <xdr:nvSpPr>
        <xdr:cNvPr id="136" name="Ellipse 135"/>
        <xdr:cNvSpPr/>
      </xdr:nvSpPr>
      <xdr:spPr>
        <a:xfrm>
          <a:off x="5588793" y="6450806"/>
          <a:ext cx="381000" cy="381000"/>
        </a:xfrm>
        <a:prstGeom prst="ellipse">
          <a:avLst/>
        </a:prstGeom>
        <a:solidFill>
          <a:srgbClr val="000000"/>
        </a:solidFill>
        <a:ln>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7</xdr:col>
      <xdr:colOff>416718</xdr:colOff>
      <xdr:row>8</xdr:row>
      <xdr:rowOff>221456</xdr:rowOff>
    </xdr:from>
    <xdr:to>
      <xdr:col>7</xdr:col>
      <xdr:colOff>797718</xdr:colOff>
      <xdr:row>8</xdr:row>
      <xdr:rowOff>602456</xdr:rowOff>
    </xdr:to>
    <xdr:sp macro="" textlink="">
      <xdr:nvSpPr>
        <xdr:cNvPr id="137" name="Ellipse 136"/>
        <xdr:cNvSpPr/>
      </xdr:nvSpPr>
      <xdr:spPr>
        <a:xfrm>
          <a:off x="7636668" y="6450806"/>
          <a:ext cx="381000" cy="381000"/>
        </a:xfrm>
        <a:prstGeom prst="ellipse">
          <a:avLst/>
        </a:prstGeom>
        <a:solidFill>
          <a:srgbClr val="000000"/>
        </a:solidFill>
        <a:ln>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8</xdr:col>
      <xdr:colOff>416718</xdr:colOff>
      <xdr:row>8</xdr:row>
      <xdr:rowOff>221456</xdr:rowOff>
    </xdr:from>
    <xdr:to>
      <xdr:col>8</xdr:col>
      <xdr:colOff>797718</xdr:colOff>
      <xdr:row>8</xdr:row>
      <xdr:rowOff>602456</xdr:rowOff>
    </xdr:to>
    <xdr:sp macro="" textlink="">
      <xdr:nvSpPr>
        <xdr:cNvPr id="138" name="Ellipse 137"/>
        <xdr:cNvSpPr/>
      </xdr:nvSpPr>
      <xdr:spPr>
        <a:xfrm>
          <a:off x="9684543" y="6450806"/>
          <a:ext cx="381000" cy="381000"/>
        </a:xfrm>
        <a:prstGeom prst="ellipse">
          <a:avLst/>
        </a:prstGeom>
        <a:solidFill>
          <a:srgbClr val="000000"/>
        </a:solidFill>
        <a:ln>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9</xdr:col>
      <xdr:colOff>416718</xdr:colOff>
      <xdr:row>8</xdr:row>
      <xdr:rowOff>221456</xdr:rowOff>
    </xdr:from>
    <xdr:to>
      <xdr:col>9</xdr:col>
      <xdr:colOff>797718</xdr:colOff>
      <xdr:row>8</xdr:row>
      <xdr:rowOff>602456</xdr:rowOff>
    </xdr:to>
    <xdr:sp macro="" textlink="">
      <xdr:nvSpPr>
        <xdr:cNvPr id="139" name="Ellipse 138"/>
        <xdr:cNvSpPr/>
      </xdr:nvSpPr>
      <xdr:spPr>
        <a:xfrm>
          <a:off x="11732418" y="6450806"/>
          <a:ext cx="381000" cy="381000"/>
        </a:xfrm>
        <a:prstGeom prst="ellipse">
          <a:avLst/>
        </a:prstGeom>
        <a:solidFill>
          <a:srgbClr val="000000"/>
        </a:solidFill>
        <a:ln>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4</xdr:col>
      <xdr:colOff>416718</xdr:colOff>
      <xdr:row>9</xdr:row>
      <xdr:rowOff>221456</xdr:rowOff>
    </xdr:from>
    <xdr:to>
      <xdr:col>4</xdr:col>
      <xdr:colOff>797718</xdr:colOff>
      <xdr:row>9</xdr:row>
      <xdr:rowOff>602456</xdr:rowOff>
    </xdr:to>
    <xdr:sp macro="" textlink="">
      <xdr:nvSpPr>
        <xdr:cNvPr id="140" name="Ellipse 139"/>
        <xdr:cNvSpPr/>
      </xdr:nvSpPr>
      <xdr:spPr>
        <a:xfrm>
          <a:off x="1493043" y="7717631"/>
          <a:ext cx="381000" cy="381000"/>
        </a:xfrm>
        <a:prstGeom prst="ellipse">
          <a:avLst/>
        </a:prstGeom>
        <a:solidFill>
          <a:srgbClr val="000000"/>
        </a:solidFill>
        <a:ln>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5</xdr:col>
      <xdr:colOff>416718</xdr:colOff>
      <xdr:row>9</xdr:row>
      <xdr:rowOff>221456</xdr:rowOff>
    </xdr:from>
    <xdr:to>
      <xdr:col>5</xdr:col>
      <xdr:colOff>797718</xdr:colOff>
      <xdr:row>9</xdr:row>
      <xdr:rowOff>602456</xdr:rowOff>
    </xdr:to>
    <xdr:sp macro="" textlink="">
      <xdr:nvSpPr>
        <xdr:cNvPr id="141" name="Ellipse 140"/>
        <xdr:cNvSpPr/>
      </xdr:nvSpPr>
      <xdr:spPr>
        <a:xfrm>
          <a:off x="3540918" y="7717631"/>
          <a:ext cx="381000" cy="381000"/>
        </a:xfrm>
        <a:prstGeom prst="ellipse">
          <a:avLst/>
        </a:prstGeom>
        <a:solidFill>
          <a:srgbClr val="000000"/>
        </a:solidFill>
        <a:ln>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6</xdr:col>
      <xdr:colOff>416718</xdr:colOff>
      <xdr:row>9</xdr:row>
      <xdr:rowOff>221456</xdr:rowOff>
    </xdr:from>
    <xdr:to>
      <xdr:col>6</xdr:col>
      <xdr:colOff>797718</xdr:colOff>
      <xdr:row>9</xdr:row>
      <xdr:rowOff>602456</xdr:rowOff>
    </xdr:to>
    <xdr:sp macro="" textlink="">
      <xdr:nvSpPr>
        <xdr:cNvPr id="142" name="Ellipse 141"/>
        <xdr:cNvSpPr/>
      </xdr:nvSpPr>
      <xdr:spPr>
        <a:xfrm>
          <a:off x="5588793" y="7717631"/>
          <a:ext cx="381000" cy="381000"/>
        </a:xfrm>
        <a:prstGeom prst="ellipse">
          <a:avLst/>
        </a:prstGeom>
        <a:solidFill>
          <a:srgbClr val="000000"/>
        </a:solidFill>
        <a:ln>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7</xdr:col>
      <xdr:colOff>416718</xdr:colOff>
      <xdr:row>9</xdr:row>
      <xdr:rowOff>221456</xdr:rowOff>
    </xdr:from>
    <xdr:to>
      <xdr:col>7</xdr:col>
      <xdr:colOff>797718</xdr:colOff>
      <xdr:row>9</xdr:row>
      <xdr:rowOff>602456</xdr:rowOff>
    </xdr:to>
    <xdr:sp macro="" textlink="">
      <xdr:nvSpPr>
        <xdr:cNvPr id="143" name="Ellipse 142"/>
        <xdr:cNvSpPr/>
      </xdr:nvSpPr>
      <xdr:spPr>
        <a:xfrm>
          <a:off x="7636668" y="7717631"/>
          <a:ext cx="381000" cy="381000"/>
        </a:xfrm>
        <a:prstGeom prst="ellipse">
          <a:avLst/>
        </a:prstGeom>
        <a:solidFill>
          <a:srgbClr val="000000"/>
        </a:solidFill>
        <a:ln>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8</xdr:col>
      <xdr:colOff>416718</xdr:colOff>
      <xdr:row>9</xdr:row>
      <xdr:rowOff>221456</xdr:rowOff>
    </xdr:from>
    <xdr:to>
      <xdr:col>8</xdr:col>
      <xdr:colOff>797718</xdr:colOff>
      <xdr:row>9</xdr:row>
      <xdr:rowOff>602456</xdr:rowOff>
    </xdr:to>
    <xdr:sp macro="" textlink="">
      <xdr:nvSpPr>
        <xdr:cNvPr id="144" name="Ellipse 143"/>
        <xdr:cNvSpPr/>
      </xdr:nvSpPr>
      <xdr:spPr>
        <a:xfrm>
          <a:off x="9684543" y="7717631"/>
          <a:ext cx="381000" cy="381000"/>
        </a:xfrm>
        <a:prstGeom prst="ellipse">
          <a:avLst/>
        </a:prstGeom>
        <a:solidFill>
          <a:srgbClr val="000000"/>
        </a:solidFill>
        <a:ln>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9</xdr:col>
      <xdr:colOff>416718</xdr:colOff>
      <xdr:row>9</xdr:row>
      <xdr:rowOff>221456</xdr:rowOff>
    </xdr:from>
    <xdr:to>
      <xdr:col>9</xdr:col>
      <xdr:colOff>797718</xdr:colOff>
      <xdr:row>9</xdr:row>
      <xdr:rowOff>602456</xdr:rowOff>
    </xdr:to>
    <xdr:sp macro="" textlink="">
      <xdr:nvSpPr>
        <xdr:cNvPr id="145" name="Ellipse 144"/>
        <xdr:cNvSpPr/>
      </xdr:nvSpPr>
      <xdr:spPr>
        <a:xfrm>
          <a:off x="11732418" y="7717631"/>
          <a:ext cx="381000" cy="381000"/>
        </a:xfrm>
        <a:prstGeom prst="ellipse">
          <a:avLst/>
        </a:prstGeom>
        <a:solidFill>
          <a:srgbClr val="000000"/>
        </a:solidFill>
        <a:ln>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wsDr>
</file>

<file path=xl/queryTables/queryTable1.xml><?xml version="1.0" encoding="utf-8"?>
<queryTable xmlns="http://schemas.openxmlformats.org/spreadsheetml/2006/main" name="Classeur1_1" connectionId="1" autoFormatId="16" applyNumberFormats="0" applyBorderFormats="0" applyFontFormats="1" applyPatternFormats="1" applyAlignmentFormats="0" applyWidthHeightFormats="0"/>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queryTable" Target="../queryTables/queryTable1.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sheetPr codeName="Feuil2"/>
  <dimension ref="A1:D16"/>
  <sheetViews>
    <sheetView zoomScale="130" zoomScaleNormal="130" workbookViewId="0">
      <selection activeCell="F24" sqref="F24"/>
    </sheetView>
  </sheetViews>
  <sheetFormatPr baseColWidth="10" defaultColWidth="11.42578125" defaultRowHeight="11.25"/>
  <cols>
    <col min="1" max="1" width="11" style="21" bestFit="1" customWidth="1"/>
    <col min="2" max="2" width="6.42578125" style="21" bestFit="1" customWidth="1"/>
    <col min="3" max="3" width="8.5703125" style="21" bestFit="1" customWidth="1"/>
    <col min="4" max="4" width="11.5703125" style="21" bestFit="1" customWidth="1"/>
    <col min="5" max="16384" width="11.42578125" style="21"/>
  </cols>
  <sheetData>
    <row r="1" spans="1:4">
      <c r="A1" s="21" t="s">
        <v>27</v>
      </c>
      <c r="B1" s="21" t="s">
        <v>28</v>
      </c>
      <c r="C1" s="21" t="s">
        <v>29</v>
      </c>
      <c r="D1" s="21" t="s">
        <v>30</v>
      </c>
    </row>
    <row r="2" spans="1:4" ht="14.25" customHeight="1">
      <c r="A2" s="22" t="s">
        <v>25</v>
      </c>
      <c r="B2" s="22" t="s">
        <v>20</v>
      </c>
      <c r="C2" s="23" t="s">
        <v>19</v>
      </c>
      <c r="D2" s="23" t="s">
        <v>8</v>
      </c>
    </row>
    <row r="3" spans="1:4">
      <c r="A3" s="22" t="s">
        <v>4</v>
      </c>
      <c r="B3" s="22" t="s">
        <v>10</v>
      </c>
      <c r="C3" s="23" t="s">
        <v>9</v>
      </c>
      <c r="D3" s="23" t="s">
        <v>9</v>
      </c>
    </row>
    <row r="4" spans="1:4">
      <c r="A4" s="22" t="s">
        <v>5</v>
      </c>
      <c r="B4" s="22" t="s">
        <v>11</v>
      </c>
      <c r="C4" s="23" t="s">
        <v>17</v>
      </c>
      <c r="D4" s="23" t="s">
        <v>10</v>
      </c>
    </row>
    <row r="5" spans="1:4">
      <c r="A5" s="22" t="s">
        <v>6</v>
      </c>
      <c r="B5" s="22" t="s">
        <v>12</v>
      </c>
      <c r="C5" s="23" t="s">
        <v>49</v>
      </c>
      <c r="D5" s="23" t="s">
        <v>11</v>
      </c>
    </row>
    <row r="6" spans="1:4">
      <c r="A6" s="22" t="s">
        <v>26</v>
      </c>
      <c r="D6" s="23" t="s">
        <v>12</v>
      </c>
    </row>
    <row r="7" spans="1:4">
      <c r="A7" s="22" t="s">
        <v>7</v>
      </c>
      <c r="D7" s="23" t="s">
        <v>13</v>
      </c>
    </row>
    <row r="10" spans="1:4">
      <c r="A10" s="21" t="s">
        <v>84</v>
      </c>
    </row>
    <row r="11" spans="1:4">
      <c r="A11" s="24" t="s">
        <v>86</v>
      </c>
    </row>
    <row r="12" spans="1:4">
      <c r="A12" s="24" t="s">
        <v>87</v>
      </c>
    </row>
    <row r="13" spans="1:4">
      <c r="A13" s="24" t="s">
        <v>88</v>
      </c>
    </row>
    <row r="14" spans="1:4">
      <c r="A14" s="24" t="s">
        <v>89</v>
      </c>
    </row>
    <row r="15" spans="1:4">
      <c r="A15" s="24" t="s">
        <v>90</v>
      </c>
    </row>
    <row r="16" spans="1:4">
      <c r="A16" s="25" t="s">
        <v>91</v>
      </c>
    </row>
  </sheetData>
  <sheetProtection selectLockedCells="1" selectUnlockedCells="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sheetPr codeName="Feuil6">
    <tabColor rgb="FF002060"/>
  </sheetPr>
  <dimension ref="A1:BM16"/>
  <sheetViews>
    <sheetView showZeros="0" tabSelected="1" zoomScale="120" zoomScaleNormal="120" workbookViewId="0">
      <pane ySplit="1" topLeftCell="A2" activePane="bottomLeft" state="frozenSplit"/>
      <selection activeCell="C18" sqref="C18:D18"/>
      <selection pane="bottomLeft" activeCell="C47" sqref="C47"/>
    </sheetView>
  </sheetViews>
  <sheetFormatPr baseColWidth="10" defaultColWidth="11.5703125" defaultRowHeight="12"/>
  <cols>
    <col min="1" max="20" width="13.28515625" style="129" customWidth="1"/>
    <col min="21" max="32" width="11.42578125" style="129" customWidth="1"/>
    <col min="33" max="36" width="11.5703125" style="129"/>
    <col min="37" max="48" width="11.42578125" style="129" customWidth="1"/>
    <col min="49" max="50" width="11.5703125" style="129"/>
    <col min="51" max="51" width="11.140625" style="129" customWidth="1"/>
    <col min="52" max="55" width="12.85546875" style="129" customWidth="1"/>
    <col min="56" max="56" width="11.5703125" style="129"/>
    <col min="57" max="60" width="12.85546875" style="129" customWidth="1"/>
    <col min="61" max="61" width="11.5703125" style="129"/>
    <col min="62" max="62" width="12.85546875" style="129" customWidth="1"/>
    <col min="63" max="63" width="12.7109375" style="129" customWidth="1"/>
    <col min="64" max="64" width="18.140625" style="129" customWidth="1"/>
    <col min="65" max="16384" width="11.5703125" style="129"/>
  </cols>
  <sheetData>
    <row r="1" spans="1:65" s="124" customFormat="1" ht="36.6" customHeight="1">
      <c r="A1" s="123" t="s">
        <v>652</v>
      </c>
      <c r="B1" s="205" t="s">
        <v>654</v>
      </c>
      <c r="C1" s="205" t="s">
        <v>653</v>
      </c>
      <c r="D1" s="205" t="s">
        <v>806</v>
      </c>
      <c r="E1" s="205" t="s">
        <v>805</v>
      </c>
      <c r="F1" s="205" t="s">
        <v>873</v>
      </c>
      <c r="G1" s="205" t="s">
        <v>892</v>
      </c>
      <c r="H1" s="205" t="s">
        <v>894</v>
      </c>
      <c r="I1" s="205" t="s">
        <v>655</v>
      </c>
      <c r="J1" s="205" t="s">
        <v>895</v>
      </c>
      <c r="K1" s="205" t="s">
        <v>872</v>
      </c>
      <c r="L1" s="205" t="s">
        <v>678</v>
      </c>
      <c r="M1" s="205" t="s">
        <v>69</v>
      </c>
      <c r="N1" s="205" t="s">
        <v>77</v>
      </c>
      <c r="O1" s="205" t="s">
        <v>947</v>
      </c>
      <c r="P1" s="205" t="s">
        <v>948</v>
      </c>
      <c r="Q1" s="205" t="s">
        <v>949</v>
      </c>
      <c r="R1" s="205" t="s">
        <v>950</v>
      </c>
      <c r="S1" s="205" t="s">
        <v>951</v>
      </c>
      <c r="T1" s="205" t="s">
        <v>952</v>
      </c>
      <c r="U1" s="205" t="s">
        <v>953</v>
      </c>
      <c r="V1" s="205" t="s">
        <v>953</v>
      </c>
      <c r="W1" s="205" t="s">
        <v>954</v>
      </c>
      <c r="X1" s="205" t="s">
        <v>954</v>
      </c>
      <c r="Y1" s="205" t="s">
        <v>955</v>
      </c>
      <c r="Z1" s="205" t="s">
        <v>955</v>
      </c>
      <c r="AA1" s="205" t="s">
        <v>956</v>
      </c>
      <c r="AB1" s="205" t="s">
        <v>956</v>
      </c>
      <c r="AC1" s="205" t="s">
        <v>957</v>
      </c>
      <c r="AD1" s="205" t="s">
        <v>957</v>
      </c>
      <c r="AE1" s="205" t="s">
        <v>958</v>
      </c>
      <c r="AF1" s="205" t="s">
        <v>958</v>
      </c>
      <c r="AG1" s="206" t="s">
        <v>899</v>
      </c>
      <c r="AH1" s="206" t="s">
        <v>900</v>
      </c>
      <c r="AI1" s="206" t="s">
        <v>901</v>
      </c>
      <c r="AJ1" s="206" t="s">
        <v>902</v>
      </c>
      <c r="AK1" s="205" t="s">
        <v>959</v>
      </c>
      <c r="AL1" s="205" t="s">
        <v>959</v>
      </c>
      <c r="AM1" s="205" t="s">
        <v>960</v>
      </c>
      <c r="AN1" s="205" t="s">
        <v>960</v>
      </c>
      <c r="AO1" s="205" t="s">
        <v>961</v>
      </c>
      <c r="AP1" s="205" t="s">
        <v>961</v>
      </c>
      <c r="AQ1" s="205" t="s">
        <v>962</v>
      </c>
      <c r="AR1" s="205" t="s">
        <v>962</v>
      </c>
      <c r="AS1" s="205" t="s">
        <v>963</v>
      </c>
      <c r="AT1" s="205" t="s">
        <v>963</v>
      </c>
      <c r="AU1" s="205" t="s">
        <v>964</v>
      </c>
      <c r="AV1" s="205" t="s">
        <v>964</v>
      </c>
      <c r="AW1" s="182" t="s">
        <v>656</v>
      </c>
      <c r="AX1" s="182" t="s">
        <v>657</v>
      </c>
      <c r="AY1" s="123" t="s">
        <v>813</v>
      </c>
      <c r="AZ1" s="123" t="s">
        <v>864</v>
      </c>
      <c r="BA1" s="123" t="s">
        <v>865</v>
      </c>
      <c r="BB1" s="123" t="s">
        <v>866</v>
      </c>
      <c r="BC1" s="123" t="s">
        <v>22</v>
      </c>
      <c r="BD1" s="182" t="s">
        <v>658</v>
      </c>
      <c r="BE1" s="123" t="s">
        <v>867</v>
      </c>
      <c r="BF1" s="123" t="s">
        <v>868</v>
      </c>
      <c r="BG1" s="123" t="s">
        <v>869</v>
      </c>
      <c r="BH1" s="123" t="s">
        <v>870</v>
      </c>
      <c r="BI1" s="182" t="s">
        <v>98</v>
      </c>
      <c r="BJ1" s="182" t="s">
        <v>659</v>
      </c>
      <c r="BK1" s="123" t="s">
        <v>965</v>
      </c>
      <c r="BL1" s="123" t="s">
        <v>966</v>
      </c>
    </row>
    <row r="2" spans="1:65" s="128" customFormat="1" ht="56.25" customHeight="1">
      <c r="A2" s="269" t="str">
        <f ca="1">'Risk N°1'!B4</f>
        <v>Risk N°1</v>
      </c>
      <c r="B2" s="126" t="str">
        <f ca="1">IF(ISBLANK($A2),"",INDIRECT("'"&amp;$A2&amp;"'!b7"))</f>
        <v>Tes-test-01</v>
      </c>
      <c r="C2" s="125" t="str">
        <f ca="1">IF(ISBLANK($A2),"",INDIRECT("'"&amp;$A2&amp;"'!b8"))</f>
        <v>Bla</v>
      </c>
      <c r="D2" s="125" t="str">
        <f ca="1">IF(ISBLANK($A2),"",INDIRECT("'"&amp;$A2&amp;"'!b9"))</f>
        <v>Oui</v>
      </c>
      <c r="E2" s="125" t="str">
        <f ca="1">IF(ISBLANK($A2),"",INDIRECT("'"&amp;$A2&amp;"'!b10"))</f>
        <v>Non</v>
      </c>
      <c r="F2" s="125" t="str">
        <f ca="1">IF(ISBLANK($A2),"",INDIRECT("'"&amp;$A2&amp;"'!b11"))</f>
        <v>Base d'incidents</v>
      </c>
      <c r="G2" s="125" t="str">
        <f ca="1">IF(ISBLANK($A2),"",INDIRECT("'"&amp;$A2&amp;"'!b12"))</f>
        <v>Blablablabla</v>
      </c>
      <c r="H2" s="125" t="str">
        <f ca="1">IF(ISBLANK($A2),"",INDIRECT("'"&amp;$A2&amp;"'!d7"))</f>
        <v>Département_Act_Soc_Cult</v>
      </c>
      <c r="I2" s="125" t="str">
        <f ca="1">IF(ISBLANK($A2),"",INDIRECT("'"&amp;$A2&amp;"'!d8"))</f>
        <v>Test1</v>
      </c>
      <c r="J2" s="125" t="str">
        <f ca="1">IF(ISBLANK($A2),"",INDIRECT("'"&amp;$A2&amp;"'!d9"))</f>
        <v>Test 2</v>
      </c>
      <c r="K2" s="125" t="str">
        <f ca="1">IF(ISBLANK($A2),"",INDIRECT("'"&amp;$A2&amp;"'!d10"))</f>
        <v>Oui</v>
      </c>
      <c r="L2" s="125" t="str">
        <f ca="1">IF(ISBLANK($A2),"",INDIRECT("'"&amp;$A2&amp;"'!d11"))</f>
        <v>Non</v>
      </c>
      <c r="M2" s="125" t="str">
        <f ca="1">IF(ISBLANK($A2),"",INDIRECT("'"&amp;$A2&amp;"'!d12"))</f>
        <v>Oui</v>
      </c>
      <c r="N2" s="125" t="str">
        <f ca="1">IF(ISBLANK($A2),"",INDIRECT("'"&amp;$A2&amp;"'!d13"))</f>
        <v>Non</v>
      </c>
      <c r="O2" s="125" t="str">
        <f ca="1">IF(ISBLANK($A2),"",INDIRECT("'"&amp;$A2&amp;"'!d14"))</f>
        <v>Oui</v>
      </c>
      <c r="P2" s="125" t="str">
        <f ca="1">IF(ISBLANK($A2),"",INDIRECT("'"&amp;$A2&amp;"'!d15"))</f>
        <v>Non</v>
      </c>
      <c r="Q2" s="125" t="str">
        <f ca="1">IF(ISBLANK($A2),"",INDIRECT("'"&amp;$A2&amp;"'!d16"))</f>
        <v>Oui</v>
      </c>
      <c r="R2" s="125" t="str">
        <f ca="1">IF(ISBLANK($A2),"",INDIRECT("'"&amp;$A2&amp;"'!d17"))</f>
        <v>Oui</v>
      </c>
      <c r="S2" s="125" t="str">
        <f ca="1">IF(ISBLANK($A2),"",INDIRECT("'"&amp;$A2&amp;"'!d18"))</f>
        <v>Non</v>
      </c>
      <c r="T2" s="125" t="str">
        <f ca="1">IF(ISBLANK($A2),"",INDIRECT("'"&amp;$A2&amp;"'!d19"))</f>
        <v>Oui</v>
      </c>
      <c r="U2" s="125" t="str">
        <f ca="1">IF(ISBLANK($A2),"",INDIRECT("'"&amp;$A2&amp;"'!E7"))</f>
        <v>Externes</v>
      </c>
      <c r="V2" s="125" t="str">
        <f ca="1">IF(ISBLANK($A2),"",INDIRECT("'"&amp;$A2&amp;"'!f7"))</f>
        <v>Autres évènements / actions externes</v>
      </c>
      <c r="W2" s="125" t="str">
        <f ca="1">IF(ISBLANK($A2),"",INDIRECT("'"&amp;$A2&amp;"'!E8"))</f>
        <v>SI</v>
      </c>
      <c r="X2" s="125" t="str">
        <f ca="1">IF(ISBLANK($A2),"",INDIRECT("'"&amp;$A2&amp;"'!f8"))</f>
        <v>Qualité des données</v>
      </c>
      <c r="Y2" s="125" t="str">
        <f ca="1">IF(ISBLANK($A2),"",INDIRECT("'"&amp;$A2&amp;"'!E9"))</f>
        <v>Processus_Procédure</v>
      </c>
      <c r="Z2" s="125" t="str">
        <f ca="1">IF(ISBLANK($A2),"",INDIRECT("'"&amp;$A2&amp;"'!f9"))</f>
        <v>Défaillance dans la conception du processus/ procédures</v>
      </c>
      <c r="AA2" s="125" t="str">
        <f ca="1">IF(ISBLANK($A2),"",INDIRECT("'"&amp;$A2&amp;"'!E10"))</f>
        <v>Ressources_humaines</v>
      </c>
      <c r="AB2" s="125" t="str">
        <f ca="1">IF(ISBLANK($A2),"",INDIRECT("'"&amp;$A2&amp;"'!f10"))</f>
        <v>Compétence/ formation</v>
      </c>
      <c r="AC2" s="125" t="str">
        <f ca="1">IF(ISBLANK($A2),"",INDIRECT("'"&amp;$A2&amp;"'!E11"))</f>
        <v>SI</v>
      </c>
      <c r="AD2" s="125" t="str">
        <f ca="1">IF(ISBLANK($A2),"",INDIRECT("'"&amp;$A2&amp;"'!f11"))</f>
        <v>Matériels</v>
      </c>
      <c r="AE2" s="125" t="str">
        <f ca="1">IF(ISBLANK($A2),"",INDIRECT("'"&amp;$A2&amp;"'!E12"))</f>
        <v>Processus_Procédure</v>
      </c>
      <c r="AF2" s="125" t="str">
        <f ca="1">IF(ISBLANK($A2),"",INDIRECT("'"&amp;$A2&amp;"'!f12"))</f>
        <v>Défaillance dans la réalisation du processus/ procédure</v>
      </c>
      <c r="AG2" s="125" t="str">
        <f ca="1">IF(ISBLANK($A2),"",INDIRECT("'"&amp;$A2&amp;"'!f14"))</f>
        <v>Condamnation civile ou pénale d'un dirigeant et / ou d'un organisme</v>
      </c>
      <c r="AH2" s="125" t="str">
        <f ca="1">IF(ISBLANK($A2),"",INDIRECT("'"&amp;$A2&amp;"'!f15"))</f>
        <v>Coût ETP, fraudes</v>
      </c>
      <c r="AI2" s="125" t="str">
        <f ca="1">IF(ISBLANK($A2),"",INDIRECT("'"&amp;$A2&amp;"'!f16"))</f>
        <v>Coût logiciel, données</v>
      </c>
      <c r="AJ2" s="125" t="str">
        <f ca="1">IF(ISBLANK($A2),"",INDIRECT("'"&amp;$A2&amp;"'!f17"))</f>
        <v>Litige réglé par transaction amiable ou judiciaire</v>
      </c>
      <c r="AK2" s="125" t="str">
        <f ca="1">IF(ISBLANK($A2),"",INDIRECT("'"&amp;$A2&amp;"'!E14"))</f>
        <v>Conformité_Réglementaire</v>
      </c>
      <c r="AL2" s="125" t="str">
        <f ca="1">IF(ISBLANK($A2),"",INDIRECT("'"&amp;$A2&amp;"'!f14"))</f>
        <v>Condamnation civile ou pénale d'un dirigeant et / ou d'un organisme</v>
      </c>
      <c r="AM2" s="125" t="str">
        <f ca="1">IF(ISBLANK($A2),"",INDIRECT("'"&amp;$A2&amp;"'!E15"))</f>
        <v>Financier</v>
      </c>
      <c r="AN2" s="125" t="str">
        <f ca="1">IF(ISBLANK($A2),"",INDIRECT("'"&amp;$A2&amp;"'!f15"))</f>
        <v>Coût ETP, fraudes</v>
      </c>
      <c r="AO2" s="125" t="str">
        <f ca="1">IF(ISBLANK($A2),"",INDIRECT("'"&amp;$A2&amp;"'!E16"))</f>
        <v>Financier</v>
      </c>
      <c r="AP2" s="125" t="str">
        <f ca="1">IF(ISBLANK($A2),"",INDIRECT("'"&amp;$A2&amp;"'!f16"))</f>
        <v>Coût logiciel, données</v>
      </c>
      <c r="AQ2" s="125" t="str">
        <f ca="1">IF(ISBLANK($A2),"",INDIRECT("'"&amp;$A2&amp;"'!E17"))</f>
        <v>Conformité_Réglementaire</v>
      </c>
      <c r="AR2" s="125" t="str">
        <f ca="1">IF(ISBLANK($A2),"",INDIRECT("'"&amp;$A2&amp;"'!f17"))</f>
        <v>Litige réglé par transaction amiable ou judiciaire</v>
      </c>
      <c r="AS2" s="125" t="str">
        <f ca="1">IF(ISBLANK($A2),"",INDIRECT("'"&amp;$A2&amp;"'!E18"))</f>
        <v>Financier</v>
      </c>
      <c r="AT2" s="125" t="str">
        <f ca="1">IF(ISBLANK($A2),"",INDIRECT("'"&amp;$A2&amp;"'!f18"))</f>
        <v>Coût remplacement/ réparation</v>
      </c>
      <c r="AU2" s="125" t="str">
        <f ca="1">IF(ISBLANK($A2),"",INDIRECT("'"&amp;$A2&amp;"'!E19"))</f>
        <v>Client_Image_Réputation</v>
      </c>
      <c r="AV2" s="125" t="str">
        <f ca="1">IF(ISBLANK($A2),"",INDIRECT("'"&amp;$A2&amp;"'!f19"))</f>
        <v>Nombreux clients clés impactés (VIP, groupes,…)</v>
      </c>
      <c r="AW2" s="125" t="str">
        <f ca="1">IF(ISBLANK($A2),"",INDIRECT("'"&amp;$A2&amp;"'!b23"))</f>
        <v>Récurrente</v>
      </c>
      <c r="AX2" s="125" t="str">
        <f ca="1">IF(ISBLANK($A2),"",INDIRECT("'"&amp;$A2&amp;"'!b25"))</f>
        <v>Modéré</v>
      </c>
      <c r="AY2" s="125" t="str">
        <f ca="1">IF(ISBLANK($A2),"",INDIRECT("'"&amp;$A2&amp;"'!B27"))</f>
        <v>Modéré</v>
      </c>
      <c r="AZ2" s="125" t="str">
        <f ca="1">IF(ISBLANK($A2),"",INDIRECT("'"&amp;$A2&amp;"'!B28"))</f>
        <v>Modéré</v>
      </c>
      <c r="BA2" s="125" t="str">
        <f ca="1">IF(ISBLANK($A2),"",INDIRECT("'"&amp;$A2&amp;"'!B29"))</f>
        <v>Elevé</v>
      </c>
      <c r="BB2" s="125" t="str">
        <f ca="1">IF(ISBLANK($A2),"",INDIRECT("'"&amp;$A2&amp;"'!B30"))</f>
        <v>Modéré</v>
      </c>
      <c r="BC2" s="125" t="str">
        <f ca="1">IF(ISBLANK($A2),"",INDIRECT("'"&amp;$A2&amp;"'!B34"))</f>
        <v>Mineur</v>
      </c>
      <c r="BD2" s="125" t="str">
        <f ca="1">IF(ISBLANK($A2),"",INDIRECT("'"&amp;$A2&amp;"'!b37"))</f>
        <v>Maîtrisé</v>
      </c>
      <c r="BE2" s="125" t="str">
        <f ca="1">IF(ISBLANK($A2),"",INDIRECT("'"&amp;$A2&amp;"'!B39"))</f>
        <v>Maîtrisé</v>
      </c>
      <c r="BF2" s="125" t="str">
        <f ca="1">IF(ISBLANK($A2),"",INDIRECT("'"&amp;$A2&amp;"'!B40"))</f>
        <v>Acceptable</v>
      </c>
      <c r="BG2" s="125" t="str">
        <f ca="1">IF(ISBLANK($A2),"",INDIRECT("'"&amp;$A2&amp;"'!B41"))</f>
        <v>Maîtrisé</v>
      </c>
      <c r="BH2" s="125" t="str">
        <f ca="1">IF(ISBLANK($A2),"",INDIRECT("'"&amp;$A2&amp;"'!B42"))</f>
        <v>Maîtrisé</v>
      </c>
      <c r="BI2" s="125" t="str">
        <f ca="1">IF(ISBLANK($A2),"",INDIRECT("'"&amp;$A2&amp;"'!b44"))</f>
        <v>Elevée</v>
      </c>
      <c r="BJ2" s="125" t="str">
        <f ca="1">IF(ISBLANK($A2),"",INDIRECT("'"&amp;$A2&amp;"'!B45"))</f>
        <v>Catastrophique</v>
      </c>
      <c r="BK2" s="125" t="str">
        <f ca="1">IF(ISBLANK($A2),"",INDIRECT("'"&amp;$A2&amp;"'!B47"))</f>
        <v>Elevé</v>
      </c>
      <c r="BL2" s="125" t="str">
        <f ca="1">IF(ISBLANK($A2),"",INDIRECT("'"&amp;$A2&amp;"'!B49"))</f>
        <v>Criticité elevée</v>
      </c>
      <c r="BM2" s="127"/>
    </row>
    <row r="3" spans="1:65" ht="41.45" customHeight="1">
      <c r="A3" s="156"/>
      <c r="B3" s="126" t="str">
        <f t="shared" ref="B3:B16" ca="1" si="0">IF(ISBLANK($A3),"",INDIRECT("'"&amp;$A3&amp;"'!b7"))</f>
        <v/>
      </c>
      <c r="C3" s="125" t="str">
        <f t="shared" ref="C3:C16" ca="1" si="1">IF(ISBLANK($A3),"",INDIRECT("'"&amp;$A3&amp;"'!b8"))</f>
        <v/>
      </c>
      <c r="D3" s="125" t="str">
        <f t="shared" ref="D3:D16" ca="1" si="2">IF(ISBLANK($A3),"",INDIRECT("'"&amp;$A3&amp;"'!b9"))</f>
        <v/>
      </c>
      <c r="E3" s="125" t="str">
        <f t="shared" ref="E3:E16" ca="1" si="3">IF(ISBLANK($A3),"",INDIRECT("'"&amp;$A3&amp;"'!b10"))</f>
        <v/>
      </c>
      <c r="F3" s="125" t="str">
        <f t="shared" ref="F3:F16" ca="1" si="4">IF(ISBLANK($A3),"",INDIRECT("'"&amp;$A3&amp;"'!b11"))</f>
        <v/>
      </c>
      <c r="G3" s="125" t="str">
        <f t="shared" ref="G3:G16" ca="1" si="5">IF(ISBLANK($A3),"",INDIRECT("'"&amp;$A3&amp;"'!b12"))</f>
        <v/>
      </c>
      <c r="H3" s="125" t="str">
        <f t="shared" ref="H3:H16" ca="1" si="6">IF(ISBLANK($A3),"",INDIRECT("'"&amp;$A3&amp;"'!d7"))</f>
        <v/>
      </c>
      <c r="I3" s="125" t="str">
        <f t="shared" ref="I3:I16" ca="1" si="7">IF(ISBLANK($A3),"",INDIRECT("'"&amp;$A3&amp;"'!d8"))</f>
        <v/>
      </c>
      <c r="J3" s="125" t="str">
        <f t="shared" ref="J3:J16" ca="1" si="8">IF(ISBLANK($A3),"",INDIRECT("'"&amp;$A3&amp;"'!d9"))</f>
        <v/>
      </c>
      <c r="K3" s="125" t="str">
        <f t="shared" ref="K3:K16" ca="1" si="9">IF(ISBLANK($A3),"",INDIRECT("'"&amp;$A3&amp;"'!d10"))</f>
        <v/>
      </c>
      <c r="L3" s="125" t="str">
        <f t="shared" ref="L3:L16" ca="1" si="10">IF(ISBLANK($A3),"",INDIRECT("'"&amp;$A3&amp;"'!d11"))</f>
        <v/>
      </c>
      <c r="M3" s="125" t="str">
        <f t="shared" ref="M3:M16" ca="1" si="11">IF(ISBLANK($A3),"",INDIRECT("'"&amp;$A3&amp;"'!d12"))</f>
        <v/>
      </c>
      <c r="N3" s="125" t="str">
        <f t="shared" ref="N3:N16" ca="1" si="12">IF(ISBLANK($A3),"",INDIRECT("'"&amp;$A3&amp;"'!d13"))</f>
        <v/>
      </c>
      <c r="O3" s="125" t="str">
        <f t="shared" ref="O3:O16" ca="1" si="13">IF(ISBLANK($A3),"",INDIRECT("'"&amp;$A3&amp;"'!d14"))</f>
        <v/>
      </c>
      <c r="P3" s="125" t="str">
        <f t="shared" ref="P3:P16" ca="1" si="14">IF(ISBLANK($A3),"",INDIRECT("'"&amp;$A3&amp;"'!d15"))</f>
        <v/>
      </c>
      <c r="Q3" s="125" t="str">
        <f t="shared" ref="Q3:Q16" ca="1" si="15">IF(ISBLANK($A3),"",INDIRECT("'"&amp;$A3&amp;"'!d16"))</f>
        <v/>
      </c>
      <c r="R3" s="125" t="str">
        <f t="shared" ref="R3:R16" ca="1" si="16">IF(ISBLANK($A3),"",INDIRECT("'"&amp;$A3&amp;"'!d17"))</f>
        <v/>
      </c>
      <c r="S3" s="125" t="str">
        <f t="shared" ref="S3:S16" ca="1" si="17">IF(ISBLANK($A3),"",INDIRECT("'"&amp;$A3&amp;"'!d18"))</f>
        <v/>
      </c>
      <c r="T3" s="125" t="str">
        <f t="shared" ref="T3:T16" ca="1" si="18">IF(ISBLANK($A3),"",INDIRECT("'"&amp;$A3&amp;"'!d19"))</f>
        <v/>
      </c>
      <c r="U3" s="125" t="str">
        <f t="shared" ref="U3:U16" ca="1" si="19">IF(ISBLANK($A3),"",INDIRECT("'"&amp;$A3&amp;"'!E7"))</f>
        <v/>
      </c>
      <c r="V3" s="125" t="str">
        <f t="shared" ref="V3:V16" ca="1" si="20">IF(ISBLANK($A3),"",INDIRECT("'"&amp;$A3&amp;"'!f7"))</f>
        <v/>
      </c>
      <c r="W3" s="125" t="str">
        <f t="shared" ref="W3:W16" ca="1" si="21">IF(ISBLANK($A3),"",INDIRECT("'"&amp;$A3&amp;"'!E8"))</f>
        <v/>
      </c>
      <c r="X3" s="125" t="str">
        <f t="shared" ref="X3:X16" ca="1" si="22">IF(ISBLANK($A3),"",INDIRECT("'"&amp;$A3&amp;"'!f8"))</f>
        <v/>
      </c>
      <c r="Y3" s="125" t="str">
        <f t="shared" ref="Y3:Y16" ca="1" si="23">IF(ISBLANK($A3),"",INDIRECT("'"&amp;$A3&amp;"'!E9"))</f>
        <v/>
      </c>
      <c r="Z3" s="125" t="str">
        <f t="shared" ref="Z3:Z16" ca="1" si="24">IF(ISBLANK($A3),"",INDIRECT("'"&amp;$A3&amp;"'!f9"))</f>
        <v/>
      </c>
      <c r="AA3" s="125" t="str">
        <f t="shared" ref="AA3:AA16" ca="1" si="25">IF(ISBLANK($A3),"",INDIRECT("'"&amp;$A3&amp;"'!E10"))</f>
        <v/>
      </c>
      <c r="AB3" s="125" t="str">
        <f t="shared" ref="AB3:AB16" ca="1" si="26">IF(ISBLANK($A3),"",INDIRECT("'"&amp;$A3&amp;"'!f10"))</f>
        <v/>
      </c>
      <c r="AC3" s="125" t="str">
        <f t="shared" ref="AC3:AC16" ca="1" si="27">IF(ISBLANK($A3),"",INDIRECT("'"&amp;$A3&amp;"'!E11"))</f>
        <v/>
      </c>
      <c r="AD3" s="125" t="str">
        <f t="shared" ref="AD3:AD16" ca="1" si="28">IF(ISBLANK($A3),"",INDIRECT("'"&amp;$A3&amp;"'!f11"))</f>
        <v/>
      </c>
      <c r="AE3" s="125" t="str">
        <f t="shared" ref="AE3:AE16" ca="1" si="29">IF(ISBLANK($A3),"",INDIRECT("'"&amp;$A3&amp;"'!E12"))</f>
        <v/>
      </c>
      <c r="AF3" s="125" t="str">
        <f t="shared" ref="AF3:AF16" ca="1" si="30">IF(ISBLANK($A3),"",INDIRECT("'"&amp;$A3&amp;"'!f12"))</f>
        <v/>
      </c>
      <c r="AG3" s="125" t="str">
        <f t="shared" ref="AG3:AG16" ca="1" si="31">IF(ISBLANK($A3),"",INDIRECT("'"&amp;$A3&amp;"'!f14"))</f>
        <v/>
      </c>
      <c r="AH3" s="125" t="str">
        <f t="shared" ref="AH3:AH16" ca="1" si="32">IF(ISBLANK($A3),"",INDIRECT("'"&amp;$A3&amp;"'!f15"))</f>
        <v/>
      </c>
      <c r="AI3" s="125" t="str">
        <f t="shared" ref="AI3:AI16" ca="1" si="33">IF(ISBLANK($A3),"",INDIRECT("'"&amp;$A3&amp;"'!f16"))</f>
        <v/>
      </c>
      <c r="AJ3" s="125" t="str">
        <f t="shared" ref="AJ3:AJ16" ca="1" si="34">IF(ISBLANK($A3),"",INDIRECT("'"&amp;$A3&amp;"'!f17"))</f>
        <v/>
      </c>
      <c r="AK3" s="125" t="str">
        <f t="shared" ref="AK3:AK16" ca="1" si="35">IF(ISBLANK($A3),"",INDIRECT("'"&amp;$A3&amp;"'!E14"))</f>
        <v/>
      </c>
      <c r="AL3" s="125" t="str">
        <f t="shared" ref="AL3:AL16" ca="1" si="36">IF(ISBLANK($A3),"",INDIRECT("'"&amp;$A3&amp;"'!f14"))</f>
        <v/>
      </c>
      <c r="AM3" s="125" t="str">
        <f t="shared" ref="AM3:AM16" ca="1" si="37">IF(ISBLANK($A3),"",INDIRECT("'"&amp;$A3&amp;"'!E15"))</f>
        <v/>
      </c>
      <c r="AN3" s="125" t="str">
        <f t="shared" ref="AN3:AN16" ca="1" si="38">IF(ISBLANK($A3),"",INDIRECT("'"&amp;$A3&amp;"'!f15"))</f>
        <v/>
      </c>
      <c r="AO3" s="125" t="str">
        <f t="shared" ref="AO3:AO16" ca="1" si="39">IF(ISBLANK($A3),"",INDIRECT("'"&amp;$A3&amp;"'!E16"))</f>
        <v/>
      </c>
      <c r="AP3" s="125" t="str">
        <f t="shared" ref="AP3:AP16" ca="1" si="40">IF(ISBLANK($A3),"",INDIRECT("'"&amp;$A3&amp;"'!f16"))</f>
        <v/>
      </c>
      <c r="AQ3" s="125" t="str">
        <f t="shared" ref="AQ3:AQ16" ca="1" si="41">IF(ISBLANK($A3),"",INDIRECT("'"&amp;$A3&amp;"'!E17"))</f>
        <v/>
      </c>
      <c r="AR3" s="125" t="str">
        <f t="shared" ref="AR3:AR16" ca="1" si="42">IF(ISBLANK($A3),"",INDIRECT("'"&amp;$A3&amp;"'!f17"))</f>
        <v/>
      </c>
      <c r="AS3" s="125" t="str">
        <f t="shared" ref="AS3:AS16" ca="1" si="43">IF(ISBLANK($A3),"",INDIRECT("'"&amp;$A3&amp;"'!E18"))</f>
        <v/>
      </c>
      <c r="AT3" s="125" t="str">
        <f t="shared" ref="AT3:AT16" ca="1" si="44">IF(ISBLANK($A3),"",INDIRECT("'"&amp;$A3&amp;"'!f18"))</f>
        <v/>
      </c>
      <c r="AU3" s="125" t="str">
        <f t="shared" ref="AU3:AU16" ca="1" si="45">IF(ISBLANK($A3),"",INDIRECT("'"&amp;$A3&amp;"'!E19"))</f>
        <v/>
      </c>
      <c r="AV3" s="125" t="str">
        <f t="shared" ref="AV3:AV16" ca="1" si="46">IF(ISBLANK($A3),"",INDIRECT("'"&amp;$A3&amp;"'!f19"))</f>
        <v/>
      </c>
      <c r="AW3" s="125" t="str">
        <f t="shared" ref="AW3:AW16" ca="1" si="47">IF(ISBLANK($A3),"",INDIRECT("'"&amp;$A3&amp;"'!b23"))</f>
        <v/>
      </c>
      <c r="AX3" s="125" t="str">
        <f t="shared" ref="AX3:AX16" ca="1" si="48">IF(ISBLANK($A3),"",INDIRECT("'"&amp;$A3&amp;"'!b25"))</f>
        <v/>
      </c>
      <c r="AY3" s="125" t="str">
        <f t="shared" ref="AY3:AY16" ca="1" si="49">IF(ISBLANK($A3),"",INDIRECT("'"&amp;$A3&amp;"'!B27"))</f>
        <v/>
      </c>
      <c r="AZ3" s="125" t="str">
        <f t="shared" ref="AZ3:AZ16" ca="1" si="50">IF(ISBLANK($A3),"",INDIRECT("'"&amp;$A3&amp;"'!B28"))</f>
        <v/>
      </c>
      <c r="BA3" s="125" t="str">
        <f t="shared" ref="BA3:BA16" ca="1" si="51">IF(ISBLANK($A3),"",INDIRECT("'"&amp;$A3&amp;"'!B29"))</f>
        <v/>
      </c>
      <c r="BB3" s="125" t="str">
        <f t="shared" ref="BB3:BB16" ca="1" si="52">IF(ISBLANK($A3),"",INDIRECT("'"&amp;$A3&amp;"'!B30"))</f>
        <v/>
      </c>
      <c r="BC3" s="125" t="str">
        <f t="shared" ref="BC3:BC16" ca="1" si="53">IF(ISBLANK($A3),"",INDIRECT("'"&amp;$A3&amp;"'!B34"))</f>
        <v/>
      </c>
      <c r="BD3" s="125" t="str">
        <f t="shared" ref="BD3:BD16" ca="1" si="54">IF(ISBLANK($A3),"",INDIRECT("'"&amp;$A3&amp;"'!b36"))</f>
        <v/>
      </c>
      <c r="BE3" s="125" t="str">
        <f t="shared" ref="BE3:BE16" ca="1" si="55">IF(ISBLANK($A3),"",INDIRECT("'"&amp;$A3&amp;"'!B38"))</f>
        <v/>
      </c>
      <c r="BF3" s="125" t="str">
        <f t="shared" ref="BF3:BF16" ca="1" si="56">IF(ISBLANK($A3),"",INDIRECT("'"&amp;$A3&amp;"'!B39"))</f>
        <v/>
      </c>
      <c r="BG3" s="125" t="str">
        <f t="shared" ref="BG3:BG16" ca="1" si="57">IF(ISBLANK($A3),"",INDIRECT("'"&amp;$A3&amp;"'!B40"))</f>
        <v/>
      </c>
      <c r="BH3" s="125" t="str">
        <f t="shared" ref="BH3:BH16" ca="1" si="58">IF(ISBLANK($A3),"",INDIRECT("'"&amp;$A3&amp;"'!B41"))</f>
        <v/>
      </c>
      <c r="BI3" s="125" t="str">
        <f t="shared" ref="BI3:BI16" ca="1" si="59">IF(ISBLANK($A3),"",INDIRECT("'"&amp;$A3&amp;"'!b43"))</f>
        <v/>
      </c>
      <c r="BJ3" s="125" t="str">
        <f t="shared" ref="BJ3:BJ16" ca="1" si="60">IF(ISBLANK($A3),"",INDIRECT("'"&amp;$A3&amp;"'!B44"))</f>
        <v/>
      </c>
      <c r="BK3" s="125" t="str">
        <f t="shared" ref="BK3:BK16" ca="1" si="61">IF(ISBLANK($A3),"",INDIRECT("'"&amp;$A3&amp;"'!B47"))</f>
        <v/>
      </c>
      <c r="BL3" s="125" t="str">
        <f t="shared" ref="BL3:BL16" ca="1" si="62">IF(ISBLANK($A3),"",INDIRECT("'"&amp;$A3&amp;"'!B46"))</f>
        <v/>
      </c>
    </row>
    <row r="4" spans="1:65" ht="41.45" customHeight="1">
      <c r="A4" s="156"/>
      <c r="B4" s="126" t="str">
        <f t="shared" ca="1" si="0"/>
        <v/>
      </c>
      <c r="C4" s="125" t="str">
        <f t="shared" ca="1" si="1"/>
        <v/>
      </c>
      <c r="D4" s="125" t="str">
        <f t="shared" ca="1" si="2"/>
        <v/>
      </c>
      <c r="E4" s="125" t="str">
        <f t="shared" ca="1" si="3"/>
        <v/>
      </c>
      <c r="F4" s="125" t="str">
        <f t="shared" ca="1" si="4"/>
        <v/>
      </c>
      <c r="G4" s="125" t="str">
        <f t="shared" ca="1" si="5"/>
        <v/>
      </c>
      <c r="H4" s="125" t="str">
        <f t="shared" ca="1" si="6"/>
        <v/>
      </c>
      <c r="I4" s="125" t="str">
        <f t="shared" ca="1" si="7"/>
        <v/>
      </c>
      <c r="J4" s="125" t="str">
        <f t="shared" ca="1" si="8"/>
        <v/>
      </c>
      <c r="K4" s="125" t="str">
        <f t="shared" ca="1" si="9"/>
        <v/>
      </c>
      <c r="L4" s="125" t="str">
        <f t="shared" ca="1" si="10"/>
        <v/>
      </c>
      <c r="M4" s="125" t="str">
        <f t="shared" ca="1" si="11"/>
        <v/>
      </c>
      <c r="N4" s="125" t="str">
        <f t="shared" ca="1" si="12"/>
        <v/>
      </c>
      <c r="O4" s="125" t="str">
        <f t="shared" ca="1" si="13"/>
        <v/>
      </c>
      <c r="P4" s="125" t="str">
        <f t="shared" ca="1" si="14"/>
        <v/>
      </c>
      <c r="Q4" s="125" t="str">
        <f t="shared" ca="1" si="15"/>
        <v/>
      </c>
      <c r="R4" s="125" t="str">
        <f t="shared" ca="1" si="16"/>
        <v/>
      </c>
      <c r="S4" s="125" t="str">
        <f t="shared" ca="1" si="17"/>
        <v/>
      </c>
      <c r="T4" s="125" t="str">
        <f t="shared" ca="1" si="18"/>
        <v/>
      </c>
      <c r="U4" s="125" t="str">
        <f t="shared" ca="1" si="19"/>
        <v/>
      </c>
      <c r="V4" s="125" t="str">
        <f t="shared" ca="1" si="20"/>
        <v/>
      </c>
      <c r="W4" s="125" t="str">
        <f t="shared" ca="1" si="21"/>
        <v/>
      </c>
      <c r="X4" s="125" t="str">
        <f t="shared" ca="1" si="22"/>
        <v/>
      </c>
      <c r="Y4" s="125" t="str">
        <f t="shared" ca="1" si="23"/>
        <v/>
      </c>
      <c r="Z4" s="125" t="str">
        <f t="shared" ca="1" si="24"/>
        <v/>
      </c>
      <c r="AA4" s="125" t="str">
        <f t="shared" ca="1" si="25"/>
        <v/>
      </c>
      <c r="AB4" s="125" t="str">
        <f t="shared" ca="1" si="26"/>
        <v/>
      </c>
      <c r="AC4" s="125" t="str">
        <f t="shared" ca="1" si="27"/>
        <v/>
      </c>
      <c r="AD4" s="125" t="str">
        <f t="shared" ca="1" si="28"/>
        <v/>
      </c>
      <c r="AE4" s="125" t="str">
        <f t="shared" ca="1" si="29"/>
        <v/>
      </c>
      <c r="AF4" s="125" t="str">
        <f t="shared" ca="1" si="30"/>
        <v/>
      </c>
      <c r="AG4" s="125" t="str">
        <f t="shared" ca="1" si="31"/>
        <v/>
      </c>
      <c r="AH4" s="125" t="str">
        <f t="shared" ca="1" si="32"/>
        <v/>
      </c>
      <c r="AI4" s="125" t="str">
        <f t="shared" ca="1" si="33"/>
        <v/>
      </c>
      <c r="AJ4" s="125" t="str">
        <f t="shared" ca="1" si="34"/>
        <v/>
      </c>
      <c r="AK4" s="125" t="str">
        <f t="shared" ca="1" si="35"/>
        <v/>
      </c>
      <c r="AL4" s="125" t="str">
        <f t="shared" ca="1" si="36"/>
        <v/>
      </c>
      <c r="AM4" s="125" t="str">
        <f t="shared" ca="1" si="37"/>
        <v/>
      </c>
      <c r="AN4" s="125" t="str">
        <f t="shared" ca="1" si="38"/>
        <v/>
      </c>
      <c r="AO4" s="125" t="str">
        <f t="shared" ca="1" si="39"/>
        <v/>
      </c>
      <c r="AP4" s="125" t="str">
        <f t="shared" ca="1" si="40"/>
        <v/>
      </c>
      <c r="AQ4" s="125" t="str">
        <f t="shared" ca="1" si="41"/>
        <v/>
      </c>
      <c r="AR4" s="125" t="str">
        <f t="shared" ca="1" si="42"/>
        <v/>
      </c>
      <c r="AS4" s="125" t="str">
        <f t="shared" ca="1" si="43"/>
        <v/>
      </c>
      <c r="AT4" s="125" t="str">
        <f t="shared" ca="1" si="44"/>
        <v/>
      </c>
      <c r="AU4" s="125" t="str">
        <f t="shared" ca="1" si="45"/>
        <v/>
      </c>
      <c r="AV4" s="125" t="str">
        <f t="shared" ca="1" si="46"/>
        <v/>
      </c>
      <c r="AW4" s="125" t="str">
        <f t="shared" ca="1" si="47"/>
        <v/>
      </c>
      <c r="AX4" s="125" t="str">
        <f t="shared" ca="1" si="48"/>
        <v/>
      </c>
      <c r="AY4" s="125" t="str">
        <f t="shared" ca="1" si="49"/>
        <v/>
      </c>
      <c r="AZ4" s="125" t="str">
        <f t="shared" ca="1" si="50"/>
        <v/>
      </c>
      <c r="BA4" s="125" t="str">
        <f t="shared" ca="1" si="51"/>
        <v/>
      </c>
      <c r="BB4" s="125" t="str">
        <f t="shared" ca="1" si="52"/>
        <v/>
      </c>
      <c r="BC4" s="125" t="str">
        <f t="shared" ca="1" si="53"/>
        <v/>
      </c>
      <c r="BD4" s="125" t="str">
        <f t="shared" ca="1" si="54"/>
        <v/>
      </c>
      <c r="BE4" s="125" t="str">
        <f t="shared" ca="1" si="55"/>
        <v/>
      </c>
      <c r="BF4" s="125" t="str">
        <f t="shared" ca="1" si="56"/>
        <v/>
      </c>
      <c r="BG4" s="125" t="str">
        <f t="shared" ca="1" si="57"/>
        <v/>
      </c>
      <c r="BH4" s="125" t="str">
        <f t="shared" ca="1" si="58"/>
        <v/>
      </c>
      <c r="BI4" s="125" t="str">
        <f t="shared" ca="1" si="59"/>
        <v/>
      </c>
      <c r="BJ4" s="125" t="str">
        <f t="shared" ca="1" si="60"/>
        <v/>
      </c>
      <c r="BK4" s="125" t="str">
        <f t="shared" ca="1" si="61"/>
        <v/>
      </c>
      <c r="BL4" s="125" t="str">
        <f t="shared" ca="1" si="62"/>
        <v/>
      </c>
    </row>
    <row r="5" spans="1:65" ht="41.45" customHeight="1">
      <c r="A5" s="156"/>
      <c r="B5" s="126" t="str">
        <f t="shared" ca="1" si="0"/>
        <v/>
      </c>
      <c r="C5" s="125" t="str">
        <f t="shared" ca="1" si="1"/>
        <v/>
      </c>
      <c r="D5" s="125" t="str">
        <f t="shared" ca="1" si="2"/>
        <v/>
      </c>
      <c r="E5" s="125" t="str">
        <f t="shared" ca="1" si="3"/>
        <v/>
      </c>
      <c r="F5" s="125" t="str">
        <f t="shared" ca="1" si="4"/>
        <v/>
      </c>
      <c r="G5" s="125" t="str">
        <f t="shared" ca="1" si="5"/>
        <v/>
      </c>
      <c r="H5" s="125" t="str">
        <f t="shared" ca="1" si="6"/>
        <v/>
      </c>
      <c r="I5" s="125" t="str">
        <f t="shared" ca="1" si="7"/>
        <v/>
      </c>
      <c r="J5" s="125" t="str">
        <f t="shared" ca="1" si="8"/>
        <v/>
      </c>
      <c r="K5" s="125" t="str">
        <f t="shared" ca="1" si="9"/>
        <v/>
      </c>
      <c r="L5" s="125" t="str">
        <f t="shared" ca="1" si="10"/>
        <v/>
      </c>
      <c r="M5" s="125" t="str">
        <f t="shared" ca="1" si="11"/>
        <v/>
      </c>
      <c r="N5" s="125" t="str">
        <f t="shared" ca="1" si="12"/>
        <v/>
      </c>
      <c r="O5" s="125" t="str">
        <f t="shared" ca="1" si="13"/>
        <v/>
      </c>
      <c r="P5" s="125" t="str">
        <f t="shared" ca="1" si="14"/>
        <v/>
      </c>
      <c r="Q5" s="125" t="str">
        <f t="shared" ca="1" si="15"/>
        <v/>
      </c>
      <c r="R5" s="125" t="str">
        <f t="shared" ca="1" si="16"/>
        <v/>
      </c>
      <c r="S5" s="125" t="str">
        <f t="shared" ca="1" si="17"/>
        <v/>
      </c>
      <c r="T5" s="125" t="str">
        <f t="shared" ca="1" si="18"/>
        <v/>
      </c>
      <c r="U5" s="125" t="str">
        <f t="shared" ca="1" si="19"/>
        <v/>
      </c>
      <c r="V5" s="125" t="str">
        <f t="shared" ca="1" si="20"/>
        <v/>
      </c>
      <c r="W5" s="125" t="str">
        <f t="shared" ca="1" si="21"/>
        <v/>
      </c>
      <c r="X5" s="125" t="str">
        <f t="shared" ca="1" si="22"/>
        <v/>
      </c>
      <c r="Y5" s="125" t="str">
        <f t="shared" ca="1" si="23"/>
        <v/>
      </c>
      <c r="Z5" s="125" t="str">
        <f t="shared" ca="1" si="24"/>
        <v/>
      </c>
      <c r="AA5" s="125" t="str">
        <f t="shared" ca="1" si="25"/>
        <v/>
      </c>
      <c r="AB5" s="125" t="str">
        <f t="shared" ca="1" si="26"/>
        <v/>
      </c>
      <c r="AC5" s="125" t="str">
        <f t="shared" ca="1" si="27"/>
        <v/>
      </c>
      <c r="AD5" s="125" t="str">
        <f t="shared" ca="1" si="28"/>
        <v/>
      </c>
      <c r="AE5" s="125" t="str">
        <f t="shared" ca="1" si="29"/>
        <v/>
      </c>
      <c r="AF5" s="125" t="str">
        <f t="shared" ca="1" si="30"/>
        <v/>
      </c>
      <c r="AG5" s="125" t="str">
        <f t="shared" ca="1" si="31"/>
        <v/>
      </c>
      <c r="AH5" s="125" t="str">
        <f t="shared" ca="1" si="32"/>
        <v/>
      </c>
      <c r="AI5" s="125" t="str">
        <f t="shared" ca="1" si="33"/>
        <v/>
      </c>
      <c r="AJ5" s="125" t="str">
        <f t="shared" ca="1" si="34"/>
        <v/>
      </c>
      <c r="AK5" s="125" t="str">
        <f t="shared" ca="1" si="35"/>
        <v/>
      </c>
      <c r="AL5" s="125" t="str">
        <f t="shared" ca="1" si="36"/>
        <v/>
      </c>
      <c r="AM5" s="125" t="str">
        <f t="shared" ca="1" si="37"/>
        <v/>
      </c>
      <c r="AN5" s="125" t="str">
        <f t="shared" ca="1" si="38"/>
        <v/>
      </c>
      <c r="AO5" s="125" t="str">
        <f t="shared" ca="1" si="39"/>
        <v/>
      </c>
      <c r="AP5" s="125" t="str">
        <f t="shared" ca="1" si="40"/>
        <v/>
      </c>
      <c r="AQ5" s="125" t="str">
        <f t="shared" ca="1" si="41"/>
        <v/>
      </c>
      <c r="AR5" s="125" t="str">
        <f t="shared" ca="1" si="42"/>
        <v/>
      </c>
      <c r="AS5" s="125" t="str">
        <f t="shared" ca="1" si="43"/>
        <v/>
      </c>
      <c r="AT5" s="125" t="str">
        <f t="shared" ca="1" si="44"/>
        <v/>
      </c>
      <c r="AU5" s="125" t="str">
        <f t="shared" ca="1" si="45"/>
        <v/>
      </c>
      <c r="AV5" s="125" t="str">
        <f t="shared" ca="1" si="46"/>
        <v/>
      </c>
      <c r="AW5" s="125" t="str">
        <f t="shared" ca="1" si="47"/>
        <v/>
      </c>
      <c r="AX5" s="125" t="str">
        <f t="shared" ca="1" si="48"/>
        <v/>
      </c>
      <c r="AY5" s="125" t="str">
        <f t="shared" ca="1" si="49"/>
        <v/>
      </c>
      <c r="AZ5" s="125" t="str">
        <f t="shared" ca="1" si="50"/>
        <v/>
      </c>
      <c r="BA5" s="125" t="str">
        <f t="shared" ca="1" si="51"/>
        <v/>
      </c>
      <c r="BB5" s="125" t="str">
        <f t="shared" ca="1" si="52"/>
        <v/>
      </c>
      <c r="BC5" s="125" t="str">
        <f t="shared" ca="1" si="53"/>
        <v/>
      </c>
      <c r="BD5" s="125" t="str">
        <f t="shared" ca="1" si="54"/>
        <v/>
      </c>
      <c r="BE5" s="125" t="str">
        <f t="shared" ca="1" si="55"/>
        <v/>
      </c>
      <c r="BF5" s="125" t="str">
        <f t="shared" ca="1" si="56"/>
        <v/>
      </c>
      <c r="BG5" s="125" t="str">
        <f t="shared" ca="1" si="57"/>
        <v/>
      </c>
      <c r="BH5" s="125" t="str">
        <f t="shared" ca="1" si="58"/>
        <v/>
      </c>
      <c r="BI5" s="125" t="str">
        <f t="shared" ca="1" si="59"/>
        <v/>
      </c>
      <c r="BJ5" s="125" t="str">
        <f t="shared" ca="1" si="60"/>
        <v/>
      </c>
      <c r="BK5" s="125" t="str">
        <f t="shared" ca="1" si="61"/>
        <v/>
      </c>
      <c r="BL5" s="125" t="str">
        <f t="shared" ca="1" si="62"/>
        <v/>
      </c>
    </row>
    <row r="6" spans="1:65" ht="41.45" customHeight="1">
      <c r="A6" s="156"/>
      <c r="B6" s="126" t="str">
        <f t="shared" ca="1" si="0"/>
        <v/>
      </c>
      <c r="C6" s="125" t="str">
        <f t="shared" ca="1" si="1"/>
        <v/>
      </c>
      <c r="D6" s="125" t="str">
        <f t="shared" ca="1" si="2"/>
        <v/>
      </c>
      <c r="E6" s="125" t="str">
        <f t="shared" ca="1" si="3"/>
        <v/>
      </c>
      <c r="F6" s="125" t="str">
        <f t="shared" ca="1" si="4"/>
        <v/>
      </c>
      <c r="G6" s="125" t="str">
        <f t="shared" ca="1" si="5"/>
        <v/>
      </c>
      <c r="H6" s="125" t="str">
        <f t="shared" ca="1" si="6"/>
        <v/>
      </c>
      <c r="I6" s="125" t="str">
        <f t="shared" ca="1" si="7"/>
        <v/>
      </c>
      <c r="J6" s="125" t="str">
        <f t="shared" ca="1" si="8"/>
        <v/>
      </c>
      <c r="K6" s="125" t="str">
        <f t="shared" ca="1" si="9"/>
        <v/>
      </c>
      <c r="L6" s="125" t="str">
        <f t="shared" ca="1" si="10"/>
        <v/>
      </c>
      <c r="M6" s="125" t="str">
        <f t="shared" ca="1" si="11"/>
        <v/>
      </c>
      <c r="N6" s="125" t="str">
        <f t="shared" ca="1" si="12"/>
        <v/>
      </c>
      <c r="O6" s="125" t="str">
        <f t="shared" ca="1" si="13"/>
        <v/>
      </c>
      <c r="P6" s="125" t="str">
        <f t="shared" ca="1" si="14"/>
        <v/>
      </c>
      <c r="Q6" s="125" t="str">
        <f t="shared" ca="1" si="15"/>
        <v/>
      </c>
      <c r="R6" s="125" t="str">
        <f t="shared" ca="1" si="16"/>
        <v/>
      </c>
      <c r="S6" s="125" t="str">
        <f t="shared" ca="1" si="17"/>
        <v/>
      </c>
      <c r="T6" s="125" t="str">
        <f t="shared" ca="1" si="18"/>
        <v/>
      </c>
      <c r="U6" s="125" t="str">
        <f t="shared" ca="1" si="19"/>
        <v/>
      </c>
      <c r="V6" s="125" t="str">
        <f t="shared" ca="1" si="20"/>
        <v/>
      </c>
      <c r="W6" s="125" t="str">
        <f t="shared" ca="1" si="21"/>
        <v/>
      </c>
      <c r="X6" s="125" t="str">
        <f t="shared" ca="1" si="22"/>
        <v/>
      </c>
      <c r="Y6" s="125" t="str">
        <f t="shared" ca="1" si="23"/>
        <v/>
      </c>
      <c r="Z6" s="125" t="str">
        <f t="shared" ca="1" si="24"/>
        <v/>
      </c>
      <c r="AA6" s="125" t="str">
        <f t="shared" ca="1" si="25"/>
        <v/>
      </c>
      <c r="AB6" s="125" t="str">
        <f t="shared" ca="1" si="26"/>
        <v/>
      </c>
      <c r="AC6" s="125" t="str">
        <f t="shared" ca="1" si="27"/>
        <v/>
      </c>
      <c r="AD6" s="125" t="str">
        <f t="shared" ca="1" si="28"/>
        <v/>
      </c>
      <c r="AE6" s="125" t="str">
        <f t="shared" ca="1" si="29"/>
        <v/>
      </c>
      <c r="AF6" s="125" t="str">
        <f t="shared" ca="1" si="30"/>
        <v/>
      </c>
      <c r="AG6" s="125" t="str">
        <f t="shared" ca="1" si="31"/>
        <v/>
      </c>
      <c r="AH6" s="125" t="str">
        <f t="shared" ca="1" si="32"/>
        <v/>
      </c>
      <c r="AI6" s="125" t="str">
        <f t="shared" ca="1" si="33"/>
        <v/>
      </c>
      <c r="AJ6" s="125" t="str">
        <f t="shared" ca="1" si="34"/>
        <v/>
      </c>
      <c r="AK6" s="125" t="str">
        <f t="shared" ca="1" si="35"/>
        <v/>
      </c>
      <c r="AL6" s="125" t="str">
        <f t="shared" ca="1" si="36"/>
        <v/>
      </c>
      <c r="AM6" s="125" t="str">
        <f t="shared" ca="1" si="37"/>
        <v/>
      </c>
      <c r="AN6" s="125" t="str">
        <f t="shared" ca="1" si="38"/>
        <v/>
      </c>
      <c r="AO6" s="125" t="str">
        <f t="shared" ca="1" si="39"/>
        <v/>
      </c>
      <c r="AP6" s="125" t="str">
        <f t="shared" ca="1" si="40"/>
        <v/>
      </c>
      <c r="AQ6" s="125" t="str">
        <f t="shared" ca="1" si="41"/>
        <v/>
      </c>
      <c r="AR6" s="125" t="str">
        <f t="shared" ca="1" si="42"/>
        <v/>
      </c>
      <c r="AS6" s="125" t="str">
        <f t="shared" ca="1" si="43"/>
        <v/>
      </c>
      <c r="AT6" s="125" t="str">
        <f t="shared" ca="1" si="44"/>
        <v/>
      </c>
      <c r="AU6" s="125" t="str">
        <f t="shared" ca="1" si="45"/>
        <v/>
      </c>
      <c r="AV6" s="125" t="str">
        <f t="shared" ca="1" si="46"/>
        <v/>
      </c>
      <c r="AW6" s="125" t="str">
        <f t="shared" ca="1" si="47"/>
        <v/>
      </c>
      <c r="AX6" s="125" t="str">
        <f t="shared" ca="1" si="48"/>
        <v/>
      </c>
      <c r="AY6" s="125" t="str">
        <f t="shared" ca="1" si="49"/>
        <v/>
      </c>
      <c r="AZ6" s="125" t="str">
        <f t="shared" ca="1" si="50"/>
        <v/>
      </c>
      <c r="BA6" s="125" t="str">
        <f t="shared" ca="1" si="51"/>
        <v/>
      </c>
      <c r="BB6" s="125" t="str">
        <f t="shared" ca="1" si="52"/>
        <v/>
      </c>
      <c r="BC6" s="125" t="str">
        <f t="shared" ca="1" si="53"/>
        <v/>
      </c>
      <c r="BD6" s="125" t="str">
        <f t="shared" ca="1" si="54"/>
        <v/>
      </c>
      <c r="BE6" s="125" t="str">
        <f t="shared" ca="1" si="55"/>
        <v/>
      </c>
      <c r="BF6" s="125" t="str">
        <f t="shared" ca="1" si="56"/>
        <v/>
      </c>
      <c r="BG6" s="125" t="str">
        <f t="shared" ca="1" si="57"/>
        <v/>
      </c>
      <c r="BH6" s="125" t="str">
        <f t="shared" ca="1" si="58"/>
        <v/>
      </c>
      <c r="BI6" s="125" t="str">
        <f t="shared" ca="1" si="59"/>
        <v/>
      </c>
      <c r="BJ6" s="125" t="str">
        <f t="shared" ca="1" si="60"/>
        <v/>
      </c>
      <c r="BK6" s="125" t="str">
        <f t="shared" ca="1" si="61"/>
        <v/>
      </c>
      <c r="BL6" s="125" t="str">
        <f t="shared" ca="1" si="62"/>
        <v/>
      </c>
    </row>
    <row r="7" spans="1:65" ht="41.45" customHeight="1">
      <c r="A7" s="156"/>
      <c r="B7" s="126" t="str">
        <f t="shared" ca="1" si="0"/>
        <v/>
      </c>
      <c r="C7" s="125" t="str">
        <f t="shared" ca="1" si="1"/>
        <v/>
      </c>
      <c r="D7" s="125" t="str">
        <f t="shared" ca="1" si="2"/>
        <v/>
      </c>
      <c r="E7" s="125" t="str">
        <f t="shared" ca="1" si="3"/>
        <v/>
      </c>
      <c r="F7" s="125" t="str">
        <f t="shared" ca="1" si="4"/>
        <v/>
      </c>
      <c r="G7" s="125" t="str">
        <f t="shared" ca="1" si="5"/>
        <v/>
      </c>
      <c r="H7" s="125" t="str">
        <f t="shared" ca="1" si="6"/>
        <v/>
      </c>
      <c r="I7" s="125" t="str">
        <f t="shared" ca="1" si="7"/>
        <v/>
      </c>
      <c r="J7" s="125" t="str">
        <f t="shared" ca="1" si="8"/>
        <v/>
      </c>
      <c r="K7" s="125" t="str">
        <f t="shared" ca="1" si="9"/>
        <v/>
      </c>
      <c r="L7" s="125" t="str">
        <f t="shared" ca="1" si="10"/>
        <v/>
      </c>
      <c r="M7" s="125" t="str">
        <f t="shared" ca="1" si="11"/>
        <v/>
      </c>
      <c r="N7" s="125" t="str">
        <f t="shared" ca="1" si="12"/>
        <v/>
      </c>
      <c r="O7" s="125" t="str">
        <f t="shared" ca="1" si="13"/>
        <v/>
      </c>
      <c r="P7" s="125" t="str">
        <f t="shared" ca="1" si="14"/>
        <v/>
      </c>
      <c r="Q7" s="125" t="str">
        <f t="shared" ca="1" si="15"/>
        <v/>
      </c>
      <c r="R7" s="125" t="str">
        <f t="shared" ca="1" si="16"/>
        <v/>
      </c>
      <c r="S7" s="125" t="str">
        <f t="shared" ca="1" si="17"/>
        <v/>
      </c>
      <c r="T7" s="125" t="str">
        <f t="shared" ca="1" si="18"/>
        <v/>
      </c>
      <c r="U7" s="125" t="str">
        <f t="shared" ca="1" si="19"/>
        <v/>
      </c>
      <c r="V7" s="125" t="str">
        <f t="shared" ca="1" si="20"/>
        <v/>
      </c>
      <c r="W7" s="125" t="str">
        <f t="shared" ca="1" si="21"/>
        <v/>
      </c>
      <c r="X7" s="125" t="str">
        <f t="shared" ca="1" si="22"/>
        <v/>
      </c>
      <c r="Y7" s="125" t="str">
        <f t="shared" ca="1" si="23"/>
        <v/>
      </c>
      <c r="Z7" s="125" t="str">
        <f t="shared" ca="1" si="24"/>
        <v/>
      </c>
      <c r="AA7" s="125" t="str">
        <f t="shared" ca="1" si="25"/>
        <v/>
      </c>
      <c r="AB7" s="125" t="str">
        <f t="shared" ca="1" si="26"/>
        <v/>
      </c>
      <c r="AC7" s="125" t="str">
        <f t="shared" ca="1" si="27"/>
        <v/>
      </c>
      <c r="AD7" s="125" t="str">
        <f t="shared" ca="1" si="28"/>
        <v/>
      </c>
      <c r="AE7" s="125" t="str">
        <f t="shared" ca="1" si="29"/>
        <v/>
      </c>
      <c r="AF7" s="125" t="str">
        <f t="shared" ca="1" si="30"/>
        <v/>
      </c>
      <c r="AG7" s="125" t="str">
        <f t="shared" ca="1" si="31"/>
        <v/>
      </c>
      <c r="AH7" s="125" t="str">
        <f t="shared" ca="1" si="32"/>
        <v/>
      </c>
      <c r="AI7" s="125" t="str">
        <f t="shared" ca="1" si="33"/>
        <v/>
      </c>
      <c r="AJ7" s="125" t="str">
        <f t="shared" ca="1" si="34"/>
        <v/>
      </c>
      <c r="AK7" s="125" t="str">
        <f t="shared" ca="1" si="35"/>
        <v/>
      </c>
      <c r="AL7" s="125" t="str">
        <f t="shared" ca="1" si="36"/>
        <v/>
      </c>
      <c r="AM7" s="125" t="str">
        <f t="shared" ca="1" si="37"/>
        <v/>
      </c>
      <c r="AN7" s="125" t="str">
        <f t="shared" ca="1" si="38"/>
        <v/>
      </c>
      <c r="AO7" s="125" t="str">
        <f t="shared" ca="1" si="39"/>
        <v/>
      </c>
      <c r="AP7" s="125" t="str">
        <f t="shared" ca="1" si="40"/>
        <v/>
      </c>
      <c r="AQ7" s="125" t="str">
        <f t="shared" ca="1" si="41"/>
        <v/>
      </c>
      <c r="AR7" s="125" t="str">
        <f t="shared" ca="1" si="42"/>
        <v/>
      </c>
      <c r="AS7" s="125" t="str">
        <f t="shared" ca="1" si="43"/>
        <v/>
      </c>
      <c r="AT7" s="125" t="str">
        <f t="shared" ca="1" si="44"/>
        <v/>
      </c>
      <c r="AU7" s="125" t="str">
        <f t="shared" ca="1" si="45"/>
        <v/>
      </c>
      <c r="AV7" s="125" t="str">
        <f t="shared" ca="1" si="46"/>
        <v/>
      </c>
      <c r="AW7" s="125" t="str">
        <f t="shared" ca="1" si="47"/>
        <v/>
      </c>
      <c r="AX7" s="125" t="str">
        <f t="shared" ca="1" si="48"/>
        <v/>
      </c>
      <c r="AY7" s="125" t="str">
        <f t="shared" ca="1" si="49"/>
        <v/>
      </c>
      <c r="AZ7" s="125" t="str">
        <f t="shared" ca="1" si="50"/>
        <v/>
      </c>
      <c r="BA7" s="125" t="str">
        <f t="shared" ca="1" si="51"/>
        <v/>
      </c>
      <c r="BB7" s="125" t="str">
        <f t="shared" ca="1" si="52"/>
        <v/>
      </c>
      <c r="BC7" s="125" t="str">
        <f t="shared" ca="1" si="53"/>
        <v/>
      </c>
      <c r="BD7" s="125" t="str">
        <f t="shared" ca="1" si="54"/>
        <v/>
      </c>
      <c r="BE7" s="125" t="str">
        <f t="shared" ca="1" si="55"/>
        <v/>
      </c>
      <c r="BF7" s="125" t="str">
        <f t="shared" ca="1" si="56"/>
        <v/>
      </c>
      <c r="BG7" s="125" t="str">
        <f t="shared" ca="1" si="57"/>
        <v/>
      </c>
      <c r="BH7" s="125" t="str">
        <f t="shared" ca="1" si="58"/>
        <v/>
      </c>
      <c r="BI7" s="125" t="str">
        <f t="shared" ca="1" si="59"/>
        <v/>
      </c>
      <c r="BJ7" s="125" t="str">
        <f t="shared" ca="1" si="60"/>
        <v/>
      </c>
      <c r="BK7" s="125" t="str">
        <f t="shared" ca="1" si="61"/>
        <v/>
      </c>
      <c r="BL7" s="125" t="str">
        <f t="shared" ca="1" si="62"/>
        <v/>
      </c>
    </row>
    <row r="8" spans="1:65" ht="41.45" customHeight="1">
      <c r="A8" s="156"/>
      <c r="B8" s="126" t="str">
        <f t="shared" ca="1" si="0"/>
        <v/>
      </c>
      <c r="C8" s="125" t="str">
        <f t="shared" ca="1" si="1"/>
        <v/>
      </c>
      <c r="D8" s="125" t="str">
        <f t="shared" ca="1" si="2"/>
        <v/>
      </c>
      <c r="E8" s="125" t="str">
        <f t="shared" ca="1" si="3"/>
        <v/>
      </c>
      <c r="F8" s="125" t="str">
        <f t="shared" ca="1" si="4"/>
        <v/>
      </c>
      <c r="G8" s="125" t="str">
        <f t="shared" ca="1" si="5"/>
        <v/>
      </c>
      <c r="H8" s="125" t="str">
        <f t="shared" ca="1" si="6"/>
        <v/>
      </c>
      <c r="I8" s="125" t="str">
        <f t="shared" ca="1" si="7"/>
        <v/>
      </c>
      <c r="J8" s="125" t="str">
        <f t="shared" ca="1" si="8"/>
        <v/>
      </c>
      <c r="K8" s="125" t="str">
        <f t="shared" ca="1" si="9"/>
        <v/>
      </c>
      <c r="L8" s="125" t="str">
        <f t="shared" ca="1" si="10"/>
        <v/>
      </c>
      <c r="M8" s="125" t="str">
        <f t="shared" ca="1" si="11"/>
        <v/>
      </c>
      <c r="N8" s="125" t="str">
        <f t="shared" ca="1" si="12"/>
        <v/>
      </c>
      <c r="O8" s="125" t="str">
        <f t="shared" ca="1" si="13"/>
        <v/>
      </c>
      <c r="P8" s="125" t="str">
        <f t="shared" ca="1" si="14"/>
        <v/>
      </c>
      <c r="Q8" s="125" t="str">
        <f t="shared" ca="1" si="15"/>
        <v/>
      </c>
      <c r="R8" s="125" t="str">
        <f t="shared" ca="1" si="16"/>
        <v/>
      </c>
      <c r="S8" s="125" t="str">
        <f t="shared" ca="1" si="17"/>
        <v/>
      </c>
      <c r="T8" s="125" t="str">
        <f t="shared" ca="1" si="18"/>
        <v/>
      </c>
      <c r="U8" s="125" t="str">
        <f t="shared" ca="1" si="19"/>
        <v/>
      </c>
      <c r="V8" s="125" t="str">
        <f t="shared" ca="1" si="20"/>
        <v/>
      </c>
      <c r="W8" s="125" t="str">
        <f t="shared" ca="1" si="21"/>
        <v/>
      </c>
      <c r="X8" s="125" t="str">
        <f t="shared" ca="1" si="22"/>
        <v/>
      </c>
      <c r="Y8" s="125" t="str">
        <f t="shared" ca="1" si="23"/>
        <v/>
      </c>
      <c r="Z8" s="125" t="str">
        <f t="shared" ca="1" si="24"/>
        <v/>
      </c>
      <c r="AA8" s="125" t="str">
        <f t="shared" ca="1" si="25"/>
        <v/>
      </c>
      <c r="AB8" s="125" t="str">
        <f t="shared" ca="1" si="26"/>
        <v/>
      </c>
      <c r="AC8" s="125" t="str">
        <f t="shared" ca="1" si="27"/>
        <v/>
      </c>
      <c r="AD8" s="125" t="str">
        <f t="shared" ca="1" si="28"/>
        <v/>
      </c>
      <c r="AE8" s="125" t="str">
        <f t="shared" ca="1" si="29"/>
        <v/>
      </c>
      <c r="AF8" s="125" t="str">
        <f t="shared" ca="1" si="30"/>
        <v/>
      </c>
      <c r="AG8" s="125" t="str">
        <f t="shared" ca="1" si="31"/>
        <v/>
      </c>
      <c r="AH8" s="125" t="str">
        <f t="shared" ca="1" si="32"/>
        <v/>
      </c>
      <c r="AI8" s="125" t="str">
        <f t="shared" ca="1" si="33"/>
        <v/>
      </c>
      <c r="AJ8" s="125" t="str">
        <f t="shared" ca="1" si="34"/>
        <v/>
      </c>
      <c r="AK8" s="125" t="str">
        <f t="shared" ca="1" si="35"/>
        <v/>
      </c>
      <c r="AL8" s="125" t="str">
        <f t="shared" ca="1" si="36"/>
        <v/>
      </c>
      <c r="AM8" s="125" t="str">
        <f t="shared" ca="1" si="37"/>
        <v/>
      </c>
      <c r="AN8" s="125" t="str">
        <f t="shared" ca="1" si="38"/>
        <v/>
      </c>
      <c r="AO8" s="125" t="str">
        <f t="shared" ca="1" si="39"/>
        <v/>
      </c>
      <c r="AP8" s="125" t="str">
        <f t="shared" ca="1" si="40"/>
        <v/>
      </c>
      <c r="AQ8" s="125" t="str">
        <f t="shared" ca="1" si="41"/>
        <v/>
      </c>
      <c r="AR8" s="125" t="str">
        <f t="shared" ca="1" si="42"/>
        <v/>
      </c>
      <c r="AS8" s="125" t="str">
        <f t="shared" ca="1" si="43"/>
        <v/>
      </c>
      <c r="AT8" s="125" t="str">
        <f t="shared" ca="1" si="44"/>
        <v/>
      </c>
      <c r="AU8" s="125" t="str">
        <f t="shared" ca="1" si="45"/>
        <v/>
      </c>
      <c r="AV8" s="125" t="str">
        <f t="shared" ca="1" si="46"/>
        <v/>
      </c>
      <c r="AW8" s="125" t="str">
        <f t="shared" ca="1" si="47"/>
        <v/>
      </c>
      <c r="AX8" s="125" t="str">
        <f t="shared" ca="1" si="48"/>
        <v/>
      </c>
      <c r="AY8" s="125" t="str">
        <f t="shared" ca="1" si="49"/>
        <v/>
      </c>
      <c r="AZ8" s="125" t="str">
        <f t="shared" ca="1" si="50"/>
        <v/>
      </c>
      <c r="BA8" s="125" t="str">
        <f t="shared" ca="1" si="51"/>
        <v/>
      </c>
      <c r="BB8" s="125" t="str">
        <f t="shared" ca="1" si="52"/>
        <v/>
      </c>
      <c r="BC8" s="125" t="str">
        <f t="shared" ca="1" si="53"/>
        <v/>
      </c>
      <c r="BD8" s="125" t="str">
        <f t="shared" ca="1" si="54"/>
        <v/>
      </c>
      <c r="BE8" s="125" t="str">
        <f t="shared" ca="1" si="55"/>
        <v/>
      </c>
      <c r="BF8" s="125" t="str">
        <f t="shared" ca="1" si="56"/>
        <v/>
      </c>
      <c r="BG8" s="125" t="str">
        <f t="shared" ca="1" si="57"/>
        <v/>
      </c>
      <c r="BH8" s="125" t="str">
        <f t="shared" ca="1" si="58"/>
        <v/>
      </c>
      <c r="BI8" s="125" t="str">
        <f t="shared" ca="1" si="59"/>
        <v/>
      </c>
      <c r="BJ8" s="125" t="str">
        <f t="shared" ca="1" si="60"/>
        <v/>
      </c>
      <c r="BK8" s="125" t="str">
        <f t="shared" ca="1" si="61"/>
        <v/>
      </c>
      <c r="BL8" s="125" t="str">
        <f t="shared" ca="1" si="62"/>
        <v/>
      </c>
    </row>
    <row r="9" spans="1:65" ht="41.45" customHeight="1">
      <c r="A9" s="156"/>
      <c r="B9" s="126" t="str">
        <f t="shared" ca="1" si="0"/>
        <v/>
      </c>
      <c r="C9" s="125" t="str">
        <f t="shared" ca="1" si="1"/>
        <v/>
      </c>
      <c r="D9" s="125" t="str">
        <f t="shared" ca="1" si="2"/>
        <v/>
      </c>
      <c r="E9" s="125" t="str">
        <f t="shared" ca="1" si="3"/>
        <v/>
      </c>
      <c r="F9" s="125" t="str">
        <f t="shared" ca="1" si="4"/>
        <v/>
      </c>
      <c r="G9" s="125" t="str">
        <f t="shared" ca="1" si="5"/>
        <v/>
      </c>
      <c r="H9" s="125" t="str">
        <f t="shared" ca="1" si="6"/>
        <v/>
      </c>
      <c r="I9" s="125" t="str">
        <f t="shared" ca="1" si="7"/>
        <v/>
      </c>
      <c r="J9" s="125" t="str">
        <f t="shared" ca="1" si="8"/>
        <v/>
      </c>
      <c r="K9" s="125" t="str">
        <f t="shared" ca="1" si="9"/>
        <v/>
      </c>
      <c r="L9" s="125" t="str">
        <f t="shared" ca="1" si="10"/>
        <v/>
      </c>
      <c r="M9" s="125" t="str">
        <f t="shared" ca="1" si="11"/>
        <v/>
      </c>
      <c r="N9" s="125" t="str">
        <f t="shared" ca="1" si="12"/>
        <v/>
      </c>
      <c r="O9" s="125" t="str">
        <f t="shared" ca="1" si="13"/>
        <v/>
      </c>
      <c r="P9" s="125" t="str">
        <f t="shared" ca="1" si="14"/>
        <v/>
      </c>
      <c r="Q9" s="125" t="str">
        <f t="shared" ca="1" si="15"/>
        <v/>
      </c>
      <c r="R9" s="125" t="str">
        <f t="shared" ca="1" si="16"/>
        <v/>
      </c>
      <c r="S9" s="125" t="str">
        <f t="shared" ca="1" si="17"/>
        <v/>
      </c>
      <c r="T9" s="125" t="str">
        <f t="shared" ca="1" si="18"/>
        <v/>
      </c>
      <c r="U9" s="125" t="str">
        <f t="shared" ca="1" si="19"/>
        <v/>
      </c>
      <c r="V9" s="125" t="str">
        <f t="shared" ca="1" si="20"/>
        <v/>
      </c>
      <c r="W9" s="125" t="str">
        <f t="shared" ca="1" si="21"/>
        <v/>
      </c>
      <c r="X9" s="125" t="str">
        <f t="shared" ca="1" si="22"/>
        <v/>
      </c>
      <c r="Y9" s="125" t="str">
        <f t="shared" ca="1" si="23"/>
        <v/>
      </c>
      <c r="Z9" s="125" t="str">
        <f t="shared" ca="1" si="24"/>
        <v/>
      </c>
      <c r="AA9" s="125" t="str">
        <f t="shared" ca="1" si="25"/>
        <v/>
      </c>
      <c r="AB9" s="125" t="str">
        <f t="shared" ca="1" si="26"/>
        <v/>
      </c>
      <c r="AC9" s="125" t="str">
        <f t="shared" ca="1" si="27"/>
        <v/>
      </c>
      <c r="AD9" s="125" t="str">
        <f t="shared" ca="1" si="28"/>
        <v/>
      </c>
      <c r="AE9" s="125" t="str">
        <f t="shared" ca="1" si="29"/>
        <v/>
      </c>
      <c r="AF9" s="125" t="str">
        <f t="shared" ca="1" si="30"/>
        <v/>
      </c>
      <c r="AG9" s="125" t="str">
        <f t="shared" ca="1" si="31"/>
        <v/>
      </c>
      <c r="AH9" s="125" t="str">
        <f t="shared" ca="1" si="32"/>
        <v/>
      </c>
      <c r="AI9" s="125" t="str">
        <f t="shared" ca="1" si="33"/>
        <v/>
      </c>
      <c r="AJ9" s="125" t="str">
        <f t="shared" ca="1" si="34"/>
        <v/>
      </c>
      <c r="AK9" s="125" t="str">
        <f t="shared" ca="1" si="35"/>
        <v/>
      </c>
      <c r="AL9" s="125" t="str">
        <f t="shared" ca="1" si="36"/>
        <v/>
      </c>
      <c r="AM9" s="125" t="str">
        <f t="shared" ca="1" si="37"/>
        <v/>
      </c>
      <c r="AN9" s="125" t="str">
        <f t="shared" ca="1" si="38"/>
        <v/>
      </c>
      <c r="AO9" s="125" t="str">
        <f t="shared" ca="1" si="39"/>
        <v/>
      </c>
      <c r="AP9" s="125" t="str">
        <f t="shared" ca="1" si="40"/>
        <v/>
      </c>
      <c r="AQ9" s="125" t="str">
        <f t="shared" ca="1" si="41"/>
        <v/>
      </c>
      <c r="AR9" s="125" t="str">
        <f t="shared" ca="1" si="42"/>
        <v/>
      </c>
      <c r="AS9" s="125" t="str">
        <f t="shared" ca="1" si="43"/>
        <v/>
      </c>
      <c r="AT9" s="125" t="str">
        <f t="shared" ca="1" si="44"/>
        <v/>
      </c>
      <c r="AU9" s="125" t="str">
        <f t="shared" ca="1" si="45"/>
        <v/>
      </c>
      <c r="AV9" s="125" t="str">
        <f t="shared" ca="1" si="46"/>
        <v/>
      </c>
      <c r="AW9" s="125" t="str">
        <f t="shared" ca="1" si="47"/>
        <v/>
      </c>
      <c r="AX9" s="125" t="str">
        <f t="shared" ca="1" si="48"/>
        <v/>
      </c>
      <c r="AY9" s="125" t="str">
        <f t="shared" ca="1" si="49"/>
        <v/>
      </c>
      <c r="AZ9" s="125" t="str">
        <f t="shared" ca="1" si="50"/>
        <v/>
      </c>
      <c r="BA9" s="125" t="str">
        <f t="shared" ca="1" si="51"/>
        <v/>
      </c>
      <c r="BB9" s="125" t="str">
        <f t="shared" ca="1" si="52"/>
        <v/>
      </c>
      <c r="BC9" s="125" t="str">
        <f t="shared" ca="1" si="53"/>
        <v/>
      </c>
      <c r="BD9" s="125" t="str">
        <f t="shared" ca="1" si="54"/>
        <v/>
      </c>
      <c r="BE9" s="125" t="str">
        <f t="shared" ca="1" si="55"/>
        <v/>
      </c>
      <c r="BF9" s="125" t="str">
        <f t="shared" ca="1" si="56"/>
        <v/>
      </c>
      <c r="BG9" s="125" t="str">
        <f t="shared" ca="1" si="57"/>
        <v/>
      </c>
      <c r="BH9" s="125" t="str">
        <f t="shared" ca="1" si="58"/>
        <v/>
      </c>
      <c r="BI9" s="125" t="str">
        <f t="shared" ca="1" si="59"/>
        <v/>
      </c>
      <c r="BJ9" s="125" t="str">
        <f t="shared" ca="1" si="60"/>
        <v/>
      </c>
      <c r="BK9" s="125" t="str">
        <f t="shared" ca="1" si="61"/>
        <v/>
      </c>
      <c r="BL9" s="125" t="str">
        <f t="shared" ca="1" si="62"/>
        <v/>
      </c>
    </row>
    <row r="10" spans="1:65" ht="41.45" customHeight="1">
      <c r="A10" s="156"/>
      <c r="B10" s="126" t="str">
        <f t="shared" ca="1" si="0"/>
        <v/>
      </c>
      <c r="C10" s="125" t="str">
        <f t="shared" ca="1" si="1"/>
        <v/>
      </c>
      <c r="D10" s="125" t="str">
        <f t="shared" ca="1" si="2"/>
        <v/>
      </c>
      <c r="E10" s="125" t="str">
        <f t="shared" ca="1" si="3"/>
        <v/>
      </c>
      <c r="F10" s="125" t="str">
        <f t="shared" ca="1" si="4"/>
        <v/>
      </c>
      <c r="G10" s="125" t="str">
        <f t="shared" ca="1" si="5"/>
        <v/>
      </c>
      <c r="H10" s="125" t="str">
        <f t="shared" ca="1" si="6"/>
        <v/>
      </c>
      <c r="I10" s="125" t="str">
        <f t="shared" ca="1" si="7"/>
        <v/>
      </c>
      <c r="J10" s="125" t="str">
        <f t="shared" ca="1" si="8"/>
        <v/>
      </c>
      <c r="K10" s="125" t="str">
        <f t="shared" ca="1" si="9"/>
        <v/>
      </c>
      <c r="L10" s="125" t="str">
        <f t="shared" ca="1" si="10"/>
        <v/>
      </c>
      <c r="M10" s="125" t="str">
        <f t="shared" ca="1" si="11"/>
        <v/>
      </c>
      <c r="N10" s="125" t="str">
        <f t="shared" ca="1" si="12"/>
        <v/>
      </c>
      <c r="O10" s="125" t="str">
        <f t="shared" ca="1" si="13"/>
        <v/>
      </c>
      <c r="P10" s="125" t="str">
        <f t="shared" ca="1" si="14"/>
        <v/>
      </c>
      <c r="Q10" s="125" t="str">
        <f t="shared" ca="1" si="15"/>
        <v/>
      </c>
      <c r="R10" s="125" t="str">
        <f t="shared" ca="1" si="16"/>
        <v/>
      </c>
      <c r="S10" s="125" t="str">
        <f t="shared" ca="1" si="17"/>
        <v/>
      </c>
      <c r="T10" s="125" t="str">
        <f t="shared" ca="1" si="18"/>
        <v/>
      </c>
      <c r="U10" s="125" t="str">
        <f t="shared" ca="1" si="19"/>
        <v/>
      </c>
      <c r="V10" s="125" t="str">
        <f t="shared" ca="1" si="20"/>
        <v/>
      </c>
      <c r="W10" s="125" t="str">
        <f t="shared" ca="1" si="21"/>
        <v/>
      </c>
      <c r="X10" s="125" t="str">
        <f t="shared" ca="1" si="22"/>
        <v/>
      </c>
      <c r="Y10" s="125" t="str">
        <f t="shared" ca="1" si="23"/>
        <v/>
      </c>
      <c r="Z10" s="125" t="str">
        <f t="shared" ca="1" si="24"/>
        <v/>
      </c>
      <c r="AA10" s="125" t="str">
        <f t="shared" ca="1" si="25"/>
        <v/>
      </c>
      <c r="AB10" s="125" t="str">
        <f t="shared" ca="1" si="26"/>
        <v/>
      </c>
      <c r="AC10" s="125" t="str">
        <f t="shared" ca="1" si="27"/>
        <v/>
      </c>
      <c r="AD10" s="125" t="str">
        <f t="shared" ca="1" si="28"/>
        <v/>
      </c>
      <c r="AE10" s="125" t="str">
        <f t="shared" ca="1" si="29"/>
        <v/>
      </c>
      <c r="AF10" s="125" t="str">
        <f t="shared" ca="1" si="30"/>
        <v/>
      </c>
      <c r="AG10" s="125" t="str">
        <f t="shared" ca="1" si="31"/>
        <v/>
      </c>
      <c r="AH10" s="125" t="str">
        <f t="shared" ca="1" si="32"/>
        <v/>
      </c>
      <c r="AI10" s="125" t="str">
        <f t="shared" ca="1" si="33"/>
        <v/>
      </c>
      <c r="AJ10" s="125" t="str">
        <f t="shared" ca="1" si="34"/>
        <v/>
      </c>
      <c r="AK10" s="125" t="str">
        <f t="shared" ca="1" si="35"/>
        <v/>
      </c>
      <c r="AL10" s="125" t="str">
        <f t="shared" ca="1" si="36"/>
        <v/>
      </c>
      <c r="AM10" s="125" t="str">
        <f t="shared" ca="1" si="37"/>
        <v/>
      </c>
      <c r="AN10" s="125" t="str">
        <f t="shared" ca="1" si="38"/>
        <v/>
      </c>
      <c r="AO10" s="125" t="str">
        <f t="shared" ca="1" si="39"/>
        <v/>
      </c>
      <c r="AP10" s="125" t="str">
        <f t="shared" ca="1" si="40"/>
        <v/>
      </c>
      <c r="AQ10" s="125" t="str">
        <f t="shared" ca="1" si="41"/>
        <v/>
      </c>
      <c r="AR10" s="125" t="str">
        <f t="shared" ca="1" si="42"/>
        <v/>
      </c>
      <c r="AS10" s="125" t="str">
        <f t="shared" ca="1" si="43"/>
        <v/>
      </c>
      <c r="AT10" s="125" t="str">
        <f t="shared" ca="1" si="44"/>
        <v/>
      </c>
      <c r="AU10" s="125" t="str">
        <f t="shared" ca="1" si="45"/>
        <v/>
      </c>
      <c r="AV10" s="125" t="str">
        <f t="shared" ca="1" si="46"/>
        <v/>
      </c>
      <c r="AW10" s="125" t="str">
        <f t="shared" ca="1" si="47"/>
        <v/>
      </c>
      <c r="AX10" s="125" t="str">
        <f t="shared" ca="1" si="48"/>
        <v/>
      </c>
      <c r="AY10" s="125" t="str">
        <f t="shared" ca="1" si="49"/>
        <v/>
      </c>
      <c r="AZ10" s="125" t="str">
        <f t="shared" ca="1" si="50"/>
        <v/>
      </c>
      <c r="BA10" s="125" t="str">
        <f t="shared" ca="1" si="51"/>
        <v/>
      </c>
      <c r="BB10" s="125" t="str">
        <f t="shared" ca="1" si="52"/>
        <v/>
      </c>
      <c r="BC10" s="125" t="str">
        <f t="shared" ca="1" si="53"/>
        <v/>
      </c>
      <c r="BD10" s="125" t="str">
        <f t="shared" ca="1" si="54"/>
        <v/>
      </c>
      <c r="BE10" s="125" t="str">
        <f t="shared" ca="1" si="55"/>
        <v/>
      </c>
      <c r="BF10" s="125" t="str">
        <f t="shared" ca="1" si="56"/>
        <v/>
      </c>
      <c r="BG10" s="125" t="str">
        <f t="shared" ca="1" si="57"/>
        <v/>
      </c>
      <c r="BH10" s="125" t="str">
        <f t="shared" ca="1" si="58"/>
        <v/>
      </c>
      <c r="BI10" s="125" t="str">
        <f t="shared" ca="1" si="59"/>
        <v/>
      </c>
      <c r="BJ10" s="125" t="str">
        <f t="shared" ca="1" si="60"/>
        <v/>
      </c>
      <c r="BK10" s="125" t="str">
        <f t="shared" ca="1" si="61"/>
        <v/>
      </c>
      <c r="BL10" s="125" t="str">
        <f t="shared" ca="1" si="62"/>
        <v/>
      </c>
    </row>
    <row r="11" spans="1:65" ht="41.45" customHeight="1">
      <c r="A11" s="156"/>
      <c r="B11" s="126" t="str">
        <f t="shared" ca="1" si="0"/>
        <v/>
      </c>
      <c r="C11" s="125" t="str">
        <f t="shared" ca="1" si="1"/>
        <v/>
      </c>
      <c r="D11" s="125" t="str">
        <f t="shared" ca="1" si="2"/>
        <v/>
      </c>
      <c r="E11" s="125" t="str">
        <f t="shared" ca="1" si="3"/>
        <v/>
      </c>
      <c r="F11" s="125" t="str">
        <f t="shared" ca="1" si="4"/>
        <v/>
      </c>
      <c r="G11" s="125" t="str">
        <f t="shared" ca="1" si="5"/>
        <v/>
      </c>
      <c r="H11" s="125" t="str">
        <f t="shared" ca="1" si="6"/>
        <v/>
      </c>
      <c r="I11" s="125" t="str">
        <f t="shared" ca="1" si="7"/>
        <v/>
      </c>
      <c r="J11" s="125" t="str">
        <f t="shared" ca="1" si="8"/>
        <v/>
      </c>
      <c r="K11" s="125" t="str">
        <f t="shared" ca="1" si="9"/>
        <v/>
      </c>
      <c r="L11" s="125" t="str">
        <f t="shared" ca="1" si="10"/>
        <v/>
      </c>
      <c r="M11" s="125" t="str">
        <f t="shared" ca="1" si="11"/>
        <v/>
      </c>
      <c r="N11" s="125" t="str">
        <f t="shared" ca="1" si="12"/>
        <v/>
      </c>
      <c r="O11" s="125" t="str">
        <f t="shared" ca="1" si="13"/>
        <v/>
      </c>
      <c r="P11" s="125" t="str">
        <f t="shared" ca="1" si="14"/>
        <v/>
      </c>
      <c r="Q11" s="125" t="str">
        <f t="shared" ca="1" si="15"/>
        <v/>
      </c>
      <c r="R11" s="125" t="str">
        <f t="shared" ca="1" si="16"/>
        <v/>
      </c>
      <c r="S11" s="125" t="str">
        <f t="shared" ca="1" si="17"/>
        <v/>
      </c>
      <c r="T11" s="125" t="str">
        <f t="shared" ca="1" si="18"/>
        <v/>
      </c>
      <c r="U11" s="125" t="str">
        <f t="shared" ca="1" si="19"/>
        <v/>
      </c>
      <c r="V11" s="125" t="str">
        <f t="shared" ca="1" si="20"/>
        <v/>
      </c>
      <c r="W11" s="125" t="str">
        <f t="shared" ca="1" si="21"/>
        <v/>
      </c>
      <c r="X11" s="125" t="str">
        <f t="shared" ca="1" si="22"/>
        <v/>
      </c>
      <c r="Y11" s="125" t="str">
        <f t="shared" ca="1" si="23"/>
        <v/>
      </c>
      <c r="Z11" s="125" t="str">
        <f t="shared" ca="1" si="24"/>
        <v/>
      </c>
      <c r="AA11" s="125" t="str">
        <f t="shared" ca="1" si="25"/>
        <v/>
      </c>
      <c r="AB11" s="125" t="str">
        <f t="shared" ca="1" si="26"/>
        <v/>
      </c>
      <c r="AC11" s="125" t="str">
        <f t="shared" ca="1" si="27"/>
        <v/>
      </c>
      <c r="AD11" s="125" t="str">
        <f t="shared" ca="1" si="28"/>
        <v/>
      </c>
      <c r="AE11" s="125" t="str">
        <f t="shared" ca="1" si="29"/>
        <v/>
      </c>
      <c r="AF11" s="125" t="str">
        <f t="shared" ca="1" si="30"/>
        <v/>
      </c>
      <c r="AG11" s="125" t="str">
        <f t="shared" ca="1" si="31"/>
        <v/>
      </c>
      <c r="AH11" s="125" t="str">
        <f t="shared" ca="1" si="32"/>
        <v/>
      </c>
      <c r="AI11" s="125" t="str">
        <f t="shared" ca="1" si="33"/>
        <v/>
      </c>
      <c r="AJ11" s="125" t="str">
        <f t="shared" ca="1" si="34"/>
        <v/>
      </c>
      <c r="AK11" s="125" t="str">
        <f t="shared" ca="1" si="35"/>
        <v/>
      </c>
      <c r="AL11" s="125" t="str">
        <f t="shared" ca="1" si="36"/>
        <v/>
      </c>
      <c r="AM11" s="125" t="str">
        <f t="shared" ca="1" si="37"/>
        <v/>
      </c>
      <c r="AN11" s="125" t="str">
        <f t="shared" ca="1" si="38"/>
        <v/>
      </c>
      <c r="AO11" s="125" t="str">
        <f t="shared" ca="1" si="39"/>
        <v/>
      </c>
      <c r="AP11" s="125" t="str">
        <f t="shared" ca="1" si="40"/>
        <v/>
      </c>
      <c r="AQ11" s="125" t="str">
        <f t="shared" ca="1" si="41"/>
        <v/>
      </c>
      <c r="AR11" s="125" t="str">
        <f t="shared" ca="1" si="42"/>
        <v/>
      </c>
      <c r="AS11" s="125" t="str">
        <f t="shared" ca="1" si="43"/>
        <v/>
      </c>
      <c r="AT11" s="125" t="str">
        <f t="shared" ca="1" si="44"/>
        <v/>
      </c>
      <c r="AU11" s="125" t="str">
        <f t="shared" ca="1" si="45"/>
        <v/>
      </c>
      <c r="AV11" s="125" t="str">
        <f t="shared" ca="1" si="46"/>
        <v/>
      </c>
      <c r="AW11" s="125" t="str">
        <f t="shared" ca="1" si="47"/>
        <v/>
      </c>
      <c r="AX11" s="125" t="str">
        <f t="shared" ca="1" si="48"/>
        <v/>
      </c>
      <c r="AY11" s="125" t="str">
        <f t="shared" ca="1" si="49"/>
        <v/>
      </c>
      <c r="AZ11" s="125" t="str">
        <f t="shared" ca="1" si="50"/>
        <v/>
      </c>
      <c r="BA11" s="125" t="str">
        <f t="shared" ca="1" si="51"/>
        <v/>
      </c>
      <c r="BB11" s="125" t="str">
        <f t="shared" ca="1" si="52"/>
        <v/>
      </c>
      <c r="BC11" s="125" t="str">
        <f t="shared" ca="1" si="53"/>
        <v/>
      </c>
      <c r="BD11" s="125" t="str">
        <f t="shared" ca="1" si="54"/>
        <v/>
      </c>
      <c r="BE11" s="125" t="str">
        <f t="shared" ca="1" si="55"/>
        <v/>
      </c>
      <c r="BF11" s="125" t="str">
        <f t="shared" ca="1" si="56"/>
        <v/>
      </c>
      <c r="BG11" s="125" t="str">
        <f t="shared" ca="1" si="57"/>
        <v/>
      </c>
      <c r="BH11" s="125" t="str">
        <f t="shared" ca="1" si="58"/>
        <v/>
      </c>
      <c r="BI11" s="125" t="str">
        <f t="shared" ca="1" si="59"/>
        <v/>
      </c>
      <c r="BJ11" s="125" t="str">
        <f t="shared" ca="1" si="60"/>
        <v/>
      </c>
      <c r="BK11" s="125" t="str">
        <f t="shared" ca="1" si="61"/>
        <v/>
      </c>
      <c r="BL11" s="125" t="str">
        <f t="shared" ca="1" si="62"/>
        <v/>
      </c>
    </row>
    <row r="12" spans="1:65" ht="41.45" customHeight="1">
      <c r="A12" s="156"/>
      <c r="B12" s="126" t="str">
        <f t="shared" ca="1" si="0"/>
        <v/>
      </c>
      <c r="C12" s="125" t="str">
        <f t="shared" ca="1" si="1"/>
        <v/>
      </c>
      <c r="D12" s="125" t="str">
        <f t="shared" ca="1" si="2"/>
        <v/>
      </c>
      <c r="E12" s="125" t="str">
        <f t="shared" ca="1" si="3"/>
        <v/>
      </c>
      <c r="F12" s="125" t="str">
        <f t="shared" ca="1" si="4"/>
        <v/>
      </c>
      <c r="G12" s="125" t="str">
        <f t="shared" ca="1" si="5"/>
        <v/>
      </c>
      <c r="H12" s="125" t="str">
        <f t="shared" ca="1" si="6"/>
        <v/>
      </c>
      <c r="I12" s="125" t="str">
        <f t="shared" ca="1" si="7"/>
        <v/>
      </c>
      <c r="J12" s="125" t="str">
        <f t="shared" ca="1" si="8"/>
        <v/>
      </c>
      <c r="K12" s="125" t="str">
        <f t="shared" ca="1" si="9"/>
        <v/>
      </c>
      <c r="L12" s="125" t="str">
        <f t="shared" ca="1" si="10"/>
        <v/>
      </c>
      <c r="M12" s="125" t="str">
        <f t="shared" ca="1" si="11"/>
        <v/>
      </c>
      <c r="N12" s="125" t="str">
        <f t="shared" ca="1" si="12"/>
        <v/>
      </c>
      <c r="O12" s="125" t="str">
        <f t="shared" ca="1" si="13"/>
        <v/>
      </c>
      <c r="P12" s="125" t="str">
        <f t="shared" ca="1" si="14"/>
        <v/>
      </c>
      <c r="Q12" s="125" t="str">
        <f t="shared" ca="1" si="15"/>
        <v/>
      </c>
      <c r="R12" s="125" t="str">
        <f t="shared" ca="1" si="16"/>
        <v/>
      </c>
      <c r="S12" s="125" t="str">
        <f t="shared" ca="1" si="17"/>
        <v/>
      </c>
      <c r="T12" s="125" t="str">
        <f t="shared" ca="1" si="18"/>
        <v/>
      </c>
      <c r="U12" s="125" t="str">
        <f t="shared" ca="1" si="19"/>
        <v/>
      </c>
      <c r="V12" s="125" t="str">
        <f t="shared" ca="1" si="20"/>
        <v/>
      </c>
      <c r="W12" s="125" t="str">
        <f t="shared" ca="1" si="21"/>
        <v/>
      </c>
      <c r="X12" s="125" t="str">
        <f t="shared" ca="1" si="22"/>
        <v/>
      </c>
      <c r="Y12" s="125" t="str">
        <f t="shared" ca="1" si="23"/>
        <v/>
      </c>
      <c r="Z12" s="125" t="str">
        <f t="shared" ca="1" si="24"/>
        <v/>
      </c>
      <c r="AA12" s="125" t="str">
        <f t="shared" ca="1" si="25"/>
        <v/>
      </c>
      <c r="AB12" s="125" t="str">
        <f t="shared" ca="1" si="26"/>
        <v/>
      </c>
      <c r="AC12" s="125" t="str">
        <f t="shared" ca="1" si="27"/>
        <v/>
      </c>
      <c r="AD12" s="125" t="str">
        <f t="shared" ca="1" si="28"/>
        <v/>
      </c>
      <c r="AE12" s="125" t="str">
        <f t="shared" ca="1" si="29"/>
        <v/>
      </c>
      <c r="AF12" s="125" t="str">
        <f t="shared" ca="1" si="30"/>
        <v/>
      </c>
      <c r="AG12" s="125" t="str">
        <f t="shared" ca="1" si="31"/>
        <v/>
      </c>
      <c r="AH12" s="125" t="str">
        <f t="shared" ca="1" si="32"/>
        <v/>
      </c>
      <c r="AI12" s="125" t="str">
        <f t="shared" ca="1" si="33"/>
        <v/>
      </c>
      <c r="AJ12" s="125" t="str">
        <f t="shared" ca="1" si="34"/>
        <v/>
      </c>
      <c r="AK12" s="125" t="str">
        <f t="shared" ca="1" si="35"/>
        <v/>
      </c>
      <c r="AL12" s="125" t="str">
        <f t="shared" ca="1" si="36"/>
        <v/>
      </c>
      <c r="AM12" s="125" t="str">
        <f t="shared" ca="1" si="37"/>
        <v/>
      </c>
      <c r="AN12" s="125" t="str">
        <f t="shared" ca="1" si="38"/>
        <v/>
      </c>
      <c r="AO12" s="125" t="str">
        <f t="shared" ca="1" si="39"/>
        <v/>
      </c>
      <c r="AP12" s="125" t="str">
        <f t="shared" ca="1" si="40"/>
        <v/>
      </c>
      <c r="AQ12" s="125" t="str">
        <f t="shared" ca="1" si="41"/>
        <v/>
      </c>
      <c r="AR12" s="125" t="str">
        <f t="shared" ca="1" si="42"/>
        <v/>
      </c>
      <c r="AS12" s="125" t="str">
        <f t="shared" ca="1" si="43"/>
        <v/>
      </c>
      <c r="AT12" s="125" t="str">
        <f t="shared" ca="1" si="44"/>
        <v/>
      </c>
      <c r="AU12" s="125" t="str">
        <f t="shared" ca="1" si="45"/>
        <v/>
      </c>
      <c r="AV12" s="125" t="str">
        <f t="shared" ca="1" si="46"/>
        <v/>
      </c>
      <c r="AW12" s="125" t="str">
        <f t="shared" ca="1" si="47"/>
        <v/>
      </c>
      <c r="AX12" s="125" t="str">
        <f t="shared" ca="1" si="48"/>
        <v/>
      </c>
      <c r="AY12" s="125" t="str">
        <f t="shared" ca="1" si="49"/>
        <v/>
      </c>
      <c r="AZ12" s="125" t="str">
        <f t="shared" ca="1" si="50"/>
        <v/>
      </c>
      <c r="BA12" s="125" t="str">
        <f t="shared" ca="1" si="51"/>
        <v/>
      </c>
      <c r="BB12" s="125" t="str">
        <f t="shared" ca="1" si="52"/>
        <v/>
      </c>
      <c r="BC12" s="125" t="str">
        <f t="shared" ca="1" si="53"/>
        <v/>
      </c>
      <c r="BD12" s="125" t="str">
        <f t="shared" ca="1" si="54"/>
        <v/>
      </c>
      <c r="BE12" s="125" t="str">
        <f t="shared" ca="1" si="55"/>
        <v/>
      </c>
      <c r="BF12" s="125" t="str">
        <f t="shared" ca="1" si="56"/>
        <v/>
      </c>
      <c r="BG12" s="125" t="str">
        <f t="shared" ca="1" si="57"/>
        <v/>
      </c>
      <c r="BH12" s="125" t="str">
        <f t="shared" ca="1" si="58"/>
        <v/>
      </c>
      <c r="BI12" s="125" t="str">
        <f t="shared" ca="1" si="59"/>
        <v/>
      </c>
      <c r="BJ12" s="125" t="str">
        <f t="shared" ca="1" si="60"/>
        <v/>
      </c>
      <c r="BK12" s="125" t="str">
        <f t="shared" ca="1" si="61"/>
        <v/>
      </c>
      <c r="BL12" s="125" t="str">
        <f t="shared" ca="1" si="62"/>
        <v/>
      </c>
    </row>
    <row r="13" spans="1:65" ht="41.45" customHeight="1">
      <c r="A13" s="156"/>
      <c r="B13" s="126" t="str">
        <f t="shared" ca="1" si="0"/>
        <v/>
      </c>
      <c r="C13" s="125" t="str">
        <f t="shared" ca="1" si="1"/>
        <v/>
      </c>
      <c r="D13" s="125" t="str">
        <f t="shared" ca="1" si="2"/>
        <v/>
      </c>
      <c r="E13" s="125" t="str">
        <f t="shared" ca="1" si="3"/>
        <v/>
      </c>
      <c r="F13" s="125" t="str">
        <f t="shared" ca="1" si="4"/>
        <v/>
      </c>
      <c r="G13" s="125" t="str">
        <f t="shared" ca="1" si="5"/>
        <v/>
      </c>
      <c r="H13" s="125" t="str">
        <f t="shared" ca="1" si="6"/>
        <v/>
      </c>
      <c r="I13" s="125" t="str">
        <f t="shared" ca="1" si="7"/>
        <v/>
      </c>
      <c r="J13" s="125" t="str">
        <f t="shared" ca="1" si="8"/>
        <v/>
      </c>
      <c r="K13" s="125" t="str">
        <f t="shared" ca="1" si="9"/>
        <v/>
      </c>
      <c r="L13" s="125" t="str">
        <f t="shared" ca="1" si="10"/>
        <v/>
      </c>
      <c r="M13" s="125" t="str">
        <f t="shared" ca="1" si="11"/>
        <v/>
      </c>
      <c r="N13" s="125" t="str">
        <f t="shared" ca="1" si="12"/>
        <v/>
      </c>
      <c r="O13" s="125" t="str">
        <f t="shared" ca="1" si="13"/>
        <v/>
      </c>
      <c r="P13" s="125" t="str">
        <f t="shared" ca="1" si="14"/>
        <v/>
      </c>
      <c r="Q13" s="125" t="str">
        <f t="shared" ca="1" si="15"/>
        <v/>
      </c>
      <c r="R13" s="125" t="str">
        <f t="shared" ca="1" si="16"/>
        <v/>
      </c>
      <c r="S13" s="125" t="str">
        <f t="shared" ca="1" si="17"/>
        <v/>
      </c>
      <c r="T13" s="125" t="str">
        <f t="shared" ca="1" si="18"/>
        <v/>
      </c>
      <c r="U13" s="125" t="str">
        <f t="shared" ca="1" si="19"/>
        <v/>
      </c>
      <c r="V13" s="125" t="str">
        <f t="shared" ca="1" si="20"/>
        <v/>
      </c>
      <c r="W13" s="125" t="str">
        <f t="shared" ca="1" si="21"/>
        <v/>
      </c>
      <c r="X13" s="125" t="str">
        <f t="shared" ca="1" si="22"/>
        <v/>
      </c>
      <c r="Y13" s="125" t="str">
        <f t="shared" ca="1" si="23"/>
        <v/>
      </c>
      <c r="Z13" s="125" t="str">
        <f t="shared" ca="1" si="24"/>
        <v/>
      </c>
      <c r="AA13" s="125" t="str">
        <f t="shared" ca="1" si="25"/>
        <v/>
      </c>
      <c r="AB13" s="125" t="str">
        <f t="shared" ca="1" si="26"/>
        <v/>
      </c>
      <c r="AC13" s="125" t="str">
        <f t="shared" ca="1" si="27"/>
        <v/>
      </c>
      <c r="AD13" s="125" t="str">
        <f t="shared" ca="1" si="28"/>
        <v/>
      </c>
      <c r="AE13" s="125" t="str">
        <f t="shared" ca="1" si="29"/>
        <v/>
      </c>
      <c r="AF13" s="125" t="str">
        <f t="shared" ca="1" si="30"/>
        <v/>
      </c>
      <c r="AG13" s="125" t="str">
        <f t="shared" ca="1" si="31"/>
        <v/>
      </c>
      <c r="AH13" s="125" t="str">
        <f t="shared" ca="1" si="32"/>
        <v/>
      </c>
      <c r="AI13" s="125" t="str">
        <f t="shared" ca="1" si="33"/>
        <v/>
      </c>
      <c r="AJ13" s="125" t="str">
        <f t="shared" ca="1" si="34"/>
        <v/>
      </c>
      <c r="AK13" s="125" t="str">
        <f t="shared" ca="1" si="35"/>
        <v/>
      </c>
      <c r="AL13" s="125" t="str">
        <f t="shared" ca="1" si="36"/>
        <v/>
      </c>
      <c r="AM13" s="125" t="str">
        <f t="shared" ca="1" si="37"/>
        <v/>
      </c>
      <c r="AN13" s="125" t="str">
        <f t="shared" ca="1" si="38"/>
        <v/>
      </c>
      <c r="AO13" s="125" t="str">
        <f t="shared" ca="1" si="39"/>
        <v/>
      </c>
      <c r="AP13" s="125" t="str">
        <f t="shared" ca="1" si="40"/>
        <v/>
      </c>
      <c r="AQ13" s="125" t="str">
        <f t="shared" ca="1" si="41"/>
        <v/>
      </c>
      <c r="AR13" s="125" t="str">
        <f t="shared" ca="1" si="42"/>
        <v/>
      </c>
      <c r="AS13" s="125" t="str">
        <f t="shared" ca="1" si="43"/>
        <v/>
      </c>
      <c r="AT13" s="125" t="str">
        <f t="shared" ca="1" si="44"/>
        <v/>
      </c>
      <c r="AU13" s="125" t="str">
        <f t="shared" ca="1" si="45"/>
        <v/>
      </c>
      <c r="AV13" s="125" t="str">
        <f t="shared" ca="1" si="46"/>
        <v/>
      </c>
      <c r="AW13" s="125" t="str">
        <f t="shared" ca="1" si="47"/>
        <v/>
      </c>
      <c r="AX13" s="125" t="str">
        <f t="shared" ca="1" si="48"/>
        <v/>
      </c>
      <c r="AY13" s="125" t="str">
        <f t="shared" ca="1" si="49"/>
        <v/>
      </c>
      <c r="AZ13" s="125" t="str">
        <f t="shared" ca="1" si="50"/>
        <v/>
      </c>
      <c r="BA13" s="125" t="str">
        <f t="shared" ca="1" si="51"/>
        <v/>
      </c>
      <c r="BB13" s="125" t="str">
        <f t="shared" ca="1" si="52"/>
        <v/>
      </c>
      <c r="BC13" s="125" t="str">
        <f t="shared" ca="1" si="53"/>
        <v/>
      </c>
      <c r="BD13" s="125" t="str">
        <f t="shared" ca="1" si="54"/>
        <v/>
      </c>
      <c r="BE13" s="125" t="str">
        <f t="shared" ca="1" si="55"/>
        <v/>
      </c>
      <c r="BF13" s="125" t="str">
        <f t="shared" ca="1" si="56"/>
        <v/>
      </c>
      <c r="BG13" s="125" t="str">
        <f t="shared" ca="1" si="57"/>
        <v/>
      </c>
      <c r="BH13" s="125" t="str">
        <f t="shared" ca="1" si="58"/>
        <v/>
      </c>
      <c r="BI13" s="125" t="str">
        <f t="shared" ca="1" si="59"/>
        <v/>
      </c>
      <c r="BJ13" s="125" t="str">
        <f t="shared" ca="1" si="60"/>
        <v/>
      </c>
      <c r="BK13" s="125" t="str">
        <f t="shared" ca="1" si="61"/>
        <v/>
      </c>
      <c r="BL13" s="125" t="str">
        <f t="shared" ca="1" si="62"/>
        <v/>
      </c>
    </row>
    <row r="14" spans="1:65" ht="41.45" customHeight="1">
      <c r="A14" s="156"/>
      <c r="B14" s="126" t="str">
        <f t="shared" ca="1" si="0"/>
        <v/>
      </c>
      <c r="C14" s="125" t="str">
        <f t="shared" ca="1" si="1"/>
        <v/>
      </c>
      <c r="D14" s="125" t="str">
        <f t="shared" ca="1" si="2"/>
        <v/>
      </c>
      <c r="E14" s="125" t="str">
        <f t="shared" ca="1" si="3"/>
        <v/>
      </c>
      <c r="F14" s="125" t="str">
        <f t="shared" ca="1" si="4"/>
        <v/>
      </c>
      <c r="G14" s="125" t="str">
        <f t="shared" ca="1" si="5"/>
        <v/>
      </c>
      <c r="H14" s="125" t="str">
        <f t="shared" ca="1" si="6"/>
        <v/>
      </c>
      <c r="I14" s="125" t="str">
        <f t="shared" ca="1" si="7"/>
        <v/>
      </c>
      <c r="J14" s="125" t="str">
        <f t="shared" ca="1" si="8"/>
        <v/>
      </c>
      <c r="K14" s="125" t="str">
        <f t="shared" ca="1" si="9"/>
        <v/>
      </c>
      <c r="L14" s="125" t="str">
        <f t="shared" ca="1" si="10"/>
        <v/>
      </c>
      <c r="M14" s="125" t="str">
        <f t="shared" ca="1" si="11"/>
        <v/>
      </c>
      <c r="N14" s="125" t="str">
        <f t="shared" ca="1" si="12"/>
        <v/>
      </c>
      <c r="O14" s="125" t="str">
        <f t="shared" ca="1" si="13"/>
        <v/>
      </c>
      <c r="P14" s="125" t="str">
        <f t="shared" ca="1" si="14"/>
        <v/>
      </c>
      <c r="Q14" s="125" t="str">
        <f t="shared" ca="1" si="15"/>
        <v/>
      </c>
      <c r="R14" s="125" t="str">
        <f t="shared" ca="1" si="16"/>
        <v/>
      </c>
      <c r="S14" s="125" t="str">
        <f t="shared" ca="1" si="17"/>
        <v/>
      </c>
      <c r="T14" s="125" t="str">
        <f t="shared" ca="1" si="18"/>
        <v/>
      </c>
      <c r="U14" s="125" t="str">
        <f t="shared" ca="1" si="19"/>
        <v/>
      </c>
      <c r="V14" s="125" t="str">
        <f t="shared" ca="1" si="20"/>
        <v/>
      </c>
      <c r="W14" s="125" t="str">
        <f t="shared" ca="1" si="21"/>
        <v/>
      </c>
      <c r="X14" s="125" t="str">
        <f t="shared" ca="1" si="22"/>
        <v/>
      </c>
      <c r="Y14" s="125" t="str">
        <f t="shared" ca="1" si="23"/>
        <v/>
      </c>
      <c r="Z14" s="125" t="str">
        <f t="shared" ca="1" si="24"/>
        <v/>
      </c>
      <c r="AA14" s="125" t="str">
        <f t="shared" ca="1" si="25"/>
        <v/>
      </c>
      <c r="AB14" s="125" t="str">
        <f t="shared" ca="1" si="26"/>
        <v/>
      </c>
      <c r="AC14" s="125" t="str">
        <f t="shared" ca="1" si="27"/>
        <v/>
      </c>
      <c r="AD14" s="125" t="str">
        <f t="shared" ca="1" si="28"/>
        <v/>
      </c>
      <c r="AE14" s="125" t="str">
        <f t="shared" ca="1" si="29"/>
        <v/>
      </c>
      <c r="AF14" s="125" t="str">
        <f t="shared" ca="1" si="30"/>
        <v/>
      </c>
      <c r="AG14" s="125" t="str">
        <f t="shared" ca="1" si="31"/>
        <v/>
      </c>
      <c r="AH14" s="125" t="str">
        <f t="shared" ca="1" si="32"/>
        <v/>
      </c>
      <c r="AI14" s="125" t="str">
        <f t="shared" ca="1" si="33"/>
        <v/>
      </c>
      <c r="AJ14" s="125" t="str">
        <f t="shared" ca="1" si="34"/>
        <v/>
      </c>
      <c r="AK14" s="125" t="str">
        <f t="shared" ca="1" si="35"/>
        <v/>
      </c>
      <c r="AL14" s="125" t="str">
        <f t="shared" ca="1" si="36"/>
        <v/>
      </c>
      <c r="AM14" s="125" t="str">
        <f t="shared" ca="1" si="37"/>
        <v/>
      </c>
      <c r="AN14" s="125" t="str">
        <f t="shared" ca="1" si="38"/>
        <v/>
      </c>
      <c r="AO14" s="125" t="str">
        <f t="shared" ca="1" si="39"/>
        <v/>
      </c>
      <c r="AP14" s="125" t="str">
        <f t="shared" ca="1" si="40"/>
        <v/>
      </c>
      <c r="AQ14" s="125" t="str">
        <f t="shared" ca="1" si="41"/>
        <v/>
      </c>
      <c r="AR14" s="125" t="str">
        <f t="shared" ca="1" si="42"/>
        <v/>
      </c>
      <c r="AS14" s="125" t="str">
        <f t="shared" ca="1" si="43"/>
        <v/>
      </c>
      <c r="AT14" s="125" t="str">
        <f t="shared" ca="1" si="44"/>
        <v/>
      </c>
      <c r="AU14" s="125" t="str">
        <f t="shared" ca="1" si="45"/>
        <v/>
      </c>
      <c r="AV14" s="125" t="str">
        <f t="shared" ca="1" si="46"/>
        <v/>
      </c>
      <c r="AW14" s="125" t="str">
        <f t="shared" ca="1" si="47"/>
        <v/>
      </c>
      <c r="AX14" s="125" t="str">
        <f t="shared" ca="1" si="48"/>
        <v/>
      </c>
      <c r="AY14" s="125" t="str">
        <f t="shared" ca="1" si="49"/>
        <v/>
      </c>
      <c r="AZ14" s="125" t="str">
        <f t="shared" ca="1" si="50"/>
        <v/>
      </c>
      <c r="BA14" s="125" t="str">
        <f t="shared" ca="1" si="51"/>
        <v/>
      </c>
      <c r="BB14" s="125" t="str">
        <f t="shared" ca="1" si="52"/>
        <v/>
      </c>
      <c r="BC14" s="125" t="str">
        <f t="shared" ca="1" si="53"/>
        <v/>
      </c>
      <c r="BD14" s="125" t="str">
        <f t="shared" ca="1" si="54"/>
        <v/>
      </c>
      <c r="BE14" s="125" t="str">
        <f t="shared" ca="1" si="55"/>
        <v/>
      </c>
      <c r="BF14" s="125" t="str">
        <f t="shared" ca="1" si="56"/>
        <v/>
      </c>
      <c r="BG14" s="125" t="str">
        <f t="shared" ca="1" si="57"/>
        <v/>
      </c>
      <c r="BH14" s="125" t="str">
        <f t="shared" ca="1" si="58"/>
        <v/>
      </c>
      <c r="BI14" s="125" t="str">
        <f t="shared" ca="1" si="59"/>
        <v/>
      </c>
      <c r="BJ14" s="125" t="str">
        <f t="shared" ca="1" si="60"/>
        <v/>
      </c>
      <c r="BK14" s="125" t="str">
        <f t="shared" ca="1" si="61"/>
        <v/>
      </c>
      <c r="BL14" s="125" t="str">
        <f t="shared" ca="1" si="62"/>
        <v/>
      </c>
    </row>
    <row r="15" spans="1:65" ht="41.45" customHeight="1">
      <c r="A15" s="156"/>
      <c r="B15" s="126" t="str">
        <f t="shared" ca="1" si="0"/>
        <v/>
      </c>
      <c r="C15" s="125" t="str">
        <f t="shared" ca="1" si="1"/>
        <v/>
      </c>
      <c r="D15" s="125" t="str">
        <f t="shared" ca="1" si="2"/>
        <v/>
      </c>
      <c r="E15" s="125" t="str">
        <f t="shared" ca="1" si="3"/>
        <v/>
      </c>
      <c r="F15" s="125" t="str">
        <f t="shared" ca="1" si="4"/>
        <v/>
      </c>
      <c r="G15" s="125" t="str">
        <f t="shared" ca="1" si="5"/>
        <v/>
      </c>
      <c r="H15" s="125" t="str">
        <f t="shared" ca="1" si="6"/>
        <v/>
      </c>
      <c r="I15" s="125" t="str">
        <f t="shared" ca="1" si="7"/>
        <v/>
      </c>
      <c r="J15" s="125" t="str">
        <f t="shared" ca="1" si="8"/>
        <v/>
      </c>
      <c r="K15" s="125" t="str">
        <f t="shared" ca="1" si="9"/>
        <v/>
      </c>
      <c r="L15" s="125" t="str">
        <f t="shared" ca="1" si="10"/>
        <v/>
      </c>
      <c r="M15" s="125" t="str">
        <f t="shared" ca="1" si="11"/>
        <v/>
      </c>
      <c r="N15" s="125" t="str">
        <f t="shared" ca="1" si="12"/>
        <v/>
      </c>
      <c r="O15" s="125" t="str">
        <f t="shared" ca="1" si="13"/>
        <v/>
      </c>
      <c r="P15" s="125" t="str">
        <f t="shared" ca="1" si="14"/>
        <v/>
      </c>
      <c r="Q15" s="125" t="str">
        <f t="shared" ca="1" si="15"/>
        <v/>
      </c>
      <c r="R15" s="125" t="str">
        <f t="shared" ca="1" si="16"/>
        <v/>
      </c>
      <c r="S15" s="125" t="str">
        <f t="shared" ca="1" si="17"/>
        <v/>
      </c>
      <c r="T15" s="125" t="str">
        <f t="shared" ca="1" si="18"/>
        <v/>
      </c>
      <c r="U15" s="125" t="str">
        <f t="shared" ca="1" si="19"/>
        <v/>
      </c>
      <c r="V15" s="125" t="str">
        <f t="shared" ca="1" si="20"/>
        <v/>
      </c>
      <c r="W15" s="125" t="str">
        <f t="shared" ca="1" si="21"/>
        <v/>
      </c>
      <c r="X15" s="125" t="str">
        <f t="shared" ca="1" si="22"/>
        <v/>
      </c>
      <c r="Y15" s="125" t="str">
        <f t="shared" ca="1" si="23"/>
        <v/>
      </c>
      <c r="Z15" s="125" t="str">
        <f t="shared" ca="1" si="24"/>
        <v/>
      </c>
      <c r="AA15" s="125" t="str">
        <f t="shared" ca="1" si="25"/>
        <v/>
      </c>
      <c r="AB15" s="125" t="str">
        <f t="shared" ca="1" si="26"/>
        <v/>
      </c>
      <c r="AC15" s="125" t="str">
        <f t="shared" ca="1" si="27"/>
        <v/>
      </c>
      <c r="AD15" s="125" t="str">
        <f t="shared" ca="1" si="28"/>
        <v/>
      </c>
      <c r="AE15" s="125" t="str">
        <f t="shared" ca="1" si="29"/>
        <v/>
      </c>
      <c r="AF15" s="125" t="str">
        <f t="shared" ca="1" si="30"/>
        <v/>
      </c>
      <c r="AG15" s="125" t="str">
        <f t="shared" ca="1" si="31"/>
        <v/>
      </c>
      <c r="AH15" s="125" t="str">
        <f t="shared" ca="1" si="32"/>
        <v/>
      </c>
      <c r="AI15" s="125" t="str">
        <f t="shared" ca="1" si="33"/>
        <v/>
      </c>
      <c r="AJ15" s="125" t="str">
        <f t="shared" ca="1" si="34"/>
        <v/>
      </c>
      <c r="AK15" s="125" t="str">
        <f t="shared" ca="1" si="35"/>
        <v/>
      </c>
      <c r="AL15" s="125" t="str">
        <f t="shared" ca="1" si="36"/>
        <v/>
      </c>
      <c r="AM15" s="125" t="str">
        <f t="shared" ca="1" si="37"/>
        <v/>
      </c>
      <c r="AN15" s="125" t="str">
        <f t="shared" ca="1" si="38"/>
        <v/>
      </c>
      <c r="AO15" s="125" t="str">
        <f t="shared" ca="1" si="39"/>
        <v/>
      </c>
      <c r="AP15" s="125" t="str">
        <f t="shared" ca="1" si="40"/>
        <v/>
      </c>
      <c r="AQ15" s="125" t="str">
        <f t="shared" ca="1" si="41"/>
        <v/>
      </c>
      <c r="AR15" s="125" t="str">
        <f t="shared" ca="1" si="42"/>
        <v/>
      </c>
      <c r="AS15" s="125" t="str">
        <f t="shared" ca="1" si="43"/>
        <v/>
      </c>
      <c r="AT15" s="125" t="str">
        <f t="shared" ca="1" si="44"/>
        <v/>
      </c>
      <c r="AU15" s="125" t="str">
        <f t="shared" ca="1" si="45"/>
        <v/>
      </c>
      <c r="AV15" s="125" t="str">
        <f t="shared" ca="1" si="46"/>
        <v/>
      </c>
      <c r="AW15" s="125" t="str">
        <f t="shared" ca="1" si="47"/>
        <v/>
      </c>
      <c r="AX15" s="125" t="str">
        <f t="shared" ca="1" si="48"/>
        <v/>
      </c>
      <c r="AY15" s="125" t="str">
        <f t="shared" ca="1" si="49"/>
        <v/>
      </c>
      <c r="AZ15" s="125" t="str">
        <f t="shared" ca="1" si="50"/>
        <v/>
      </c>
      <c r="BA15" s="125" t="str">
        <f t="shared" ca="1" si="51"/>
        <v/>
      </c>
      <c r="BB15" s="125" t="str">
        <f t="shared" ca="1" si="52"/>
        <v/>
      </c>
      <c r="BC15" s="125" t="str">
        <f t="shared" ca="1" si="53"/>
        <v/>
      </c>
      <c r="BD15" s="125" t="str">
        <f t="shared" ca="1" si="54"/>
        <v/>
      </c>
      <c r="BE15" s="125" t="str">
        <f t="shared" ca="1" si="55"/>
        <v/>
      </c>
      <c r="BF15" s="125" t="str">
        <f t="shared" ca="1" si="56"/>
        <v/>
      </c>
      <c r="BG15" s="125" t="str">
        <f t="shared" ca="1" si="57"/>
        <v/>
      </c>
      <c r="BH15" s="125" t="str">
        <f t="shared" ca="1" si="58"/>
        <v/>
      </c>
      <c r="BI15" s="125" t="str">
        <f t="shared" ca="1" si="59"/>
        <v/>
      </c>
      <c r="BJ15" s="125" t="str">
        <f t="shared" ca="1" si="60"/>
        <v/>
      </c>
      <c r="BK15" s="125" t="str">
        <f t="shared" ca="1" si="61"/>
        <v/>
      </c>
      <c r="BL15" s="125" t="str">
        <f t="shared" ca="1" si="62"/>
        <v/>
      </c>
    </row>
    <row r="16" spans="1:65" ht="41.45" customHeight="1">
      <c r="A16" s="156"/>
      <c r="B16" s="126" t="str">
        <f t="shared" ca="1" si="0"/>
        <v/>
      </c>
      <c r="C16" s="125" t="str">
        <f t="shared" ca="1" si="1"/>
        <v/>
      </c>
      <c r="D16" s="125" t="str">
        <f t="shared" ca="1" si="2"/>
        <v/>
      </c>
      <c r="E16" s="125" t="str">
        <f t="shared" ca="1" si="3"/>
        <v/>
      </c>
      <c r="F16" s="125" t="str">
        <f t="shared" ca="1" si="4"/>
        <v/>
      </c>
      <c r="G16" s="125" t="str">
        <f t="shared" ca="1" si="5"/>
        <v/>
      </c>
      <c r="H16" s="125" t="str">
        <f t="shared" ca="1" si="6"/>
        <v/>
      </c>
      <c r="I16" s="125" t="str">
        <f t="shared" ca="1" si="7"/>
        <v/>
      </c>
      <c r="J16" s="125" t="str">
        <f t="shared" ca="1" si="8"/>
        <v/>
      </c>
      <c r="K16" s="125" t="str">
        <f t="shared" ca="1" si="9"/>
        <v/>
      </c>
      <c r="L16" s="125" t="str">
        <f t="shared" ca="1" si="10"/>
        <v/>
      </c>
      <c r="M16" s="125" t="str">
        <f t="shared" ca="1" si="11"/>
        <v/>
      </c>
      <c r="N16" s="125" t="str">
        <f t="shared" ca="1" si="12"/>
        <v/>
      </c>
      <c r="O16" s="125" t="str">
        <f t="shared" ca="1" si="13"/>
        <v/>
      </c>
      <c r="P16" s="125" t="str">
        <f t="shared" ca="1" si="14"/>
        <v/>
      </c>
      <c r="Q16" s="125" t="str">
        <f t="shared" ca="1" si="15"/>
        <v/>
      </c>
      <c r="R16" s="125" t="str">
        <f t="shared" ca="1" si="16"/>
        <v/>
      </c>
      <c r="S16" s="125" t="str">
        <f t="shared" ca="1" si="17"/>
        <v/>
      </c>
      <c r="T16" s="125" t="str">
        <f t="shared" ca="1" si="18"/>
        <v/>
      </c>
      <c r="U16" s="125" t="str">
        <f t="shared" ca="1" si="19"/>
        <v/>
      </c>
      <c r="V16" s="125" t="str">
        <f t="shared" ca="1" si="20"/>
        <v/>
      </c>
      <c r="W16" s="125" t="str">
        <f t="shared" ca="1" si="21"/>
        <v/>
      </c>
      <c r="X16" s="125" t="str">
        <f t="shared" ca="1" si="22"/>
        <v/>
      </c>
      <c r="Y16" s="125" t="str">
        <f t="shared" ca="1" si="23"/>
        <v/>
      </c>
      <c r="Z16" s="125" t="str">
        <f t="shared" ca="1" si="24"/>
        <v/>
      </c>
      <c r="AA16" s="125" t="str">
        <f t="shared" ca="1" si="25"/>
        <v/>
      </c>
      <c r="AB16" s="125" t="str">
        <f t="shared" ca="1" si="26"/>
        <v/>
      </c>
      <c r="AC16" s="125" t="str">
        <f t="shared" ca="1" si="27"/>
        <v/>
      </c>
      <c r="AD16" s="125" t="str">
        <f t="shared" ca="1" si="28"/>
        <v/>
      </c>
      <c r="AE16" s="125" t="str">
        <f t="shared" ca="1" si="29"/>
        <v/>
      </c>
      <c r="AF16" s="125" t="str">
        <f t="shared" ca="1" si="30"/>
        <v/>
      </c>
      <c r="AG16" s="125" t="str">
        <f t="shared" ca="1" si="31"/>
        <v/>
      </c>
      <c r="AH16" s="125" t="str">
        <f t="shared" ca="1" si="32"/>
        <v/>
      </c>
      <c r="AI16" s="125" t="str">
        <f t="shared" ca="1" si="33"/>
        <v/>
      </c>
      <c r="AJ16" s="125" t="str">
        <f t="shared" ca="1" si="34"/>
        <v/>
      </c>
      <c r="AK16" s="125" t="str">
        <f t="shared" ca="1" si="35"/>
        <v/>
      </c>
      <c r="AL16" s="125" t="str">
        <f t="shared" ca="1" si="36"/>
        <v/>
      </c>
      <c r="AM16" s="125" t="str">
        <f t="shared" ca="1" si="37"/>
        <v/>
      </c>
      <c r="AN16" s="125" t="str">
        <f t="shared" ca="1" si="38"/>
        <v/>
      </c>
      <c r="AO16" s="125" t="str">
        <f t="shared" ca="1" si="39"/>
        <v/>
      </c>
      <c r="AP16" s="125" t="str">
        <f t="shared" ca="1" si="40"/>
        <v/>
      </c>
      <c r="AQ16" s="125" t="str">
        <f t="shared" ca="1" si="41"/>
        <v/>
      </c>
      <c r="AR16" s="125" t="str">
        <f t="shared" ca="1" si="42"/>
        <v/>
      </c>
      <c r="AS16" s="125" t="str">
        <f t="shared" ca="1" si="43"/>
        <v/>
      </c>
      <c r="AT16" s="125" t="str">
        <f t="shared" ca="1" si="44"/>
        <v/>
      </c>
      <c r="AU16" s="125" t="str">
        <f t="shared" ca="1" si="45"/>
        <v/>
      </c>
      <c r="AV16" s="125" t="str">
        <f t="shared" ca="1" si="46"/>
        <v/>
      </c>
      <c r="AW16" s="125" t="str">
        <f t="shared" ca="1" si="47"/>
        <v/>
      </c>
      <c r="AX16" s="125" t="str">
        <f t="shared" ca="1" si="48"/>
        <v/>
      </c>
      <c r="AY16" s="125" t="str">
        <f t="shared" ca="1" si="49"/>
        <v/>
      </c>
      <c r="AZ16" s="125" t="str">
        <f t="shared" ca="1" si="50"/>
        <v/>
      </c>
      <c r="BA16" s="125" t="str">
        <f t="shared" ca="1" si="51"/>
        <v/>
      </c>
      <c r="BB16" s="125" t="str">
        <f t="shared" ca="1" si="52"/>
        <v/>
      </c>
      <c r="BC16" s="125" t="str">
        <f t="shared" ca="1" si="53"/>
        <v/>
      </c>
      <c r="BD16" s="125" t="str">
        <f t="shared" ca="1" si="54"/>
        <v/>
      </c>
      <c r="BE16" s="125" t="str">
        <f t="shared" ca="1" si="55"/>
        <v/>
      </c>
      <c r="BF16" s="125" t="str">
        <f t="shared" ca="1" si="56"/>
        <v/>
      </c>
      <c r="BG16" s="125" t="str">
        <f t="shared" ca="1" si="57"/>
        <v/>
      </c>
      <c r="BH16" s="125" t="str">
        <f t="shared" ca="1" si="58"/>
        <v/>
      </c>
      <c r="BI16" s="125" t="str">
        <f t="shared" ca="1" si="59"/>
        <v/>
      </c>
      <c r="BJ16" s="125" t="str">
        <f t="shared" ca="1" si="60"/>
        <v/>
      </c>
      <c r="BK16" s="125" t="str">
        <f t="shared" ca="1" si="61"/>
        <v/>
      </c>
      <c r="BL16" s="125" t="str">
        <f t="shared" ca="1" si="62"/>
        <v/>
      </c>
    </row>
  </sheetData>
  <autoFilter ref="A1:BL16">
    <filterColumn colId="19"/>
    <filterColumn colId="20"/>
    <filterColumn colId="21"/>
    <filterColumn colId="22"/>
    <filterColumn colId="23"/>
    <filterColumn colId="24"/>
    <filterColumn colId="25"/>
    <filterColumn colId="26"/>
    <filterColumn colId="27"/>
    <filterColumn colId="28"/>
    <filterColumn colId="29"/>
    <filterColumn colId="30"/>
    <filterColumn colId="31"/>
    <filterColumn colId="36"/>
    <filterColumn colId="37"/>
    <filterColumn colId="38"/>
    <filterColumn colId="39"/>
    <filterColumn colId="40"/>
    <filterColumn colId="41"/>
    <filterColumn colId="42"/>
    <filterColumn colId="43"/>
    <filterColumn colId="44"/>
    <filterColumn colId="45"/>
    <filterColumn colId="46"/>
    <filterColumn colId="47"/>
    <filterColumn colId="56"/>
    <filterColumn colId="57"/>
    <filterColumn colId="58"/>
    <filterColumn colId="59"/>
  </autoFilter>
  <conditionalFormatting sqref="AW2:AX16 AY1:BK1048576 BL2:BL16">
    <cfRule type="cellIs" dxfId="16" priority="10" operator="equal">
      <formula>"Modérée"</formula>
    </cfRule>
    <cfRule type="cellIs" dxfId="15" priority="11" operator="equal">
      <formula>"Insuffisant"</formula>
    </cfRule>
    <cfRule type="cellIs" dxfId="14" priority="12" operator="equal">
      <formula>"Exceptionnelle"</formula>
    </cfRule>
    <cfRule type="cellIs" dxfId="13" priority="13" operator="equal">
      <formula>"Catastrophique"</formula>
    </cfRule>
    <cfRule type="cellIs" dxfId="12" priority="14" operator="equal">
      <formula>"Critique"</formula>
    </cfRule>
    <cfRule type="cellIs" dxfId="11" priority="15" operator="equal">
      <formula>"Elevé"</formula>
    </cfRule>
    <cfRule type="cellIs" dxfId="10" priority="16" operator="equal">
      <formula>"Modéré"</formula>
    </cfRule>
    <cfRule type="cellIs" dxfId="9" priority="17" operator="equal">
      <formula>"Faible"</formula>
    </cfRule>
    <cfRule type="cellIs" dxfId="8" priority="18" operator="equal">
      <formula>"Marginal"</formula>
    </cfRule>
  </conditionalFormatting>
  <conditionalFormatting sqref="AW1:AW1048576">
    <cfRule type="cellIs" dxfId="7" priority="6" operator="equal">
      <formula>"Permanente"</formula>
    </cfRule>
    <cfRule type="cellIs" dxfId="6" priority="7" operator="equal">
      <formula>"Récurrente"</formula>
    </cfRule>
    <cfRule type="cellIs" dxfId="5" priority="9" operator="equal">
      <formula>"Elevée"</formula>
    </cfRule>
  </conditionalFormatting>
  <conditionalFormatting sqref="BD1:BD1048576">
    <cfRule type="cellIs" dxfId="4" priority="4" operator="equal">
      <formula>"Acceptable"</formula>
    </cfRule>
    <cfRule type="cellIs" dxfId="3" priority="5" operator="equal">
      <formula>"Maîtrisé"</formula>
    </cfRule>
  </conditionalFormatting>
  <conditionalFormatting sqref="BI1:BI16 AW1:AW1048576">
    <cfRule type="cellIs" dxfId="2" priority="8" operator="equal">
      <formula>"Rare"</formula>
    </cfRule>
  </conditionalFormatting>
  <conditionalFormatting sqref="BE2:BH16">
    <cfRule type="cellIs" dxfId="1" priority="2" operator="equal">
      <formula>"Maîtrisé"</formula>
    </cfRule>
    <cfRule type="cellIs" dxfId="0" priority="3" operator="equal">
      <formula>"Acceptable"</formula>
    </cfRule>
  </conditionalFormatting>
  <conditionalFormatting sqref="BI2">
    <cfRule type="iconSet" priority="1">
      <iconSet iconSet="3Arrows">
        <cfvo type="percent" val="0"/>
        <cfvo type="percent" val="33"/>
        <cfvo type="percent" val="67"/>
      </iconSet>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sheetPr codeName="Feuil12">
    <tabColor rgb="FF00B0F0"/>
    <pageSetUpPr fitToPage="1"/>
  </sheetPr>
  <dimension ref="A1:H50"/>
  <sheetViews>
    <sheetView showGridLines="0" zoomScale="90" zoomScaleNormal="90" workbookViewId="0">
      <pane ySplit="3" topLeftCell="A40" activePane="bottomLeft" state="frozenSplit"/>
      <selection activeCell="C18" sqref="C18:D18"/>
      <selection pane="bottomLeft" activeCell="B49" sqref="B49"/>
    </sheetView>
  </sheetViews>
  <sheetFormatPr baseColWidth="10" defaultColWidth="24.7109375" defaultRowHeight="12"/>
  <cols>
    <col min="1" max="1" width="19.42578125" style="142" customWidth="1"/>
    <col min="2" max="3" width="20.7109375" style="142" customWidth="1"/>
    <col min="4" max="4" width="17.42578125" style="142" customWidth="1"/>
    <col min="5" max="5" width="21.5703125" style="142" customWidth="1"/>
    <col min="6" max="6" width="31.85546875" style="132" customWidth="1"/>
    <col min="7" max="7" width="16.7109375" style="131" customWidth="1"/>
    <col min="8" max="8" width="24.7109375" style="131"/>
    <col min="9" max="16384" width="24.7109375" style="132"/>
  </cols>
  <sheetData>
    <row r="1" spans="1:8" ht="4.5" customHeight="1" thickTop="1">
      <c r="A1" s="177"/>
      <c r="B1" s="177"/>
      <c r="C1" s="177"/>
      <c r="D1" s="177"/>
      <c r="E1" s="177"/>
      <c r="F1" s="178"/>
    </row>
    <row r="2" spans="1:8" ht="24" customHeight="1">
      <c r="A2" s="138" t="s">
        <v>660</v>
      </c>
      <c r="B2" s="276" t="s">
        <v>135</v>
      </c>
      <c r="C2" s="277"/>
      <c r="D2" s="134"/>
      <c r="E2" s="130"/>
      <c r="F2" s="172"/>
      <c r="G2" s="131" t="str">
        <f>$B$2&amp;"Risk"</f>
        <v>Direction_Action_Sociale_Culturelle.Risk</v>
      </c>
      <c r="H2" s="131" t="str">
        <f>$B$2&amp;"Ctrl"</f>
        <v>Direction_Action_Sociale_Culturelle.Ctrl</v>
      </c>
    </row>
    <row r="3" spans="1:8" ht="0.75" customHeight="1">
      <c r="A3" s="133"/>
      <c r="B3" s="135"/>
      <c r="C3" s="136"/>
      <c r="D3" s="137"/>
      <c r="E3" s="138"/>
      <c r="F3" s="173"/>
    </row>
    <row r="4" spans="1:8" ht="0.75" customHeight="1" thickBot="1">
      <c r="A4" s="197" t="s">
        <v>661</v>
      </c>
      <c r="B4" s="198" t="str">
        <f ca="1">MID(CELL("nomfichier",A2),FIND("]",CELL("nomfichier",A2))+1,20)</f>
        <v>Risk N°1</v>
      </c>
      <c r="C4" s="136"/>
      <c r="D4" s="137"/>
      <c r="E4" s="138"/>
      <c r="F4" s="173"/>
    </row>
    <row r="5" spans="1:8" ht="24" customHeight="1" thickTop="1" thickBot="1">
      <c r="A5" s="295" t="s">
        <v>878</v>
      </c>
      <c r="B5" s="296"/>
      <c r="C5" s="296"/>
      <c r="D5" s="296"/>
      <c r="E5" s="296"/>
      <c r="F5" s="297"/>
    </row>
    <row r="6" spans="1:8" ht="24" customHeight="1" thickTop="1" thickBot="1">
      <c r="A6" s="278" t="s">
        <v>876</v>
      </c>
      <c r="B6" s="279"/>
      <c r="C6" s="280" t="s">
        <v>874</v>
      </c>
      <c r="D6" s="281"/>
      <c r="E6" s="291" t="s">
        <v>877</v>
      </c>
      <c r="F6" s="292"/>
    </row>
    <row r="7" spans="1:8" ht="39.950000000000003" customHeight="1" thickBot="1">
      <c r="A7" s="199" t="s">
        <v>804</v>
      </c>
      <c r="B7" s="254" t="s">
        <v>935</v>
      </c>
      <c r="C7" s="257" t="s">
        <v>879</v>
      </c>
      <c r="D7" s="260" t="s">
        <v>146</v>
      </c>
      <c r="E7" s="256" t="s">
        <v>34</v>
      </c>
      <c r="F7" s="253" t="s">
        <v>111</v>
      </c>
    </row>
    <row r="8" spans="1:8" ht="39.950000000000003" customHeight="1" thickBot="1">
      <c r="A8" s="199" t="s">
        <v>802</v>
      </c>
      <c r="B8" s="255" t="s">
        <v>936</v>
      </c>
      <c r="C8" s="257" t="s">
        <v>801</v>
      </c>
      <c r="D8" s="252" t="s">
        <v>938</v>
      </c>
      <c r="E8" s="256" t="s">
        <v>37</v>
      </c>
      <c r="F8" s="253" t="s">
        <v>63</v>
      </c>
      <c r="G8" s="131" t="str">
        <f>$B$2&amp;"PO"</f>
        <v>Direction_Action_Sociale_Culturelle.PO</v>
      </c>
      <c r="H8" s="131" t="str">
        <f>$B$2&amp;"PM"</f>
        <v>Direction_Action_Sociale_Culturelle.PM</v>
      </c>
    </row>
    <row r="9" spans="1:8" ht="39.950000000000003" customHeight="1" thickBot="1">
      <c r="A9" s="199" t="s">
        <v>800</v>
      </c>
      <c r="B9" s="252" t="s">
        <v>120</v>
      </c>
      <c r="C9" s="257" t="s">
        <v>803</v>
      </c>
      <c r="D9" s="252" t="s">
        <v>939</v>
      </c>
      <c r="E9" s="256" t="s">
        <v>36</v>
      </c>
      <c r="F9" s="253" t="s">
        <v>53</v>
      </c>
      <c r="G9" s="131" t="str">
        <f>$B$2&amp;"Act"</f>
        <v>Direction_Action_Sociale_Culturelle.Act</v>
      </c>
    </row>
    <row r="10" spans="1:8" ht="39.950000000000003" customHeight="1" thickBot="1">
      <c r="A10" s="199" t="s">
        <v>799</v>
      </c>
      <c r="B10" s="252" t="s">
        <v>121</v>
      </c>
      <c r="C10" s="257" t="s">
        <v>887</v>
      </c>
      <c r="D10" s="252" t="s">
        <v>120</v>
      </c>
      <c r="E10" s="256" t="s">
        <v>35</v>
      </c>
      <c r="F10" s="253" t="s">
        <v>52</v>
      </c>
    </row>
    <row r="11" spans="1:8" ht="39.950000000000003" customHeight="1" thickBot="1">
      <c r="A11" s="199" t="s">
        <v>875</v>
      </c>
      <c r="B11" s="252" t="s">
        <v>884</v>
      </c>
      <c r="C11" s="257" t="s">
        <v>888</v>
      </c>
      <c r="D11" s="252" t="s">
        <v>121</v>
      </c>
      <c r="E11" s="256" t="s">
        <v>37</v>
      </c>
      <c r="F11" s="253" t="s">
        <v>54</v>
      </c>
    </row>
    <row r="12" spans="1:8" ht="39.950000000000003" customHeight="1" thickBot="1">
      <c r="A12" s="199" t="s">
        <v>893</v>
      </c>
      <c r="B12" s="270" t="s">
        <v>937</v>
      </c>
      <c r="C12" s="257" t="s">
        <v>889</v>
      </c>
      <c r="D12" s="252" t="s">
        <v>120</v>
      </c>
      <c r="E12" s="256" t="s">
        <v>36</v>
      </c>
      <c r="F12" s="253" t="s">
        <v>62</v>
      </c>
    </row>
    <row r="13" spans="1:8" ht="39.950000000000003" customHeight="1" thickBot="1">
      <c r="A13" s="199"/>
      <c r="B13" s="271"/>
      <c r="C13" s="257" t="s">
        <v>890</v>
      </c>
      <c r="D13" s="252" t="s">
        <v>121</v>
      </c>
      <c r="E13" s="293" t="s">
        <v>880</v>
      </c>
      <c r="F13" s="294"/>
    </row>
    <row r="14" spans="1:8" ht="39.950000000000003" customHeight="1" thickBot="1">
      <c r="A14" s="272" t="s">
        <v>885</v>
      </c>
      <c r="B14" s="273"/>
      <c r="C14" s="257" t="s">
        <v>947</v>
      </c>
      <c r="D14" s="252" t="s">
        <v>120</v>
      </c>
      <c r="E14" s="256" t="s">
        <v>108</v>
      </c>
      <c r="F14" s="253" t="s">
        <v>46</v>
      </c>
    </row>
    <row r="15" spans="1:8" ht="39.950000000000003" customHeight="1" thickBot="1">
      <c r="A15" s="285"/>
      <c r="B15" s="286"/>
      <c r="C15" s="257" t="s">
        <v>948</v>
      </c>
      <c r="D15" s="252" t="s">
        <v>121</v>
      </c>
      <c r="E15" s="256" t="s">
        <v>39</v>
      </c>
      <c r="F15" s="253" t="s">
        <v>57</v>
      </c>
    </row>
    <row r="16" spans="1:8" ht="39.950000000000003" customHeight="1" thickBot="1">
      <c r="A16" s="287"/>
      <c r="B16" s="288"/>
      <c r="C16" s="257" t="s">
        <v>949</v>
      </c>
      <c r="D16" s="252" t="s">
        <v>120</v>
      </c>
      <c r="E16" s="256" t="s">
        <v>39</v>
      </c>
      <c r="F16" s="253" t="s">
        <v>66</v>
      </c>
    </row>
    <row r="17" spans="1:6" ht="39.950000000000003" customHeight="1" thickBot="1">
      <c r="A17" s="287"/>
      <c r="B17" s="288"/>
      <c r="C17" s="257" t="s">
        <v>950</v>
      </c>
      <c r="D17" s="252" t="s">
        <v>120</v>
      </c>
      <c r="E17" s="256" t="s">
        <v>108</v>
      </c>
      <c r="F17" s="253" t="s">
        <v>56</v>
      </c>
    </row>
    <row r="18" spans="1:6" ht="39.950000000000003" customHeight="1" thickBot="1">
      <c r="A18" s="287"/>
      <c r="B18" s="288"/>
      <c r="C18" s="257" t="s">
        <v>951</v>
      </c>
      <c r="D18" s="252" t="s">
        <v>121</v>
      </c>
      <c r="E18" s="256" t="s">
        <v>39</v>
      </c>
      <c r="F18" s="253" t="s">
        <v>74</v>
      </c>
    </row>
    <row r="19" spans="1:6" ht="39" customHeight="1" thickBot="1">
      <c r="A19" s="287"/>
      <c r="B19" s="288"/>
      <c r="C19" s="257" t="s">
        <v>952</v>
      </c>
      <c r="D19" s="252" t="s">
        <v>120</v>
      </c>
      <c r="E19" s="256" t="s">
        <v>109</v>
      </c>
      <c r="F19" s="253" t="s">
        <v>75</v>
      </c>
    </row>
    <row r="20" spans="1:6" ht="7.15" customHeight="1" thickBot="1">
      <c r="A20" s="289"/>
      <c r="B20" s="290"/>
      <c r="C20" s="258"/>
      <c r="D20" s="259"/>
      <c r="E20" s="224"/>
      <c r="F20" s="200"/>
    </row>
    <row r="21" spans="1:6" ht="24" customHeight="1" thickTop="1" thickBot="1">
      <c r="A21" s="298" t="s">
        <v>934</v>
      </c>
      <c r="B21" s="299" t="s">
        <v>812</v>
      </c>
      <c r="C21" s="299"/>
      <c r="D21" s="299"/>
      <c r="E21" s="299" t="s">
        <v>662</v>
      </c>
      <c r="F21" s="300" t="s">
        <v>663</v>
      </c>
    </row>
    <row r="22" spans="1:6" ht="24" customHeight="1" thickTop="1" thickBot="1">
      <c r="A22" s="302" t="s">
        <v>896</v>
      </c>
      <c r="B22" s="303"/>
      <c r="C22" s="303"/>
      <c r="D22" s="304"/>
      <c r="E22" s="140" t="s">
        <v>662</v>
      </c>
      <c r="F22" s="174" t="s">
        <v>811</v>
      </c>
    </row>
    <row r="23" spans="1:6" ht="63.95" customHeight="1" thickBot="1">
      <c r="A23" s="139" t="s">
        <v>664</v>
      </c>
      <c r="B23" s="201" t="s">
        <v>15</v>
      </c>
      <c r="C23" s="274" t="s">
        <v>665</v>
      </c>
      <c r="D23" s="275"/>
      <c r="E23" s="202"/>
      <c r="F23" s="203" t="str">
        <f>IF(ISBLANK(B23),"",IF(OR(B23=E23,E23=""),VLOOKUP(B23,Proba_Brut2,2,FALSE),VLOOKUP(E23,Proba_Brut2,2,FALSE)))</f>
        <v>Évènement attendu régulièrement du fait du volume et/ou de l'acteur de l'acte de gestion</v>
      </c>
    </row>
    <row r="24" spans="1:6" ht="24" customHeight="1" thickBot="1">
      <c r="A24" s="301" t="s">
        <v>897</v>
      </c>
      <c r="B24" s="301"/>
      <c r="C24" s="301"/>
      <c r="D24" s="301"/>
      <c r="E24" s="204" t="s">
        <v>662</v>
      </c>
      <c r="F24" s="174" t="s">
        <v>811</v>
      </c>
    </row>
    <row r="25" spans="1:6" ht="73.5" customHeight="1">
      <c r="A25" s="139" t="s">
        <v>666</v>
      </c>
      <c r="B25" s="141" t="s">
        <v>10</v>
      </c>
      <c r="C25" s="274" t="s">
        <v>665</v>
      </c>
      <c r="D25" s="275"/>
      <c r="E25" s="171"/>
      <c r="F25" s="175" t="str">
        <f>IF(ISBLANK(B25),"",IF(OR(B25=E25,E25=""),VLOOKUP(B25,Impact_Brut2,2,FALSE),VLOOKUP(E25,Impact_Brut2,2,FALSE)))</f>
        <v>Impacts dont la gravité peut avoir des répercussions non négligeables sur les activités entrainant des pertes suffisantes pour nécessité la révision de tout ou partie des processus à l'origine des dysfonctionnements</v>
      </c>
    </row>
    <row r="26" spans="1:6" ht="15.75" customHeight="1">
      <c r="A26" s="139"/>
      <c r="B26" s="139"/>
      <c r="C26" s="196"/>
      <c r="D26" s="196"/>
      <c r="E26" s="196"/>
      <c r="F26" s="261"/>
    </row>
    <row r="27" spans="1:6" ht="63.95" customHeight="1">
      <c r="A27" s="139" t="s">
        <v>807</v>
      </c>
      <c r="B27" s="141" t="s">
        <v>10</v>
      </c>
      <c r="C27" s="274" t="s">
        <v>665</v>
      </c>
      <c r="D27" s="275"/>
      <c r="E27" s="170"/>
      <c r="F27" s="176" t="str">
        <f>IF(ISBLANK(B27),"",IF(OR(B27=E27,E27=""),VLOOKUP(B27,Impacts_Financiers,2,FALSE),VLOOKUP(E27,Impacts_Financiers,2,FALSE)))</f>
        <v>Coût ayant un impact probable sur le résultat</v>
      </c>
    </row>
    <row r="28" spans="1:6" ht="63.95" customHeight="1">
      <c r="A28" s="139" t="s">
        <v>808</v>
      </c>
      <c r="B28" s="141" t="s">
        <v>10</v>
      </c>
      <c r="C28" s="274" t="s">
        <v>665</v>
      </c>
      <c r="D28" s="275"/>
      <c r="E28" s="170"/>
      <c r="F28" s="176" t="str">
        <f>IF(ISBLANK(B28),"",IF(OR(B28=E28,E28=""),VLOOKUP(B28,Impacts_Clients,2,FALSE),VLOOKUP(E28,Impacts_Clients,2,FALSE)))</f>
        <v>Perte entre 10 et 100 clients hors IC 110
Augmentation entre 20% et 100% des appels téléphoniques / Augmentation entre 10% et 50% des réclamations clients
De 100 à 1000 assurés / allocataires touchés
 50 - 100 entreprises clientes touchés
Médiatisation de grande ampleur via un seul canal au niveau national / Affluence sur internet et/ou réseaux sociaux</v>
      </c>
    </row>
    <row r="29" spans="1:6" ht="63.95" customHeight="1">
      <c r="A29" s="139" t="s">
        <v>809</v>
      </c>
      <c r="B29" s="141" t="s">
        <v>11</v>
      </c>
      <c r="C29" s="274" t="s">
        <v>665</v>
      </c>
      <c r="D29" s="275"/>
      <c r="E29" s="170"/>
      <c r="F29" s="176" t="str">
        <f>IF(ISBLANK(B29),"",IF(OR(B29=E29,E29=""),VLOOKUP(B29,Impacts_Conformité,2,FALSE),VLOOKUP(E29,Impacts_Conformité,2,FALSE)))</f>
        <v>Blâme des autorités de tutelle / Sanctions financières des autorités de tutelle (capital add on)
Condamnation civile d'un dirigeant ou d'une personne morale</v>
      </c>
    </row>
    <row r="30" spans="1:6" ht="63.95" customHeight="1" thickBot="1">
      <c r="A30" s="139" t="s">
        <v>810</v>
      </c>
      <c r="B30" s="141" t="s">
        <v>10</v>
      </c>
      <c r="C30" s="274" t="s">
        <v>665</v>
      </c>
      <c r="D30" s="275"/>
      <c r="E30" s="170"/>
      <c r="F30" s="176" t="str">
        <f>IF(ISBLANK(B30),"",IF(OR(B30=E30,E30=""),VLOOKUP(B30,Impacts_Stratégie,2,FALSE),VLOOKUP(E30,Impacts_Stratégie,2,FALSE)))</f>
        <v>Remise en cause partielle d'une Orientation / Projet stratégique 
Perte notable de la performance / qualité des opérations ou des outils / des SI</v>
      </c>
    </row>
    <row r="31" spans="1:6" ht="24" customHeight="1" thickBot="1">
      <c r="A31" s="282" t="s">
        <v>971</v>
      </c>
      <c r="B31" s="283"/>
      <c r="C31" s="283"/>
      <c r="D31" s="283"/>
      <c r="E31" s="283"/>
      <c r="F31" s="284"/>
    </row>
    <row r="32" spans="1:6" ht="66.75" customHeight="1" thickBot="1">
      <c r="A32" s="266" t="s">
        <v>968</v>
      </c>
      <c r="B32" s="267" t="str">
        <f ca="1">'Tableau des risques brut'!D3</f>
        <v>Elevé</v>
      </c>
      <c r="C32" s="311" t="s">
        <v>969</v>
      </c>
      <c r="D32" s="312"/>
      <c r="E32" s="309" t="s">
        <v>904</v>
      </c>
      <c r="F32" s="310"/>
    </row>
    <row r="33" spans="1:6" ht="24" customHeight="1" thickBot="1">
      <c r="A33" s="301" t="s">
        <v>972</v>
      </c>
      <c r="B33" s="301"/>
      <c r="C33" s="301"/>
      <c r="D33" s="301"/>
      <c r="E33" s="204" t="s">
        <v>662</v>
      </c>
      <c r="F33" s="174" t="s">
        <v>811</v>
      </c>
    </row>
    <row r="34" spans="1:6" ht="87.75" customHeight="1" thickBot="1">
      <c r="A34" s="139" t="s">
        <v>898</v>
      </c>
      <c r="B34" s="141" t="s">
        <v>20</v>
      </c>
      <c r="C34" s="274" t="s">
        <v>665</v>
      </c>
      <c r="D34" s="275"/>
      <c r="E34" s="171"/>
      <c r="F34" s="175" t="s">
        <v>904</v>
      </c>
    </row>
    <row r="35" spans="1:6" ht="25.5" customHeight="1" thickTop="1" thickBot="1">
      <c r="A35" s="298" t="s">
        <v>905</v>
      </c>
      <c r="B35" s="299" t="s">
        <v>812</v>
      </c>
      <c r="C35" s="299"/>
      <c r="D35" s="299"/>
      <c r="E35" s="299" t="s">
        <v>662</v>
      </c>
      <c r="F35" s="300" t="s">
        <v>663</v>
      </c>
    </row>
    <row r="36" spans="1:6" ht="24" customHeight="1" thickTop="1" thickBot="1">
      <c r="A36" s="302" t="s">
        <v>970</v>
      </c>
      <c r="B36" s="303"/>
      <c r="C36" s="303"/>
      <c r="D36" s="304"/>
      <c r="E36" s="204" t="s">
        <v>662</v>
      </c>
      <c r="F36" s="174" t="s">
        <v>811</v>
      </c>
    </row>
    <row r="37" spans="1:6" ht="83.25" customHeight="1">
      <c r="A37" s="139" t="s">
        <v>667</v>
      </c>
      <c r="B37" s="141" t="s">
        <v>49</v>
      </c>
      <c r="C37" s="274" t="s">
        <v>665</v>
      </c>
      <c r="D37" s="275"/>
      <c r="E37" s="171"/>
      <c r="F37" s="175" t="str">
        <f>IF(ISBLANK(B37),"",IF(OR(B37=E37,E37=""),VLOOKUP(B37,Cotation_DMR2,2,FALSE),VLOOKUP(E37,Cotation_DMR2,2,FALSE)))</f>
        <v>Dispositifs mis en place permettant de réduire la fréquence ou l’impact du risque à un niveau satisfaisant : règles écrites et détaillées, contrôles formalisés et appliqués (indicateurs de suivi et de contrôle, évaluation des procédures, etc.).</v>
      </c>
    </row>
    <row r="38" spans="1:6" ht="17.25" customHeight="1">
      <c r="A38" s="139"/>
      <c r="B38" s="196"/>
      <c r="C38" s="196"/>
      <c r="D38" s="196"/>
      <c r="E38" s="196"/>
      <c r="F38" s="261"/>
    </row>
    <row r="39" spans="1:6" ht="63.75" customHeight="1">
      <c r="A39" s="139" t="s">
        <v>943</v>
      </c>
      <c r="B39" s="263" t="s">
        <v>49</v>
      </c>
      <c r="C39" s="274" t="s">
        <v>665</v>
      </c>
      <c r="D39" s="275"/>
      <c r="E39" s="171"/>
      <c r="F39" s="175" t="str">
        <f>IF(ISBLANK(B39),"",IF(OR(B39=E39,E39=""),VLOOKUP(B39,DMR_Homme,2,FALSE),VLOOKUP(E39,DMR_Homme,2,FALSE)))</f>
        <v>Organisation pleinement satisfaisante. Ressources adaptées, suffisantes</v>
      </c>
    </row>
    <row r="40" spans="1:6" ht="63.75" customHeight="1">
      <c r="A40" s="139" t="s">
        <v>944</v>
      </c>
      <c r="B40" s="263" t="s">
        <v>17</v>
      </c>
      <c r="C40" s="274" t="s">
        <v>665</v>
      </c>
      <c r="D40" s="275"/>
      <c r="E40" s="171"/>
      <c r="F40" s="175" t="str">
        <f>IF(ISBLANK(B40),"",IF(OR(B40=E40,E40=""),VLOOKUP(B40,DMR_SI,2,FALSE),VLOOKUP(E40,DMR_SI,2,FALSE)))</f>
        <v>Système d'information satisfaisant (aux besoins utilisateurs, peu de bugs...).</v>
      </c>
    </row>
    <row r="41" spans="1:6" ht="63.75" customHeight="1">
      <c r="A41" s="139" t="s">
        <v>945</v>
      </c>
      <c r="B41" s="263" t="s">
        <v>49</v>
      </c>
      <c r="C41" s="274" t="s">
        <v>665</v>
      </c>
      <c r="D41" s="275"/>
      <c r="E41" s="171"/>
      <c r="F41" s="175" t="str">
        <f>IF(ISBLANK(B41),"",IF(OR(B41=E41,E41=""),VLOOKUP(B41,DMR_Procedure,2,FALSE),VLOOKUP(E41,DMR_Procedure,2,FALSE)))</f>
        <v>Processus formalisé,  procédure et mis à jour régulièrement. Processus avec très peu de dysfonctionnements (en général mineurs)</v>
      </c>
    </row>
    <row r="42" spans="1:6" ht="63.75" customHeight="1" thickBot="1">
      <c r="A42" s="139" t="s">
        <v>946</v>
      </c>
      <c r="B42" s="263" t="s">
        <v>49</v>
      </c>
      <c r="C42" s="274" t="s">
        <v>665</v>
      </c>
      <c r="D42" s="275"/>
      <c r="E42" s="171"/>
      <c r="F42" s="175" t="str">
        <f>IF(ISBLANK(B42),"",IF(OR(B42=E42,E42=""),VLOOKUP(B42,DMR_Reglementaire,2,FALSE),VLOOKUP(E42,DMR_Reglementaire,2,FALSE)))</f>
        <v>Non-conformité  anticipées au fil de l'eau et actions de mises en conformités planifiées</v>
      </c>
    </row>
    <row r="43" spans="1:6" ht="24" customHeight="1" thickBot="1">
      <c r="A43" s="301" t="s">
        <v>934</v>
      </c>
      <c r="B43" s="301"/>
      <c r="C43" s="301"/>
      <c r="D43" s="301"/>
      <c r="E43" s="204" t="s">
        <v>662</v>
      </c>
      <c r="F43" s="174" t="s">
        <v>811</v>
      </c>
    </row>
    <row r="44" spans="1:6" ht="63.75" customHeight="1">
      <c r="A44" s="139" t="s">
        <v>668</v>
      </c>
      <c r="B44" s="141" t="s">
        <v>6</v>
      </c>
      <c r="C44" s="274" t="s">
        <v>665</v>
      </c>
      <c r="D44" s="275"/>
      <c r="E44" s="170"/>
      <c r="F44" s="176" t="str">
        <f>IF(ISBLANK(B44),"",IF(OR(B44=E44,E44=""),VLOOKUP(B44,Proba_Brut2,2,FALSE),VLOOKUP(E44,Proba_Brut2,2,FALSE)))</f>
        <v>Évènement pouvant se produire souvent du fait du volume et/ou de l'acteur de l'acte de gestion</v>
      </c>
    </row>
    <row r="45" spans="1:6" ht="63.75" customHeight="1" thickBot="1">
      <c r="A45" s="139" t="s">
        <v>669</v>
      </c>
      <c r="B45" s="141" t="s">
        <v>13</v>
      </c>
      <c r="C45" s="274" t="s">
        <v>665</v>
      </c>
      <c r="D45" s="275"/>
      <c r="E45" s="170"/>
      <c r="F45" s="176" t="str">
        <f>IF(ISBLANK(B45),"",IF(OR(B45=E45,E45=""),VLOOKUP(B45,Impact_Brut2,2,FALSE),VLOOKUP(E45,Impact_Brut2,2,FALSE)))</f>
        <v>Impacts dont l'extrême  gravité peut entrainer à court ou moyen terme la disparition de l'entreprise</v>
      </c>
    </row>
    <row r="46" spans="1:6" ht="24" customHeight="1" thickBot="1">
      <c r="A46" s="282" t="s">
        <v>941</v>
      </c>
      <c r="B46" s="283"/>
      <c r="C46" s="283"/>
      <c r="D46" s="283"/>
      <c r="E46" s="283"/>
      <c r="F46" s="284"/>
    </row>
    <row r="47" spans="1:6" ht="63.75" customHeight="1" thickBot="1">
      <c r="A47" s="139" t="s">
        <v>942</v>
      </c>
      <c r="B47" s="141" t="str">
        <f ca="1">'Tableau des risques net'!D3</f>
        <v>Elevé</v>
      </c>
      <c r="C47" s="207"/>
      <c r="D47" s="207"/>
      <c r="E47" s="208"/>
      <c r="F47" s="175"/>
    </row>
    <row r="48" spans="1:6" ht="34.5" customHeight="1" thickBot="1">
      <c r="A48" s="282" t="s">
        <v>940</v>
      </c>
      <c r="B48" s="283"/>
      <c r="C48" s="283"/>
      <c r="D48" s="283"/>
      <c r="E48" s="283" t="s">
        <v>662</v>
      </c>
      <c r="F48" s="284" t="s">
        <v>811</v>
      </c>
    </row>
    <row r="49" spans="1:6" ht="93" customHeight="1" thickBot="1">
      <c r="A49" s="262" t="s">
        <v>967</v>
      </c>
      <c r="B49" s="268" t="str">
        <f ca="1">'Tableau des risques net'!F3</f>
        <v>Criticité elevée</v>
      </c>
      <c r="C49" s="305" t="s">
        <v>969</v>
      </c>
      <c r="D49" s="306"/>
      <c r="E49" s="307"/>
      <c r="F49" s="308"/>
    </row>
    <row r="50" spans="1:6" ht="12.75" thickTop="1"/>
  </sheetData>
  <dataConsolidate/>
  <mergeCells count="37">
    <mergeCell ref="C49:D49"/>
    <mergeCell ref="E49:F49"/>
    <mergeCell ref="A48:F48"/>
    <mergeCell ref="A46:F46"/>
    <mergeCell ref="C30:D30"/>
    <mergeCell ref="C41:D41"/>
    <mergeCell ref="C42:D42"/>
    <mergeCell ref="A43:D43"/>
    <mergeCell ref="A36:D36"/>
    <mergeCell ref="A33:D33"/>
    <mergeCell ref="C39:D39"/>
    <mergeCell ref="C40:D40"/>
    <mergeCell ref="C34:D34"/>
    <mergeCell ref="E32:F32"/>
    <mergeCell ref="C32:D32"/>
    <mergeCell ref="A35:F35"/>
    <mergeCell ref="A24:D24"/>
    <mergeCell ref="C27:D27"/>
    <mergeCell ref="C28:D28"/>
    <mergeCell ref="C29:D29"/>
    <mergeCell ref="A22:D22"/>
    <mergeCell ref="B12:B13"/>
    <mergeCell ref="A14:B14"/>
    <mergeCell ref="C45:D45"/>
    <mergeCell ref="B2:C2"/>
    <mergeCell ref="C23:D23"/>
    <mergeCell ref="C25:D25"/>
    <mergeCell ref="C37:D37"/>
    <mergeCell ref="C44:D44"/>
    <mergeCell ref="A6:B6"/>
    <mergeCell ref="C6:D6"/>
    <mergeCell ref="A31:F31"/>
    <mergeCell ref="A15:B20"/>
    <mergeCell ref="E6:F6"/>
    <mergeCell ref="E13:F13"/>
    <mergeCell ref="A5:F5"/>
    <mergeCell ref="A21:F21"/>
  </mergeCells>
  <conditionalFormatting sqref="B34 B37:B42 B23 E23 E27:E30 B25 E25 B27:B30 B44:B45 E44:E45 E47 B47 E37:E42 E34">
    <cfRule type="cellIs" dxfId="70" priority="134" operator="equal">
      <formula>"Insuffisant"</formula>
    </cfRule>
    <cfRule type="cellIs" dxfId="69" priority="135" operator="equal">
      <formula>"Acceptable"</formula>
    </cfRule>
    <cfRule type="cellIs" dxfId="68" priority="136" operator="equal">
      <formula>"Permanente"</formula>
    </cfRule>
    <cfRule type="cellIs" dxfId="67" priority="137" operator="equal">
      <formula>"Récurrente"</formula>
    </cfRule>
    <cfRule type="cellIs" dxfId="66" priority="138" operator="equal">
      <formula>"Exceptionnelle"</formula>
    </cfRule>
    <cfRule type="cellIs" dxfId="65" priority="139" operator="equal">
      <formula>"Rare"</formula>
    </cfRule>
    <cfRule type="cellIs" dxfId="64" priority="140" operator="equal">
      <formula>"Modérée"</formula>
    </cfRule>
    <cfRule type="cellIs" dxfId="63" priority="141" operator="equal">
      <formula>"Maîtrisé"</formula>
    </cfRule>
    <cfRule type="cellIs" dxfId="62" priority="142" operator="equal">
      <formula>"Elevée"</formula>
    </cfRule>
    <cfRule type="cellIs" dxfId="61" priority="143" operator="equal">
      <formula>"Catastrophique"</formula>
    </cfRule>
    <cfRule type="cellIs" dxfId="60" priority="144" operator="equal">
      <formula>"Critique"</formula>
    </cfRule>
    <cfRule type="cellIs" dxfId="59" priority="145" operator="equal">
      <formula>"Elevé"</formula>
    </cfRule>
    <cfRule type="cellIs" dxfId="58" priority="146" operator="equal">
      <formula>"Modéré"</formula>
    </cfRule>
    <cfRule type="cellIs" dxfId="57" priority="147" operator="equal">
      <formula>"Marginal"</formula>
    </cfRule>
  </conditionalFormatting>
  <conditionalFormatting sqref="E37:E42 E27:E30 E44:E45 E47 E34">
    <cfRule type="cellIs" dxfId="56" priority="128" operator="equal">
      <formula>"Catastrophique"</formula>
    </cfRule>
    <cfRule type="cellIs" dxfId="55" priority="129" operator="equal">
      <formula>"Critique"</formula>
    </cfRule>
    <cfRule type="cellIs" dxfId="54" priority="130" operator="equal">
      <formula>"Elevé"</formula>
    </cfRule>
    <cfRule type="cellIs" dxfId="53" priority="131" operator="equal">
      <formula>"Modéré"</formula>
    </cfRule>
    <cfRule type="cellIs" dxfId="52" priority="132" operator="equal">
      <formula>"Faible"</formula>
    </cfRule>
    <cfRule type="cellIs" dxfId="51" priority="133" operator="equal">
      <formula>"Marginal"</formula>
    </cfRule>
  </conditionalFormatting>
  <conditionalFormatting sqref="B47 B30 B37:B42 B34">
    <cfRule type="cellIs" dxfId="50" priority="127" operator="equal">
      <formula>"Faible"</formula>
    </cfRule>
  </conditionalFormatting>
  <conditionalFormatting sqref="B27:B30 B25 B45 B47 B39:B42">
    <cfRule type="cellIs" dxfId="49" priority="126" operator="equal">
      <formula>"Faible"</formula>
    </cfRule>
  </conditionalFormatting>
  <conditionalFormatting sqref="E34 B47:E47 B32:D32 B34 B49:D49">
    <cfRule type="cellIs" dxfId="48" priority="86" operator="equal">
      <formula>"Très élevée"</formula>
    </cfRule>
  </conditionalFormatting>
  <conditionalFormatting sqref="E34 B47:E47 B32:D32 B34 B49:D49">
    <cfRule type="cellIs" dxfId="47" priority="87" operator="equal">
      <formula>"Elevé"</formula>
    </cfRule>
    <cfRule type="cellIs" dxfId="46" priority="88" operator="equal">
      <formula>"Modéré"</formula>
    </cfRule>
    <cfRule type="cellIs" dxfId="45" priority="89" operator="equal">
      <formula>"Mineur"</formula>
    </cfRule>
  </conditionalFormatting>
  <dataValidations xWindow="337" yWindow="511" count="35">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25 B27:B30 B45">
      <formula1>Impact_Brut</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44 B23">
      <formula1>Proba_Brut</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37:B42">
      <formula1>Cotation_DMR</formula1>
    </dataValidation>
    <dataValidation type="list" allowBlank="1" showInputMessage="1" showErrorMessage="1" promptTitle="Synthèse de l'impact (Dir Opér)" prompt="Sélectionner dans la liste le niveau d'impact. C'est cette valeur qui s'affiche en dynamique dans la zone commentaire et qui sera retenue." sqref="E38">
      <formula1>Impp</formula1>
    </dataValidation>
    <dataValidation allowBlank="1" showErrorMessage="1" sqref="A49 A37:A42 A44:A45 A27:A30 A47 A32 A34"/>
    <dataValidation type="list" allowBlank="1" showInputMessage="1" showErrorMessage="1" sqref="B47 B34">
      <formula1>Cotation_Gravité_Brute</formula1>
    </dataValidation>
    <dataValidation type="list" allowBlank="1" showInputMessage="1" showErrorMessage="1" promptTitle="Synthèse de l'impact (Dir Opér)" prompt="Sélectionner dans la liste le niveau d'impact. C'est cette valeur qui s'affiche en dynamique dans la zone commentaire et qui sera retenue." sqref="E34">
      <formula1>Cotation_Gravité_Brute</formula1>
    </dataValidation>
    <dataValidation type="list" allowBlank="1" showInputMessage="1" showErrorMessage="1" promptTitle="Synthèse de l'impact (Dir Opér)" prompt="Sélectionner dans la liste le niveau d'impact. C'est cette valeur qui s'affiche en dynamique dans la zone commentaire et qui sera retenue." sqref="E44 E23">
      <formula1>Proba_Brut</formula1>
    </dataValidation>
    <dataValidation type="list" allowBlank="1" showInputMessage="1" showErrorMessage="1" promptTitle="Synthèse de l'impact (Dir Opér)" prompt="Sélectionner dans la liste le niveau d'impact. C'est cette valeur qui s'affiche en dynamique dans la zone commentaire et qui sera retenue." sqref="E45 E27:E30 E25">
      <formula1>Impact_Brut</formula1>
    </dataValidation>
    <dataValidation type="list" allowBlank="1" showInputMessage="1" showErrorMessage="1" promptTitle="Synthèse de l'impact (Dir Opér)" prompt="Sélectionner dans la liste le niveau d'impact. C'est cette valeur qui s'affiche en dynamique dans la zone commentaire et qui sera retenue." sqref="E37 E39:E42">
      <formula1>Cotation_DMR</formula1>
    </dataValidation>
    <dataValidation type="list" allowBlank="1" showInputMessage="1" showErrorMessage="1" promptTitle="Qu'est ce qu'un risque majeur ?" prompt="_x000a_Un risque majeur est un risque, qui lorsqu'il survient peut mettre en jeu la pérénité de l'entreprise. Les risques majeurs font l'objet d'un suivi soutenu." sqref="B10">
      <formula1>Choix</formula1>
    </dataValidation>
    <dataValidation type="list" allowBlank="1" showInputMessage="1" showErrorMessage="1" promptTitle="Le risque est-il clé ?" prompt="_x000a_Un risque clé c'est un risque qui présente une importance significative au sein de votre activité sans toutefois être majeur." sqref="B9">
      <formula1>"Oui,Non"</formula1>
    </dataValidation>
    <dataValidation allowBlank="1" showInputMessage="1" showErrorMessage="1" promptTitle="Nom du risque" prompt="_x000a_Inscrire le nom de votre risque. Il doit permettre de comprendre globalement l'événement et de le retrouver rapidement." sqref="B8"/>
    <dataValidation allowBlank="1" showInputMessage="1" showErrorMessage="1" promptTitle="Code du risque" prompt="_x000a_Référez vous à la nomenclature." sqref="B7"/>
    <dataValidation type="list" allowBlank="1" showInputMessage="1" showErrorMessage="1" promptTitle="Sélectionner votre Direction" prompt="Sélectionner votre Direction dans la liste proposée" sqref="B2:C2">
      <formula1>Directions</formula1>
    </dataValidation>
    <dataValidation type="list" allowBlank="1" showInputMessage="1" showErrorMessage="1" promptTitle="Comment ?" prompt="_x000a_Par quels moyens avez vous pu identifier le risque ? " sqref="B11">
      <formula1>origine_de_détection</formula1>
    </dataValidation>
    <dataValidation allowBlank="1" showInputMessage="1" showErrorMessage="1" promptTitle="Décrivez le risque" prompt="_x000a_Décrivez dans cette zone de manière succinte votre risque." sqref="B12"/>
    <dataValidation type="list" allowBlank="1" showInputMessage="1" showErrorMessage="1" promptTitle="Votre département" prompt="_x000a_Choisir votre département dans la liste déroulante." sqref="D7">
      <formula1>INDIRECT($B$2)</formula1>
    </dataValidation>
    <dataValidation allowBlank="1" showInputMessage="1" promptTitle="Rattachement à un PM" prompt="_x000a_Précisez ici le processus auquel se rattache le risque : il peut être de niveau 2 ou 3." sqref="D8"/>
    <dataValidation allowBlank="1" showInputMessage="1" promptTitle="Rattachement à un PO" prompt="_x000a_Précisez ici le processus organisationnel auquel se rattache votre risque" sqref="D9"/>
    <dataValidation type="list" allowBlank="1" showInputMessage="1" showErrorMessage="1" sqref="D10:D19">
      <formula1>Choix</formula1>
    </dataValidation>
    <dataValidation type="list" allowBlank="1" showInputMessage="1" showErrorMessage="1" sqref="F12">
      <formula1>INDIRECT($E$12)</formula1>
    </dataValidation>
    <dataValidation type="list" allowBlank="1" showInputMessage="1" showErrorMessage="1" sqref="E7:E12">
      <formula1>Facteurs</formula1>
    </dataValidation>
    <dataValidation type="list" allowBlank="1" showInputMessage="1" showErrorMessage="1" sqref="F7">
      <formula1>INDIRECT($E$7)</formula1>
    </dataValidation>
    <dataValidation type="list" allowBlank="1" showInputMessage="1" showErrorMessage="1" sqref="F8">
      <formula1>INDIRECT($E$8)</formula1>
    </dataValidation>
    <dataValidation type="list" allowBlank="1" showInputMessage="1" showErrorMessage="1" sqref="F9">
      <formula1>INDIRECT($E$9)</formula1>
    </dataValidation>
    <dataValidation type="list" allowBlank="1" showInputMessage="1" showErrorMessage="1" sqref="F10">
      <formula1>INDIRECT($E$10)</formula1>
    </dataValidation>
    <dataValidation type="list" allowBlank="1" showInputMessage="1" showErrorMessage="1" sqref="F11">
      <formula1>INDIRECT($E$11)</formula1>
    </dataValidation>
    <dataValidation type="list" allowBlank="1" showInputMessage="1" showErrorMessage="1" sqref="E14:E19">
      <formula1>Conséquence</formula1>
    </dataValidation>
    <dataValidation type="list" allowBlank="1" showInputMessage="1" showErrorMessage="1" sqref="F14">
      <formula1>INDIRECT($E$14)</formula1>
    </dataValidation>
    <dataValidation type="list" allowBlank="1" showInputMessage="1" showErrorMessage="1" sqref="F15">
      <formula1>INDIRECT($E$15)</formula1>
    </dataValidation>
    <dataValidation type="list" allowBlank="1" showInputMessage="1" showErrorMessage="1" sqref="F16">
      <formula1>INDIRECT($E$16)</formula1>
    </dataValidation>
    <dataValidation type="list" allowBlank="1" showInputMessage="1" showErrorMessage="1" sqref="F17">
      <formula1>INDIRECT($E$17)</formula1>
    </dataValidation>
    <dataValidation type="list" allowBlank="1" showInputMessage="1" showErrorMessage="1" sqref="F18">
      <formula1>INDIRECT($E$18)</formula1>
    </dataValidation>
    <dataValidation type="list" allowBlank="1" showInputMessage="1" showErrorMessage="1" sqref="F19">
      <formula1>INDIRECT($E$19)</formula1>
    </dataValidation>
  </dataValidations>
  <pageMargins left="0.70866141732283472" right="0.70866141732283472" top="0.74803149606299213" bottom="0.74803149606299213" header="0.31496062992125984" footer="0.31496062992125984"/>
  <pageSetup paperSize="9" scale="36" orientation="portrait" r:id="rId1"/>
</worksheet>
</file>

<file path=xl/worksheets/sheet4.xml><?xml version="1.0" encoding="utf-8"?>
<worksheet xmlns="http://schemas.openxmlformats.org/spreadsheetml/2006/main" xmlns:r="http://schemas.openxmlformats.org/officeDocument/2006/relationships">
  <sheetPr codeName="Feuil8"/>
  <dimension ref="A1:T73"/>
  <sheetViews>
    <sheetView topLeftCell="M1" zoomScale="110" zoomScaleNormal="110" workbookViewId="0">
      <selection activeCell="O14" sqref="O14"/>
    </sheetView>
  </sheetViews>
  <sheetFormatPr baseColWidth="10" defaultColWidth="11.42578125" defaultRowHeight="11.25"/>
  <cols>
    <col min="1" max="1" width="9.7109375" style="50" bestFit="1" customWidth="1"/>
    <col min="2" max="2" width="6.42578125" style="50" bestFit="1" customWidth="1"/>
    <col min="3" max="3" width="24.5703125" style="50" bestFit="1" customWidth="1"/>
    <col min="4" max="4" width="23.42578125" style="50" bestFit="1" customWidth="1"/>
    <col min="5" max="6" width="12" style="50" customWidth="1"/>
    <col min="7" max="7" width="25.28515625" style="50" bestFit="1" customWidth="1"/>
    <col min="8" max="8" width="35.140625" style="50" customWidth="1"/>
    <col min="9" max="9" width="31.28515625" style="50" customWidth="1"/>
    <col min="10" max="10" width="27.5703125" style="50" customWidth="1"/>
    <col min="11" max="11" width="23.7109375" style="50" customWidth="1"/>
    <col min="12" max="12" width="22.28515625" style="50" customWidth="1"/>
    <col min="13" max="13" width="29.5703125" style="50" customWidth="1"/>
    <col min="14" max="14" width="51.7109375" style="50" customWidth="1"/>
    <col min="15" max="15" width="24.28515625" style="51" customWidth="1"/>
    <col min="16" max="16" width="22.5703125" style="51" customWidth="1"/>
    <col min="17" max="17" width="19.140625" style="51" customWidth="1"/>
    <col min="18" max="18" width="28" style="50" customWidth="1"/>
    <col min="19" max="20" width="22.5703125" style="50" customWidth="1"/>
    <col min="21" max="16384" width="11.42578125" style="50"/>
  </cols>
  <sheetData>
    <row r="1" spans="1:17">
      <c r="A1" s="48" t="s">
        <v>99</v>
      </c>
      <c r="B1" s="49"/>
      <c r="C1" s="49"/>
      <c r="D1" s="48" t="s">
        <v>30</v>
      </c>
      <c r="E1" s="48" t="s">
        <v>100</v>
      </c>
      <c r="G1" s="48" t="s">
        <v>31</v>
      </c>
      <c r="H1" s="48" t="s">
        <v>101</v>
      </c>
    </row>
    <row r="2" spans="1:17" ht="14.25" customHeight="1">
      <c r="A2" s="52">
        <v>43101</v>
      </c>
      <c r="B2" s="53"/>
      <c r="C2" s="54"/>
      <c r="D2" s="55" t="s">
        <v>8</v>
      </c>
      <c r="E2" s="56" t="s">
        <v>102</v>
      </c>
      <c r="F2" s="56"/>
      <c r="G2" s="53" t="s">
        <v>103</v>
      </c>
      <c r="H2" s="53" t="s">
        <v>883</v>
      </c>
      <c r="I2" s="48" t="s">
        <v>104</v>
      </c>
      <c r="J2" s="57"/>
      <c r="K2" s="57"/>
      <c r="L2" s="57"/>
      <c r="M2" s="57"/>
      <c r="N2" s="48" t="s">
        <v>105</v>
      </c>
      <c r="O2" s="57"/>
      <c r="P2" s="57"/>
      <c r="Q2" s="57"/>
    </row>
    <row r="3" spans="1:17">
      <c r="A3" s="52">
        <v>43343</v>
      </c>
      <c r="B3" s="53"/>
      <c r="C3" s="54"/>
      <c r="D3" s="55" t="s">
        <v>9</v>
      </c>
      <c r="E3" s="56" t="s">
        <v>106</v>
      </c>
      <c r="F3" s="56"/>
      <c r="G3" s="53" t="s">
        <v>107</v>
      </c>
      <c r="H3" s="53" t="s">
        <v>884</v>
      </c>
      <c r="I3" s="58" t="s">
        <v>34</v>
      </c>
      <c r="J3" s="58" t="s">
        <v>35</v>
      </c>
      <c r="K3" s="58" t="s">
        <v>36</v>
      </c>
      <c r="L3" s="58" t="s">
        <v>37</v>
      </c>
      <c r="M3" s="58" t="s">
        <v>38</v>
      </c>
      <c r="N3" s="59" t="s">
        <v>108</v>
      </c>
      <c r="O3" s="59" t="s">
        <v>39</v>
      </c>
      <c r="P3" s="59" t="s">
        <v>109</v>
      </c>
      <c r="Q3" s="60" t="s">
        <v>40</v>
      </c>
    </row>
    <row r="4" spans="1:17">
      <c r="A4" s="52"/>
      <c r="B4" s="53"/>
      <c r="C4" s="54"/>
      <c r="D4" s="55" t="s">
        <v>5</v>
      </c>
      <c r="E4" s="56" t="s">
        <v>110</v>
      </c>
      <c r="F4" s="56"/>
      <c r="G4" s="53" t="s">
        <v>41</v>
      </c>
      <c r="H4" s="53" t="s">
        <v>881</v>
      </c>
      <c r="I4" s="53" t="s">
        <v>111</v>
      </c>
      <c r="J4" s="53" t="s">
        <v>42</v>
      </c>
      <c r="K4" s="53" t="s">
        <v>43</v>
      </c>
      <c r="L4" s="53" t="s">
        <v>44</v>
      </c>
      <c r="M4" s="55" t="s">
        <v>45</v>
      </c>
      <c r="N4" s="55" t="s">
        <v>46</v>
      </c>
      <c r="O4" s="55" t="s">
        <v>112</v>
      </c>
      <c r="P4" s="55" t="s">
        <v>47</v>
      </c>
      <c r="Q4" s="61" t="s">
        <v>48</v>
      </c>
    </row>
    <row r="5" spans="1:17">
      <c r="A5" s="52">
        <v>43403</v>
      </c>
      <c r="B5" s="313" t="s">
        <v>113</v>
      </c>
      <c r="C5" s="313"/>
      <c r="D5" s="55" t="s">
        <v>6</v>
      </c>
      <c r="F5" s="56"/>
      <c r="G5" s="53" t="s">
        <v>50</v>
      </c>
      <c r="H5" s="53" t="s">
        <v>882</v>
      </c>
      <c r="I5" s="53" t="s">
        <v>51</v>
      </c>
      <c r="J5" s="53" t="s">
        <v>52</v>
      </c>
      <c r="K5" s="53" t="s">
        <v>53</v>
      </c>
      <c r="L5" s="53" t="s">
        <v>54</v>
      </c>
      <c r="M5" s="55" t="s">
        <v>55</v>
      </c>
      <c r="N5" s="55" t="s">
        <v>56</v>
      </c>
      <c r="O5" s="55" t="s">
        <v>57</v>
      </c>
      <c r="P5" s="55" t="s">
        <v>58</v>
      </c>
      <c r="Q5" s="55" t="s">
        <v>59</v>
      </c>
    </row>
    <row r="6" spans="1:17">
      <c r="B6" s="313"/>
      <c r="C6" s="313"/>
      <c r="D6" s="55" t="s">
        <v>12</v>
      </c>
      <c r="E6" s="56"/>
      <c r="F6" s="56"/>
      <c r="G6" s="53" t="s">
        <v>60</v>
      </c>
      <c r="H6" s="53"/>
      <c r="I6" s="53" t="s">
        <v>114</v>
      </c>
      <c r="J6" s="53" t="s">
        <v>61</v>
      </c>
      <c r="K6" s="53" t="s">
        <v>62</v>
      </c>
      <c r="L6" s="53" t="s">
        <v>63</v>
      </c>
      <c r="M6" s="55" t="s">
        <v>64</v>
      </c>
      <c r="N6" s="55" t="s">
        <v>65</v>
      </c>
      <c r="O6" s="55" t="s">
        <v>66</v>
      </c>
      <c r="P6" s="61" t="s">
        <v>67</v>
      </c>
      <c r="Q6" s="55" t="s">
        <v>68</v>
      </c>
    </row>
    <row r="7" spans="1:17">
      <c r="A7" s="62" t="str">
        <f ca="1">IF(AND(TODAY()&gt;=A2,TODAY()&lt;=A3),"Vous utilisez le fichier de la période du "&amp;ROUNDUP(MONTH(A2)/3,0)&amp;" semestre "&amp;YEAR(A2),"Attention, vous n'utilisez pas la bonne version de fichier, contacter le Département Gestion des Risques")</f>
        <v>Vous utilisez le fichier de la période du 1 semestre 2018</v>
      </c>
      <c r="B7" s="63"/>
      <c r="C7" s="64"/>
      <c r="D7" s="55" t="s">
        <v>13</v>
      </c>
      <c r="G7" s="53" t="s">
        <v>115</v>
      </c>
      <c r="H7" s="53"/>
      <c r="I7" s="53" t="s">
        <v>70</v>
      </c>
      <c r="J7" s="53" t="s">
        <v>71</v>
      </c>
      <c r="K7" s="53"/>
      <c r="L7" s="53" t="s">
        <v>72</v>
      </c>
      <c r="M7" s="55" t="s">
        <v>73</v>
      </c>
      <c r="O7" s="55" t="s">
        <v>74</v>
      </c>
      <c r="P7" s="55" t="s">
        <v>75</v>
      </c>
      <c r="Q7" s="55" t="s">
        <v>76</v>
      </c>
    </row>
    <row r="8" spans="1:17">
      <c r="A8" s="65"/>
      <c r="B8" s="65"/>
      <c r="G8" s="53" t="s">
        <v>69</v>
      </c>
      <c r="I8" s="53" t="s">
        <v>116</v>
      </c>
      <c r="J8" s="53" t="s">
        <v>117</v>
      </c>
      <c r="K8" s="53"/>
      <c r="L8" s="53"/>
      <c r="M8" s="55" t="s">
        <v>78</v>
      </c>
      <c r="O8" s="55" t="s">
        <v>79</v>
      </c>
      <c r="P8" s="55" t="s">
        <v>80</v>
      </c>
    </row>
    <row r="9" spans="1:17">
      <c r="A9" s="65"/>
      <c r="B9" s="65"/>
      <c r="G9" s="50" t="s">
        <v>77</v>
      </c>
      <c r="I9" s="53" t="s">
        <v>81</v>
      </c>
      <c r="J9" s="53"/>
      <c r="K9" s="53"/>
      <c r="L9" s="53"/>
      <c r="M9" s="55" t="s">
        <v>82</v>
      </c>
      <c r="P9" s="61" t="s">
        <v>83</v>
      </c>
    </row>
    <row r="10" spans="1:17">
      <c r="D10" s="48" t="s">
        <v>27</v>
      </c>
      <c r="G10" s="48" t="s">
        <v>119</v>
      </c>
      <c r="H10" s="48"/>
      <c r="I10" s="53" t="s">
        <v>85</v>
      </c>
      <c r="J10" s="53"/>
      <c r="K10" s="53"/>
      <c r="L10" s="53"/>
      <c r="M10" s="53"/>
    </row>
    <row r="11" spans="1:17">
      <c r="D11" s="55" t="s">
        <v>25</v>
      </c>
      <c r="G11" s="50" t="s">
        <v>120</v>
      </c>
      <c r="J11" s="53"/>
      <c r="K11" s="53"/>
      <c r="L11" s="53"/>
      <c r="M11" s="53"/>
    </row>
    <row r="12" spans="1:17">
      <c r="A12" s="66"/>
      <c r="B12" s="65"/>
      <c r="D12" s="55" t="s">
        <v>4</v>
      </c>
      <c r="G12" s="50" t="s">
        <v>121</v>
      </c>
      <c r="J12" s="53"/>
      <c r="K12" s="53"/>
      <c r="L12" s="53"/>
      <c r="M12" s="53"/>
    </row>
    <row r="13" spans="1:17">
      <c r="A13" s="66"/>
      <c r="B13" s="65"/>
      <c r="D13" s="55" t="s">
        <v>5</v>
      </c>
      <c r="J13" s="53"/>
      <c r="K13" s="53"/>
      <c r="L13" s="53"/>
      <c r="M13" s="53"/>
    </row>
    <row r="14" spans="1:17">
      <c r="A14" s="66"/>
      <c r="B14" s="65"/>
      <c r="D14" s="55" t="s">
        <v>6</v>
      </c>
      <c r="J14" s="53"/>
      <c r="K14" s="53"/>
      <c r="L14" s="53"/>
      <c r="M14" s="53"/>
    </row>
    <row r="15" spans="1:17">
      <c r="A15" s="66"/>
      <c r="B15" s="65"/>
      <c r="D15" s="55" t="s">
        <v>15</v>
      </c>
      <c r="G15" s="48" t="s">
        <v>122</v>
      </c>
      <c r="H15" s="48"/>
      <c r="I15" s="66"/>
      <c r="J15" s="66"/>
      <c r="K15" s="66"/>
      <c r="L15" s="53"/>
      <c r="M15" s="53"/>
    </row>
    <row r="16" spans="1:17">
      <c r="A16" s="66"/>
      <c r="B16" s="65"/>
      <c r="D16" s="55" t="s">
        <v>7</v>
      </c>
      <c r="G16" s="50" t="s">
        <v>123</v>
      </c>
      <c r="I16" s="66"/>
      <c r="J16" s="66"/>
      <c r="K16" s="66"/>
      <c r="L16" s="53"/>
      <c r="M16" s="53"/>
    </row>
    <row r="17" spans="3:20">
      <c r="G17" s="50" t="s">
        <v>124</v>
      </c>
      <c r="I17" s="53"/>
      <c r="J17" s="53"/>
      <c r="K17" s="53"/>
      <c r="L17" s="53"/>
      <c r="M17" s="53"/>
    </row>
    <row r="18" spans="3:20" ht="15">
      <c r="C18" s="67"/>
      <c r="D18" s="48" t="s">
        <v>125</v>
      </c>
      <c r="G18" s="50" t="s">
        <v>126</v>
      </c>
      <c r="I18" s="53"/>
      <c r="J18" s="53"/>
      <c r="K18" s="53"/>
      <c r="L18" s="53"/>
      <c r="M18" s="55"/>
    </row>
    <row r="19" spans="3:20" ht="10.15" customHeight="1">
      <c r="C19" s="68"/>
      <c r="D19" s="55" t="s">
        <v>19</v>
      </c>
      <c r="G19" s="50" t="s">
        <v>127</v>
      </c>
      <c r="I19" s="53"/>
      <c r="J19" s="53"/>
      <c r="K19" s="53"/>
      <c r="L19" s="53"/>
      <c r="M19" s="55"/>
    </row>
    <row r="20" spans="3:20" ht="10.15" customHeight="1">
      <c r="D20" s="55" t="s">
        <v>9</v>
      </c>
      <c r="G20" s="50" t="s">
        <v>128</v>
      </c>
      <c r="I20" s="48" t="s">
        <v>129</v>
      </c>
      <c r="J20" s="53"/>
      <c r="K20" s="53"/>
      <c r="L20" s="53"/>
      <c r="M20" s="55"/>
    </row>
    <row r="21" spans="3:20" ht="10.15" customHeight="1">
      <c r="D21" s="55" t="s">
        <v>17</v>
      </c>
      <c r="G21" s="50" t="s">
        <v>118</v>
      </c>
      <c r="I21" s="69" t="s">
        <v>130</v>
      </c>
      <c r="J21" s="53"/>
      <c r="K21" s="53"/>
      <c r="L21" s="53"/>
      <c r="M21" s="55"/>
    </row>
    <row r="22" spans="3:20" ht="10.15" customHeight="1">
      <c r="D22" s="55" t="s">
        <v>16</v>
      </c>
      <c r="I22" s="69" t="s">
        <v>131</v>
      </c>
      <c r="J22" s="53"/>
      <c r="K22" s="53"/>
      <c r="L22" s="53"/>
      <c r="M22" s="55"/>
    </row>
    <row r="23" spans="3:20" ht="10.15" customHeight="1">
      <c r="D23" s="55"/>
      <c r="I23" s="69" t="s">
        <v>132</v>
      </c>
      <c r="J23" s="53"/>
      <c r="K23" s="53"/>
      <c r="L23" s="53"/>
      <c r="M23" s="55"/>
    </row>
    <row r="24" spans="3:20" ht="10.15" customHeight="1">
      <c r="D24" s="55"/>
      <c r="G24" s="148"/>
      <c r="I24" s="69" t="s">
        <v>133</v>
      </c>
      <c r="J24" s="48" t="s">
        <v>132</v>
      </c>
      <c r="K24" s="48" t="s">
        <v>131</v>
      </c>
      <c r="L24" s="48" t="s">
        <v>130</v>
      </c>
      <c r="M24" s="48" t="s">
        <v>133</v>
      </c>
      <c r="N24" s="48" t="s">
        <v>134</v>
      </c>
      <c r="O24" s="48" t="s">
        <v>135</v>
      </c>
      <c r="P24" s="70" t="s">
        <v>136</v>
      </c>
      <c r="Q24" s="70" t="s">
        <v>137</v>
      </c>
      <c r="R24" s="70" t="s">
        <v>138</v>
      </c>
      <c r="S24" s="70" t="s">
        <v>139</v>
      </c>
      <c r="T24" s="70" t="s">
        <v>140</v>
      </c>
    </row>
    <row r="25" spans="3:20" ht="10.15" customHeight="1">
      <c r="G25" s="148"/>
      <c r="I25" s="69" t="s">
        <v>134</v>
      </c>
      <c r="J25" s="69" t="s">
        <v>141</v>
      </c>
      <c r="K25" s="69" t="s">
        <v>142</v>
      </c>
      <c r="L25" s="69" t="s">
        <v>143</v>
      </c>
      <c r="M25" s="69" t="s">
        <v>144</v>
      </c>
      <c r="N25" s="69" t="s">
        <v>145</v>
      </c>
      <c r="O25" s="69" t="s">
        <v>146</v>
      </c>
      <c r="P25" s="69" t="s">
        <v>136</v>
      </c>
      <c r="Q25" s="51" t="s">
        <v>147</v>
      </c>
      <c r="R25" s="50" t="s">
        <v>148</v>
      </c>
      <c r="S25" s="50" t="s">
        <v>149</v>
      </c>
      <c r="T25" s="50" t="s">
        <v>150</v>
      </c>
    </row>
    <row r="26" spans="3:20" ht="10.15" customHeight="1">
      <c r="C26" s="48" t="s">
        <v>678</v>
      </c>
      <c r="D26" s="48" t="s">
        <v>872</v>
      </c>
      <c r="E26" s="48" t="s">
        <v>69</v>
      </c>
      <c r="F26" s="48" t="s">
        <v>77</v>
      </c>
      <c r="G26" s="180"/>
      <c r="I26" s="69" t="s">
        <v>135</v>
      </c>
      <c r="J26" s="69" t="s">
        <v>151</v>
      </c>
      <c r="K26" s="69" t="s">
        <v>152</v>
      </c>
      <c r="L26" s="69" t="s">
        <v>153</v>
      </c>
      <c r="M26" s="69" t="s">
        <v>154</v>
      </c>
      <c r="N26" s="69" t="s">
        <v>155</v>
      </c>
      <c r="O26" s="71"/>
      <c r="P26" s="71"/>
      <c r="Q26" s="51" t="s">
        <v>156</v>
      </c>
      <c r="T26" s="50" t="s">
        <v>157</v>
      </c>
    </row>
    <row r="27" spans="3:20" ht="15">
      <c r="C27" s="180" t="s">
        <v>33</v>
      </c>
      <c r="D27" s="180" t="s">
        <v>886</v>
      </c>
      <c r="E27" s="180" t="s">
        <v>69</v>
      </c>
      <c r="F27" s="179" t="s">
        <v>77</v>
      </c>
      <c r="G27" s="180"/>
      <c r="I27" s="69" t="s">
        <v>136</v>
      </c>
      <c r="J27" s="71"/>
      <c r="K27" s="69" t="s">
        <v>158</v>
      </c>
      <c r="L27" s="71"/>
      <c r="M27" s="69" t="s">
        <v>159</v>
      </c>
      <c r="N27" s="69" t="s">
        <v>160</v>
      </c>
      <c r="O27" s="71"/>
      <c r="P27" s="71"/>
      <c r="Q27" s="51" t="s">
        <v>161</v>
      </c>
      <c r="T27" s="50" t="s">
        <v>162</v>
      </c>
    </row>
    <row r="28" spans="3:20" ht="15">
      <c r="C28" s="179" t="s">
        <v>32</v>
      </c>
      <c r="D28" s="181" t="s">
        <v>871</v>
      </c>
      <c r="E28" s="181"/>
      <c r="F28" s="181"/>
      <c r="G28" s="180"/>
      <c r="I28" s="69" t="s">
        <v>137</v>
      </c>
      <c r="J28" s="71"/>
      <c r="K28" s="71"/>
      <c r="L28" s="71"/>
      <c r="M28" s="71"/>
      <c r="N28" s="72" t="s">
        <v>163</v>
      </c>
      <c r="O28" s="71"/>
      <c r="P28" s="71"/>
      <c r="Q28" s="51" t="s">
        <v>164</v>
      </c>
      <c r="T28" s="50" t="s">
        <v>165</v>
      </c>
    </row>
    <row r="29" spans="3:20" ht="15">
      <c r="D29" s="180" t="s">
        <v>60</v>
      </c>
      <c r="G29" s="148"/>
      <c r="I29" s="50" t="s">
        <v>138</v>
      </c>
      <c r="J29" s="71"/>
      <c r="K29" s="71"/>
      <c r="L29" s="71"/>
      <c r="M29" s="71"/>
      <c r="N29" s="72" t="s">
        <v>166</v>
      </c>
      <c r="O29" s="71"/>
      <c r="P29" s="71"/>
    </row>
    <row r="30" spans="3:20" ht="15">
      <c r="G30" s="155"/>
      <c r="I30" s="50" t="s">
        <v>139</v>
      </c>
      <c r="J30" s="71"/>
      <c r="K30" s="71"/>
      <c r="M30" s="71"/>
      <c r="N30" s="72" t="s">
        <v>167</v>
      </c>
      <c r="O30" s="71"/>
      <c r="P30" s="71"/>
    </row>
    <row r="31" spans="3:20" ht="15">
      <c r="C31" s="48" t="s">
        <v>119</v>
      </c>
      <c r="I31" s="50" t="s">
        <v>140</v>
      </c>
      <c r="J31" s="71"/>
      <c r="K31" s="71"/>
      <c r="M31" s="71"/>
      <c r="N31" s="71"/>
      <c r="O31" s="71"/>
      <c r="P31" s="71"/>
    </row>
    <row r="32" spans="3:20">
      <c r="C32" s="181" t="s">
        <v>891</v>
      </c>
      <c r="J32" s="48" t="s">
        <v>168</v>
      </c>
      <c r="K32" s="48" t="s">
        <v>169</v>
      </c>
      <c r="L32" s="48" t="s">
        <v>170</v>
      </c>
      <c r="M32" s="48" t="s">
        <v>171</v>
      </c>
      <c r="N32" s="48" t="s">
        <v>172</v>
      </c>
      <c r="O32" s="48" t="s">
        <v>173</v>
      </c>
      <c r="P32" s="48" t="s">
        <v>174</v>
      </c>
    </row>
    <row r="33" spans="1:16">
      <c r="G33" s="148"/>
      <c r="I33" s="69"/>
      <c r="J33" s="69" t="s">
        <v>175</v>
      </c>
      <c r="K33" s="69" t="s">
        <v>176</v>
      </c>
      <c r="L33" s="69" t="s">
        <v>177</v>
      </c>
      <c r="M33" s="69" t="s">
        <v>178</v>
      </c>
      <c r="N33" s="69" t="s">
        <v>179</v>
      </c>
      <c r="O33" s="69" t="s">
        <v>180</v>
      </c>
      <c r="P33" s="69" t="s">
        <v>181</v>
      </c>
    </row>
    <row r="34" spans="1:16">
      <c r="G34" s="148"/>
      <c r="I34" s="69"/>
      <c r="J34" s="69" t="s">
        <v>182</v>
      </c>
      <c r="L34" s="72" t="s">
        <v>183</v>
      </c>
      <c r="M34" s="69" t="s">
        <v>184</v>
      </c>
      <c r="N34" s="69" t="s">
        <v>185</v>
      </c>
      <c r="O34" s="69" t="s">
        <v>186</v>
      </c>
      <c r="P34" s="69" t="s">
        <v>187</v>
      </c>
    </row>
    <row r="35" spans="1:16">
      <c r="E35" s="65"/>
      <c r="F35" s="65"/>
      <c r="G35" s="148"/>
      <c r="I35" s="48" t="s">
        <v>188</v>
      </c>
      <c r="J35" s="69" t="s">
        <v>189</v>
      </c>
      <c r="N35" s="69"/>
      <c r="O35" s="50"/>
      <c r="P35" s="69"/>
    </row>
    <row r="36" spans="1:16">
      <c r="E36" s="65"/>
      <c r="F36" s="65"/>
      <c r="G36" s="148"/>
      <c r="I36" s="69" t="s">
        <v>190</v>
      </c>
    </row>
    <row r="37" spans="1:16">
      <c r="E37" s="65"/>
      <c r="F37" s="65"/>
      <c r="G37" s="148"/>
      <c r="I37" s="69" t="s">
        <v>191</v>
      </c>
    </row>
    <row r="38" spans="1:16">
      <c r="E38" s="65"/>
      <c r="F38" s="65"/>
      <c r="G38" s="155"/>
      <c r="J38" s="48" t="s">
        <v>192</v>
      </c>
      <c r="K38" s="48" t="s">
        <v>193</v>
      </c>
      <c r="L38" s="48" t="s">
        <v>194</v>
      </c>
      <c r="M38" s="48" t="s">
        <v>195</v>
      </c>
      <c r="N38" s="48" t="s">
        <v>196</v>
      </c>
      <c r="O38" s="48" t="s">
        <v>197</v>
      </c>
    </row>
    <row r="39" spans="1:16">
      <c r="E39" s="65"/>
      <c r="F39" s="65"/>
      <c r="G39" s="155"/>
      <c r="L39" s="50" t="s">
        <v>198</v>
      </c>
      <c r="M39" s="50" t="s">
        <v>199</v>
      </c>
    </row>
    <row r="40" spans="1:16">
      <c r="E40" s="65"/>
      <c r="F40" s="65"/>
      <c r="L40" s="73" t="s">
        <v>200</v>
      </c>
      <c r="M40" s="50" t="s">
        <v>201</v>
      </c>
    </row>
    <row r="41" spans="1:16">
      <c r="A41" s="74" t="s">
        <v>202</v>
      </c>
      <c r="B41" s="75"/>
      <c r="C41" s="76"/>
      <c r="E41" s="65"/>
      <c r="F41" s="65"/>
      <c r="M41" s="73" t="s">
        <v>200</v>
      </c>
    </row>
    <row r="42" spans="1:16">
      <c r="A42" s="77" t="s">
        <v>203</v>
      </c>
      <c r="B42" s="65"/>
      <c r="C42" s="76"/>
    </row>
    <row r="47" spans="1:16">
      <c r="J47" s="48" t="s">
        <v>204</v>
      </c>
      <c r="K47" s="48" t="s">
        <v>205</v>
      </c>
      <c r="L47" s="48" t="s">
        <v>206</v>
      </c>
      <c r="M47" s="48" t="s">
        <v>207</v>
      </c>
      <c r="N47" s="48" t="s">
        <v>208</v>
      </c>
      <c r="O47" s="48" t="s">
        <v>209</v>
      </c>
    </row>
    <row r="48" spans="1:16">
      <c r="L48" s="50" t="s">
        <v>210</v>
      </c>
      <c r="M48" s="50" t="s">
        <v>211</v>
      </c>
    </row>
    <row r="49" spans="10:15">
      <c r="L49" s="50" t="s">
        <v>212</v>
      </c>
      <c r="M49" s="50" t="s">
        <v>213</v>
      </c>
    </row>
    <row r="50" spans="10:15">
      <c r="L50" s="73" t="s">
        <v>200</v>
      </c>
    </row>
    <row r="56" spans="10:15">
      <c r="J56" s="48" t="s">
        <v>214</v>
      </c>
      <c r="K56" s="48" t="s">
        <v>215</v>
      </c>
      <c r="L56" s="48" t="s">
        <v>216</v>
      </c>
      <c r="M56" s="48" t="s">
        <v>217</v>
      </c>
      <c r="N56" s="48" t="s">
        <v>218</v>
      </c>
      <c r="O56" s="48" t="s">
        <v>219</v>
      </c>
    </row>
    <row r="57" spans="10:15">
      <c r="L57" s="50" t="s">
        <v>220</v>
      </c>
      <c r="M57" s="50" t="s">
        <v>221</v>
      </c>
    </row>
    <row r="58" spans="10:15">
      <c r="L58" s="50" t="s">
        <v>222</v>
      </c>
      <c r="M58" s="50" t="s">
        <v>223</v>
      </c>
    </row>
    <row r="59" spans="10:15">
      <c r="L59" s="73" t="s">
        <v>200</v>
      </c>
    </row>
    <row r="63" spans="10:15">
      <c r="J63" s="48" t="s">
        <v>224</v>
      </c>
      <c r="K63" s="48" t="s">
        <v>225</v>
      </c>
      <c r="L63" s="48" t="s">
        <v>226</v>
      </c>
      <c r="M63" s="48" t="s">
        <v>227</v>
      </c>
      <c r="N63" s="48" t="s">
        <v>228</v>
      </c>
      <c r="O63" s="48" t="s">
        <v>229</v>
      </c>
    </row>
    <row r="64" spans="10:15">
      <c r="L64" s="78" t="s">
        <v>230</v>
      </c>
      <c r="M64" s="50" t="s">
        <v>231</v>
      </c>
    </row>
    <row r="65" spans="10:15">
      <c r="L65" s="50" t="s">
        <v>232</v>
      </c>
      <c r="M65" s="50" t="s">
        <v>233</v>
      </c>
    </row>
    <row r="66" spans="10:15">
      <c r="L66" s="50" t="s">
        <v>234</v>
      </c>
      <c r="M66" s="50" t="s">
        <v>235</v>
      </c>
    </row>
    <row r="67" spans="10:15">
      <c r="L67" s="50" t="s">
        <v>236</v>
      </c>
      <c r="M67" s="50" t="s">
        <v>237</v>
      </c>
    </row>
    <row r="71" spans="10:15">
      <c r="J71" s="48" t="s">
        <v>238</v>
      </c>
      <c r="K71" s="48" t="s">
        <v>239</v>
      </c>
      <c r="L71" s="48" t="s">
        <v>240</v>
      </c>
      <c r="M71" s="48" t="s">
        <v>241</v>
      </c>
      <c r="N71" s="48" t="s">
        <v>242</v>
      </c>
      <c r="O71" s="48" t="s">
        <v>243</v>
      </c>
    </row>
    <row r="72" spans="10:15">
      <c r="L72" s="50" t="s">
        <v>244</v>
      </c>
      <c r="M72" s="50" t="s">
        <v>245</v>
      </c>
    </row>
    <row r="73" spans="10:15">
      <c r="L73" s="50" t="s">
        <v>246</v>
      </c>
      <c r="M73" s="50" t="s">
        <v>247</v>
      </c>
    </row>
  </sheetData>
  <dataConsolidate/>
  <mergeCells count="1">
    <mergeCell ref="B5:C6"/>
  </mergeCells>
  <dataValidations count="1">
    <dataValidation type="list" allowBlank="1" showInputMessage="1" showErrorMessage="1" sqref="H1">
      <formula1>origine_de_détection</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sheetPr codeName="Feuil1">
    <tabColor rgb="FF7030A0"/>
    <pageSetUpPr fitToPage="1"/>
  </sheetPr>
  <dimension ref="A1:G41"/>
  <sheetViews>
    <sheetView showGridLines="0" zoomScale="90" zoomScaleNormal="90" zoomScaleSheetLayoutView="100" workbookViewId="0">
      <selection activeCell="C15" sqref="C15"/>
    </sheetView>
  </sheetViews>
  <sheetFormatPr baseColWidth="10" defaultRowHeight="12.75"/>
  <cols>
    <col min="1" max="1" width="12.85546875" style="2" customWidth="1"/>
    <col min="2" max="2" width="34.140625" style="1" customWidth="1"/>
    <col min="3" max="3" width="26.5703125" style="2" customWidth="1"/>
    <col min="4" max="4" width="16.7109375" style="3" customWidth="1"/>
    <col min="5" max="5" width="31.42578125" style="2" bestFit="1" customWidth="1"/>
    <col min="6" max="6" width="30.5703125" style="2" customWidth="1"/>
    <col min="7" max="7" width="33.28515625" style="15" bestFit="1" customWidth="1"/>
  </cols>
  <sheetData>
    <row r="1" spans="1:7" s="3" customFormat="1" ht="27.75" customHeight="1">
      <c r="A1" s="222" t="s">
        <v>1</v>
      </c>
      <c r="B1" s="223" t="s">
        <v>2</v>
      </c>
      <c r="C1" s="210" t="s">
        <v>909</v>
      </c>
      <c r="D1" s="210" t="s">
        <v>22</v>
      </c>
      <c r="E1" s="212" t="s">
        <v>0</v>
      </c>
      <c r="F1" s="33" t="s">
        <v>912</v>
      </c>
      <c r="G1" s="209" t="s">
        <v>757</v>
      </c>
    </row>
    <row r="2" spans="1:7" ht="25.5" hidden="1" customHeight="1">
      <c r="A2" s="38"/>
      <c r="B2" s="39"/>
      <c r="C2" s="40">
        <v>1</v>
      </c>
      <c r="D2" s="41"/>
      <c r="E2" s="38"/>
      <c r="F2" s="40">
        <v>1</v>
      </c>
      <c r="G2" s="42" t="s">
        <v>24</v>
      </c>
    </row>
    <row r="3" spans="1:7" ht="24.95" customHeight="1">
      <c r="A3" s="157" t="s">
        <v>680</v>
      </c>
      <c r="B3" s="43" t="str">
        <f ca="1">Conso!A2</f>
        <v>Risk N°1</v>
      </c>
      <c r="C3" s="44" t="str">
        <f ca="1">IFERROR(Conso!AX2&amp;"/"&amp;Conso!AW2,"")</f>
        <v>Modéré/Récurrente</v>
      </c>
      <c r="D3" s="46" t="str">
        <f ca="1">IFERROR(INDEX(Notes!$I$9:$N$14,7-VLOOKUP(Conso!AW2,Notes!$D$2:$E$7,2,FALSE),VLOOKUP(Conso!AX2,Notes!$A$2:$B$7,2,FALSE)),"")</f>
        <v>Elevé</v>
      </c>
      <c r="E3" s="44" t="str">
        <f ca="1">IFERROR(Conso!BD2,"")</f>
        <v>Maîtrisé</v>
      </c>
      <c r="F3" s="44" t="str">
        <f ca="1">IFERROR(INDEX(Notes!$S$10:$V$13,5-VLOOKUP(D3,Notes!$G$2:$H$5,2,FALSE),VLOOKUP('Tableau des risques brut'!E3,Notes!$J$2:$K$5,2,FALSE)),"")</f>
        <v>Criticité elevée</v>
      </c>
      <c r="G3" s="162" t="s">
        <v>758</v>
      </c>
    </row>
    <row r="4" spans="1:7" ht="24.95" customHeight="1">
      <c r="A4" s="157" t="s">
        <v>681</v>
      </c>
      <c r="B4" s="43" t="e">
        <f>#REF!</f>
        <v>#REF!</v>
      </c>
      <c r="C4" s="45" t="str">
        <f>IFERROR(Conso!#REF!&amp;"/"&amp;Conso!#REF!,"")</f>
        <v/>
      </c>
      <c r="D4" s="46" t="str">
        <f>IFERROR(INDEX(Notes!$I$9:$N$14,7-VLOOKUP(Conso!#REF!,Notes!$D$2:$E$7,2,FALSE),VLOOKUP(Conso!#REF!,Notes!$A$2:$B$7,2,FALSE)),"")</f>
        <v/>
      </c>
      <c r="E4" s="44" t="str">
        <f>IFERROR(Conso!#REF!,"")</f>
        <v/>
      </c>
      <c r="F4" s="44" t="str">
        <f>IFERROR(INDEX(Notes!$S$10:$V$13,5-VLOOKUP(D4,Notes!$G$2:$H$5,2,FALSE),VLOOKUP('Tableau des risques brut'!E4,Notes!$J$2:$K$5,2,FALSE)),"")</f>
        <v/>
      </c>
      <c r="G4" s="162" t="s">
        <v>759</v>
      </c>
    </row>
    <row r="5" spans="1:7" ht="24.95" customHeight="1">
      <c r="A5" s="157" t="s">
        <v>682</v>
      </c>
      <c r="B5" s="43" t="e">
        <f>#REF!</f>
        <v>#REF!</v>
      </c>
      <c r="C5" s="45" t="str">
        <f>IFERROR(Conso!#REF!&amp;"/"&amp;Conso!#REF!,"")</f>
        <v/>
      </c>
      <c r="D5" s="46" t="str">
        <f>IFERROR(INDEX(Notes!$I$9:$N$14,7-VLOOKUP(Conso!#REF!,Notes!$D$2:$E$7,2,FALSE),VLOOKUP(Conso!#REF!,Notes!$A$2:$B$7,2,FALSE)),"")</f>
        <v/>
      </c>
      <c r="E5" s="44" t="str">
        <f>IFERROR(Conso!#REF!,"")</f>
        <v/>
      </c>
      <c r="F5" s="44" t="str">
        <f>IFERROR(INDEX(Notes!$S$10:$V$13,5-VLOOKUP(D5,Notes!$G$2:$H$5,2,FALSE),VLOOKUP('Tableau des risques brut'!E5,Notes!$J$2:$K$5,2,FALSE)),"")</f>
        <v/>
      </c>
      <c r="G5" s="162" t="s">
        <v>760</v>
      </c>
    </row>
    <row r="6" spans="1:7" ht="24.95" customHeight="1">
      <c r="A6" s="157" t="s">
        <v>683</v>
      </c>
      <c r="B6" s="43" t="e">
        <f>#REF!</f>
        <v>#REF!</v>
      </c>
      <c r="C6" s="45" t="str">
        <f>IFERROR(Conso!#REF!&amp;"/"&amp;Conso!#REF!,"")</f>
        <v/>
      </c>
      <c r="D6" s="46" t="str">
        <f>IFERROR(INDEX(Notes!$I$9:$N$14,7-VLOOKUP(Conso!#REF!,Notes!$D$2:$E$7,2,FALSE),VLOOKUP(Conso!#REF!,Notes!$A$2:$B$7,2,FALSE)),"")</f>
        <v/>
      </c>
      <c r="E6" s="44" t="str">
        <f>IFERROR(Conso!#REF!,"")</f>
        <v/>
      </c>
      <c r="F6" s="44" t="str">
        <f>IFERROR(INDEX(Notes!$S$10:$V$13,5-VLOOKUP(D6,Notes!$G$2:$H$5,2,FALSE),VLOOKUP('Tableau des risques brut'!E6,Notes!$J$2:$K$5,2,FALSE)),"")</f>
        <v/>
      </c>
      <c r="G6" s="162" t="s">
        <v>761</v>
      </c>
    </row>
    <row r="7" spans="1:7" ht="24.95" customHeight="1">
      <c r="A7" s="157" t="s">
        <v>684</v>
      </c>
      <c r="B7" s="43" t="e">
        <f>#REF!</f>
        <v>#REF!</v>
      </c>
      <c r="C7" s="45" t="str">
        <f>IFERROR(Conso!#REF!&amp;"/"&amp;Conso!#REF!,"")</f>
        <v/>
      </c>
      <c r="D7" s="46" t="str">
        <f>IFERROR(INDEX(Notes!$I$9:$N$14,7-VLOOKUP(Conso!#REF!,Notes!$D$2:$E$7,2,FALSE),VLOOKUP(Conso!#REF!,Notes!$A$2:$B$7,2,FALSE)),"")</f>
        <v/>
      </c>
      <c r="E7" s="44" t="str">
        <f>IFERROR(Conso!#REF!,"")</f>
        <v/>
      </c>
      <c r="F7" s="44" t="str">
        <f>IFERROR(INDEX(Notes!$S$10:$V$13,5-VLOOKUP(D7,Notes!$G$2:$H$5,2,FALSE),VLOOKUP('Tableau des risques brut'!E7,Notes!$J$2:$K$5,2,FALSE)),"")</f>
        <v/>
      </c>
      <c r="G7" s="162" t="s">
        <v>762</v>
      </c>
    </row>
    <row r="8" spans="1:7" ht="24.95" customHeight="1">
      <c r="A8" s="157" t="s">
        <v>685</v>
      </c>
      <c r="B8" s="43" t="e">
        <f>#REF!</f>
        <v>#REF!</v>
      </c>
      <c r="C8" s="45" t="str">
        <f>IFERROR(Conso!#REF!&amp;"/"&amp;Conso!#REF!,"")</f>
        <v/>
      </c>
      <c r="D8" s="46" t="str">
        <f>IFERROR(INDEX(Notes!$I$9:$N$14,7-VLOOKUP(Conso!#REF!,Notes!$D$2:$E$7,2,FALSE),VLOOKUP(Conso!#REF!,Notes!$A$2:$B$7,2,FALSE)),"")</f>
        <v/>
      </c>
      <c r="E8" s="44" t="str">
        <f>IFERROR(Conso!#REF!,"")</f>
        <v/>
      </c>
      <c r="F8" s="44" t="str">
        <f>IFERROR(INDEX(Notes!$S$10:$V$13,5-VLOOKUP(D8,Notes!$G$2:$H$5,2,FALSE),VLOOKUP('Tableau des risques brut'!E8,Notes!$J$2:$K$5,2,FALSE)),"")</f>
        <v/>
      </c>
      <c r="G8" s="162" t="s">
        <v>763</v>
      </c>
    </row>
    <row r="9" spans="1:7" ht="24.95" customHeight="1">
      <c r="A9" s="157" t="s">
        <v>686</v>
      </c>
      <c r="B9" s="43" t="e">
        <f>#REF!</f>
        <v>#REF!</v>
      </c>
      <c r="C9" s="45" t="str">
        <f>IFERROR(Conso!#REF!&amp;"/"&amp;Conso!#REF!,"")</f>
        <v/>
      </c>
      <c r="D9" s="46" t="str">
        <f>IFERROR(INDEX(Notes!$I$9:$N$14,7-VLOOKUP(Conso!#REF!,Notes!$D$2:$E$7,2,FALSE),VLOOKUP(Conso!#REF!,Notes!$A$2:$B$7,2,FALSE)),"")</f>
        <v/>
      </c>
      <c r="E9" s="44" t="str">
        <f>IFERROR(Conso!#REF!,"")</f>
        <v/>
      </c>
      <c r="F9" s="44" t="str">
        <f>IFERROR(INDEX(Notes!$S$10:$V$13,5-VLOOKUP(D9,Notes!$G$2:$H$5,2,FALSE),VLOOKUP('Tableau des risques brut'!E9,Notes!$J$2:$K$5,2,FALSE)),"")</f>
        <v/>
      </c>
      <c r="G9" s="162" t="s">
        <v>764</v>
      </c>
    </row>
    <row r="10" spans="1:7" ht="24.95" customHeight="1">
      <c r="A10" s="157" t="s">
        <v>687</v>
      </c>
      <c r="B10" s="43" t="e">
        <f>#REF!</f>
        <v>#REF!</v>
      </c>
      <c r="C10" s="45" t="str">
        <f>IFERROR(Conso!#REF!&amp;"/"&amp;Conso!#REF!,"")</f>
        <v/>
      </c>
      <c r="D10" s="46" t="str">
        <f>IFERROR(INDEX(Notes!$I$9:$N$14,7-VLOOKUP(Conso!#REF!,Notes!$D$2:$E$7,2,FALSE),VLOOKUP(Conso!#REF!,Notes!$A$2:$B$7,2,FALSE)),"")</f>
        <v/>
      </c>
      <c r="E10" s="44" t="str">
        <f>IFERROR(Conso!#REF!,"")</f>
        <v/>
      </c>
      <c r="F10" s="44" t="str">
        <f>IFERROR(INDEX(Notes!$S$10:$V$13,5-VLOOKUP(D10,Notes!$G$2:$H$5,2,FALSE),VLOOKUP('Tableau des risques brut'!E10,Notes!$J$2:$K$5,2,FALSE)),"")</f>
        <v/>
      </c>
      <c r="G10" s="162" t="s">
        <v>765</v>
      </c>
    </row>
    <row r="11" spans="1:7" ht="24.95" customHeight="1">
      <c r="A11" s="157" t="s">
        <v>688</v>
      </c>
      <c r="B11" s="43" t="e">
        <f>#REF!</f>
        <v>#REF!</v>
      </c>
      <c r="C11" s="45" t="str">
        <f>IFERROR(Conso!#REF!&amp;"/"&amp;Conso!#REF!,"")</f>
        <v/>
      </c>
      <c r="D11" s="46" t="str">
        <f>IFERROR(INDEX(Notes!$I$9:$N$14,7-VLOOKUP(Conso!#REF!,Notes!$D$2:$E$7,2,FALSE),VLOOKUP(Conso!#REF!,Notes!$A$2:$B$7,2,FALSE)),"")</f>
        <v/>
      </c>
      <c r="E11" s="44" t="str">
        <f>IFERROR(Conso!#REF!,"")</f>
        <v/>
      </c>
      <c r="F11" s="44" t="str">
        <f>IFERROR(INDEX(Notes!$S$10:$V$13,5-VLOOKUP(D11,Notes!$G$2:$H$5,2,FALSE),VLOOKUP('Tableau des risques brut'!E11,Notes!$J$2:$K$5,2,FALSE)),"")</f>
        <v/>
      </c>
      <c r="G11" s="162" t="s">
        <v>766</v>
      </c>
    </row>
    <row r="12" spans="1:7" ht="24.95" customHeight="1">
      <c r="A12" s="157" t="s">
        <v>689</v>
      </c>
      <c r="B12" s="43" t="e">
        <f>#REF!</f>
        <v>#REF!</v>
      </c>
      <c r="C12" s="45" t="str">
        <f>IFERROR(Conso!#REF!&amp;"/"&amp;Conso!#REF!,"")</f>
        <v/>
      </c>
      <c r="D12" s="46" t="str">
        <f>IFERROR(INDEX(Notes!$I$9:$N$14,7-VLOOKUP(Conso!#REF!,Notes!$D$2:$E$7,2,FALSE),VLOOKUP(Conso!#REF!,Notes!$A$2:$B$7,2,FALSE)),"")</f>
        <v/>
      </c>
      <c r="E12" s="44" t="str">
        <f>IFERROR(Conso!#REF!,"")</f>
        <v/>
      </c>
      <c r="F12" s="44" t="str">
        <f>IFERROR(INDEX(Notes!$S$10:$V$13,5-VLOOKUP(D12,Notes!$G$2:$H$5,2,FALSE),VLOOKUP('Tableau des risques brut'!E12,Notes!$J$2:$K$5,2,FALSE)),"")</f>
        <v/>
      </c>
      <c r="G12" s="162" t="s">
        <v>767</v>
      </c>
    </row>
    <row r="13" spans="1:7" ht="24.95" customHeight="1">
      <c r="A13" s="157" t="s">
        <v>690</v>
      </c>
      <c r="B13" s="43" t="e">
        <f>#REF!</f>
        <v>#REF!</v>
      </c>
      <c r="C13" s="45" t="str">
        <f>IFERROR(Conso!#REF!&amp;"/"&amp;Conso!#REF!,"")</f>
        <v/>
      </c>
      <c r="D13" s="46" t="str">
        <f>IFERROR(INDEX(Notes!$I$9:$N$14,7-VLOOKUP(Conso!#REF!,Notes!$D$2:$E$7,2,FALSE),VLOOKUP(Conso!#REF!,Notes!$A$2:$B$7,2,FALSE)),"")</f>
        <v/>
      </c>
      <c r="E13" s="44" t="str">
        <f>IFERROR(Conso!#REF!,"")</f>
        <v/>
      </c>
      <c r="F13" s="44" t="str">
        <f>IFERROR(INDEX(Notes!$S$10:$V$13,5-VLOOKUP(D13,Notes!$G$2:$H$5,2,FALSE),VLOOKUP('Tableau des risques brut'!E13,Notes!$J$2:$K$5,2,FALSE)),"")</f>
        <v/>
      </c>
      <c r="G13" s="162" t="s">
        <v>768</v>
      </c>
    </row>
    <row r="14" spans="1:7" ht="24.95" customHeight="1">
      <c r="A14" s="157" t="s">
        <v>691</v>
      </c>
      <c r="B14" s="43" t="e">
        <f>#REF!</f>
        <v>#REF!</v>
      </c>
      <c r="C14" s="45" t="str">
        <f>IFERROR(Conso!#REF!&amp;"/"&amp;Conso!#REF!,"")</f>
        <v/>
      </c>
      <c r="D14" s="46" t="str">
        <f>IFERROR(INDEX(Notes!$I$9:$N$14,7-VLOOKUP(Conso!#REF!,Notes!$D$2:$E$7,2,FALSE),VLOOKUP(Conso!#REF!,Notes!$A$2:$B$7,2,FALSE)),"")</f>
        <v/>
      </c>
      <c r="E14" s="44" t="str">
        <f>IFERROR(Conso!#REF!,"")</f>
        <v/>
      </c>
      <c r="F14" s="44" t="str">
        <f>IFERROR(INDEX(Notes!$S$10:$V$13,5-VLOOKUP(D14,Notes!$G$2:$H$5,2,FALSE),VLOOKUP('Tableau des risques brut'!E14,Notes!$J$2:$K$5,2,FALSE)),"")</f>
        <v/>
      </c>
      <c r="G14" s="162" t="s">
        <v>769</v>
      </c>
    </row>
    <row r="15" spans="1:7" ht="24.95" customHeight="1">
      <c r="A15" s="157" t="s">
        <v>692</v>
      </c>
      <c r="B15" s="43" t="e">
        <f>#REF!</f>
        <v>#REF!</v>
      </c>
      <c r="C15" s="45" t="str">
        <f>IFERROR(Conso!#REF!&amp;"/"&amp;Conso!#REF!,"")</f>
        <v/>
      </c>
      <c r="D15" s="46" t="str">
        <f>IFERROR(INDEX(Notes!$I$9:$N$14,7-VLOOKUP(Conso!#REF!,Notes!$D$2:$E$7,2,FALSE),VLOOKUP(Conso!#REF!,Notes!$A$2:$B$7,2,FALSE)),"")</f>
        <v/>
      </c>
      <c r="E15" s="44" t="str">
        <f>IFERROR(Conso!#REF!,"")</f>
        <v/>
      </c>
      <c r="F15" s="44" t="str">
        <f>IFERROR(INDEX(Notes!$S$10:$V$13,5-VLOOKUP(D15,Notes!$G$2:$H$5,2,FALSE),VLOOKUP('Tableau des risques brut'!E15,Notes!$J$2:$K$5,2,FALSE)),"")</f>
        <v/>
      </c>
      <c r="G15" s="162" t="s">
        <v>770</v>
      </c>
    </row>
    <row r="16" spans="1:7" ht="24.95" customHeight="1">
      <c r="A16" s="157" t="s">
        <v>693</v>
      </c>
      <c r="B16" s="43" t="e">
        <f>#REF!</f>
        <v>#REF!</v>
      </c>
      <c r="C16" s="45" t="str">
        <f>IFERROR(Conso!#REF!&amp;"/"&amp;Conso!#REF!,"")</f>
        <v/>
      </c>
      <c r="D16" s="46" t="str">
        <f>IFERROR(INDEX(Notes!$I$9:$N$14,7-VLOOKUP(Conso!#REF!,Notes!$D$2:$E$7,2,FALSE),VLOOKUP(Conso!#REF!,Notes!$A$2:$B$7,2,FALSE)),"")</f>
        <v/>
      </c>
      <c r="E16" s="44" t="str">
        <f>IFERROR(Conso!#REF!,"")</f>
        <v/>
      </c>
      <c r="F16" s="44" t="str">
        <f>IFERROR(INDEX(Notes!$S$10:$V$13,5-VLOOKUP(D16,Notes!$G$2:$H$5,2,FALSE),VLOOKUP('Tableau des risques brut'!E16,Notes!$J$2:$K$5,2,FALSE)),"")</f>
        <v/>
      </c>
      <c r="G16" s="162" t="s">
        <v>771</v>
      </c>
    </row>
    <row r="17" spans="1:7" ht="24.95" customHeight="1">
      <c r="A17" s="157" t="s">
        <v>694</v>
      </c>
      <c r="B17" s="43" t="e">
        <f>#REF!</f>
        <v>#REF!</v>
      </c>
      <c r="C17" s="45" t="str">
        <f>IFERROR(Conso!#REF!&amp;"/"&amp;Conso!#REF!,"")</f>
        <v/>
      </c>
      <c r="D17" s="46" t="str">
        <f>IFERROR(INDEX(Notes!$I$9:$N$14,7-VLOOKUP(Conso!#REF!,Notes!$D$2:$E$7,2,FALSE),VLOOKUP(Conso!#REF!,Notes!$A$2:$B$7,2,FALSE)),"")</f>
        <v/>
      </c>
      <c r="E17" s="44" t="str">
        <f>IFERROR(Conso!#REF!,"")</f>
        <v/>
      </c>
      <c r="F17" s="44" t="str">
        <f>IFERROR(INDEX(Notes!$S$10:$V$13,5-VLOOKUP(D17,Notes!$G$2:$H$5,2,FALSE),VLOOKUP('Tableau des risques brut'!E17,Notes!$J$2:$K$5,2,FALSE)),"")</f>
        <v/>
      </c>
      <c r="G17" s="162" t="s">
        <v>772</v>
      </c>
    </row>
    <row r="18" spans="1:7" ht="24.95" customHeight="1">
      <c r="A18" s="157" t="s">
        <v>695</v>
      </c>
      <c r="B18" s="43" t="e">
        <f>#REF!</f>
        <v>#REF!</v>
      </c>
      <c r="C18" s="45" t="str">
        <f>IFERROR(Conso!#REF!&amp;"/"&amp;Conso!#REF!,"")</f>
        <v/>
      </c>
      <c r="D18" s="46" t="str">
        <f>IFERROR(INDEX(Notes!$I$9:$N$14,7-VLOOKUP(Conso!#REF!,Notes!$D$2:$E$7,2,FALSE),VLOOKUP(Conso!#REF!,Notes!$A$2:$B$7,2,FALSE)),"")</f>
        <v/>
      </c>
      <c r="E18" s="44" t="str">
        <f>IFERROR(Conso!#REF!,"")</f>
        <v/>
      </c>
      <c r="F18" s="44" t="str">
        <f>IFERROR(INDEX(Notes!$S$10:$V$13,5-VLOOKUP(D18,Notes!$G$2:$H$5,2,FALSE),VLOOKUP('Tableau des risques brut'!E18,Notes!$J$2:$K$5,2,FALSE)),"")</f>
        <v/>
      </c>
      <c r="G18" s="162" t="s">
        <v>773</v>
      </c>
    </row>
    <row r="19" spans="1:7" ht="24.95" customHeight="1">
      <c r="A19" s="157" t="s">
        <v>696</v>
      </c>
      <c r="B19" s="43" t="e">
        <f>#REF!</f>
        <v>#REF!</v>
      </c>
      <c r="C19" s="45" t="str">
        <f>IFERROR(Conso!#REF!&amp;"/"&amp;Conso!#REF!,"")</f>
        <v/>
      </c>
      <c r="D19" s="46" t="str">
        <f>IFERROR(INDEX(Notes!$I$9:$N$14,7-VLOOKUP(Conso!#REF!,Notes!$D$2:$E$7,2,FALSE),VLOOKUP(Conso!#REF!,Notes!$A$2:$B$7,2,FALSE)),"")</f>
        <v/>
      </c>
      <c r="E19" s="44" t="str">
        <f>IFERROR(Conso!#REF!,"")</f>
        <v/>
      </c>
      <c r="F19" s="44" t="str">
        <f>IFERROR(INDEX(Notes!$S$10:$V$13,5-VLOOKUP(D19,Notes!$G$2:$H$5,2,FALSE),VLOOKUP('Tableau des risques brut'!E19,Notes!$J$2:$K$5,2,FALSE)),"")</f>
        <v/>
      </c>
      <c r="G19" s="162" t="s">
        <v>774</v>
      </c>
    </row>
    <row r="20" spans="1:7" ht="24.95" customHeight="1">
      <c r="A20" s="157" t="s">
        <v>697</v>
      </c>
      <c r="B20" s="43" t="e">
        <f>#REF!</f>
        <v>#REF!</v>
      </c>
      <c r="C20" s="45" t="str">
        <f>IFERROR(Conso!#REF!&amp;"/"&amp;Conso!#REF!,"")</f>
        <v/>
      </c>
      <c r="D20" s="46" t="str">
        <f>IFERROR(INDEX(Notes!$I$9:$N$14,7-VLOOKUP(Conso!#REF!,Notes!$D$2:$E$7,2,FALSE),VLOOKUP(Conso!#REF!,Notes!$A$2:$B$7,2,FALSE)),"")</f>
        <v/>
      </c>
      <c r="E20" s="44" t="str">
        <f>IFERROR(Conso!#REF!,"")</f>
        <v/>
      </c>
      <c r="F20" s="44" t="str">
        <f>IFERROR(INDEX(Notes!$S$10:$V$13,5-VLOOKUP(D20,Notes!$G$2:$H$5,2,FALSE),VLOOKUP('Tableau des risques brut'!E20,Notes!$J$2:$K$5,2,FALSE)),"")</f>
        <v/>
      </c>
      <c r="G20" s="162" t="s">
        <v>775</v>
      </c>
    </row>
    <row r="21" spans="1:7" ht="24.95" customHeight="1">
      <c r="A21" s="157" t="s">
        <v>698</v>
      </c>
      <c r="B21" s="43" t="e">
        <f>#REF!</f>
        <v>#REF!</v>
      </c>
      <c r="C21" s="45" t="str">
        <f>IFERROR(Conso!#REF!&amp;"/"&amp;Conso!#REF!,"")</f>
        <v/>
      </c>
      <c r="D21" s="46" t="str">
        <f>IFERROR(INDEX(Notes!$I$9:$N$14,7-VLOOKUP(Conso!#REF!,Notes!$D$2:$E$7,2,FALSE),VLOOKUP(Conso!#REF!,Notes!$A$2:$B$7,2,FALSE)),"")</f>
        <v/>
      </c>
      <c r="E21" s="44" t="str">
        <f>IFERROR(Conso!#REF!,"")</f>
        <v/>
      </c>
      <c r="F21" s="44" t="str">
        <f>IFERROR(INDEX(Notes!$S$10:$V$13,5-VLOOKUP(D21,Notes!$G$2:$H$5,2,FALSE),VLOOKUP('Tableau des risques brut'!E21,Notes!$J$2:$K$5,2,FALSE)),"")</f>
        <v/>
      </c>
      <c r="G21" s="162" t="s">
        <v>776</v>
      </c>
    </row>
    <row r="22" spans="1:7" ht="24.95" customHeight="1">
      <c r="A22" s="157" t="s">
        <v>699</v>
      </c>
      <c r="B22" s="43" t="e">
        <f>#REF!</f>
        <v>#REF!</v>
      </c>
      <c r="C22" s="45" t="str">
        <f>IFERROR(Conso!#REF!&amp;"/"&amp;Conso!#REF!,"")</f>
        <v/>
      </c>
      <c r="D22" s="46" t="str">
        <f>IFERROR(INDEX(Notes!$I$9:$N$14,7-VLOOKUP(Conso!#REF!,Notes!$D$2:$E$7,2,FALSE),VLOOKUP(Conso!#REF!,Notes!$A$2:$B$7,2,FALSE)),"")</f>
        <v/>
      </c>
      <c r="E22" s="44" t="str">
        <f>IFERROR(Conso!#REF!,"")</f>
        <v/>
      </c>
      <c r="F22" s="44" t="str">
        <f>IFERROR(INDEX(Notes!$S$10:$V$13,5-VLOOKUP(D22,Notes!$G$2:$H$5,2,FALSE),VLOOKUP('Tableau des risques brut'!E22,Notes!$J$2:$K$5,2,FALSE)),"")</f>
        <v/>
      </c>
      <c r="G22" s="162" t="s">
        <v>777</v>
      </c>
    </row>
    <row r="23" spans="1:7" ht="24.95" customHeight="1">
      <c r="A23" s="157" t="s">
        <v>700</v>
      </c>
      <c r="B23" s="43" t="e">
        <f>#REF!</f>
        <v>#REF!</v>
      </c>
      <c r="C23" s="45" t="str">
        <f>IFERROR(Conso!#REF!&amp;"/"&amp;Conso!#REF!,"")</f>
        <v/>
      </c>
      <c r="D23" s="46" t="str">
        <f>IFERROR(INDEX(Notes!$I$9:$N$14,7-VLOOKUP(Conso!#REF!,Notes!$D$2:$E$7,2,FALSE),VLOOKUP(Conso!#REF!,Notes!$A$2:$B$7,2,FALSE)),"")</f>
        <v/>
      </c>
      <c r="E23" s="44" t="str">
        <f>IFERROR(Conso!#REF!,"")</f>
        <v/>
      </c>
      <c r="F23" s="44" t="str">
        <f>IFERROR(INDEX(Notes!$S$10:$V$13,5-VLOOKUP(D23,Notes!$G$2:$H$5,2,FALSE),VLOOKUP('Tableau des risques brut'!E23,Notes!$J$2:$K$5,2,FALSE)),"")</f>
        <v/>
      </c>
      <c r="G23" s="162" t="s">
        <v>778</v>
      </c>
    </row>
    <row r="24" spans="1:7" ht="24.95" customHeight="1">
      <c r="A24" s="157" t="s">
        <v>701</v>
      </c>
      <c r="B24" s="43" t="e">
        <f>#REF!</f>
        <v>#REF!</v>
      </c>
      <c r="C24" s="45" t="str">
        <f>IFERROR(Conso!#REF!&amp;"/"&amp;Conso!#REF!,"")</f>
        <v/>
      </c>
      <c r="D24" s="46" t="str">
        <f>IFERROR(INDEX(Notes!$I$9:$N$14,7-VLOOKUP(Conso!#REF!,Notes!$D$2:$E$7,2,FALSE),VLOOKUP(Conso!#REF!,Notes!$A$2:$B$7,2,FALSE)),"")</f>
        <v/>
      </c>
      <c r="E24" s="44" t="str">
        <f>IFERROR(Conso!#REF!,"")</f>
        <v/>
      </c>
      <c r="F24" s="44" t="str">
        <f>IFERROR(INDEX(Notes!$S$10:$V$13,5-VLOOKUP(D24,Notes!$G$2:$H$5,2,FALSE),VLOOKUP('Tableau des risques brut'!E24,Notes!$J$2:$K$5,2,FALSE)),"")</f>
        <v/>
      </c>
      <c r="G24" s="162" t="s">
        <v>779</v>
      </c>
    </row>
    <row r="25" spans="1:7" ht="24.95" customHeight="1">
      <c r="A25" s="157" t="s">
        <v>702</v>
      </c>
      <c r="B25" s="43" t="e">
        <f>#REF!</f>
        <v>#REF!</v>
      </c>
      <c r="C25" s="45" t="str">
        <f>IFERROR(Conso!#REF!&amp;"/"&amp;Conso!#REF!,"")</f>
        <v/>
      </c>
      <c r="D25" s="46" t="str">
        <f>IFERROR(INDEX(Notes!$I$9:$N$14,7-VLOOKUP(Conso!#REF!,Notes!$D$2:$E$7,2,FALSE),VLOOKUP(Conso!#REF!,Notes!$A$2:$B$7,2,FALSE)),"")</f>
        <v/>
      </c>
      <c r="E25" s="44" t="str">
        <f>IFERROR(Conso!#REF!,"")</f>
        <v/>
      </c>
      <c r="F25" s="44" t="str">
        <f>IFERROR(INDEX(Notes!$S$10:$V$13,5-VLOOKUP(D25,Notes!$G$2:$H$5,2,FALSE),VLOOKUP('Tableau des risques brut'!E25,Notes!$J$2:$K$5,2,FALSE)),"")</f>
        <v/>
      </c>
      <c r="G25" s="162" t="s">
        <v>780</v>
      </c>
    </row>
    <row r="26" spans="1:7" ht="24.95" customHeight="1">
      <c r="A26" s="157" t="s">
        <v>703</v>
      </c>
      <c r="B26" s="43" t="e">
        <f>#REF!</f>
        <v>#REF!</v>
      </c>
      <c r="C26" s="45" t="str">
        <f>IFERROR(Conso!#REF!&amp;"/"&amp;Conso!#REF!,"")</f>
        <v/>
      </c>
      <c r="D26" s="46" t="str">
        <f>IFERROR(INDEX(Notes!$I$9:$N$14,7-VLOOKUP(Conso!#REF!,Notes!$D$2:$E$7,2,FALSE),VLOOKUP(Conso!#REF!,Notes!$A$2:$B$7,2,FALSE)),"")</f>
        <v/>
      </c>
      <c r="E26" s="44" t="str">
        <f>IFERROR(Conso!#REF!,"")</f>
        <v/>
      </c>
      <c r="F26" s="44" t="str">
        <f>IFERROR(INDEX(Notes!$S$10:$V$13,5-VLOOKUP(D26,Notes!$G$2:$H$5,2,FALSE),VLOOKUP('Tableau des risques brut'!E26,Notes!$J$2:$K$5,2,FALSE)),"")</f>
        <v/>
      </c>
      <c r="G26" s="162" t="s">
        <v>781</v>
      </c>
    </row>
    <row r="27" spans="1:7" ht="24.95" customHeight="1">
      <c r="A27" s="157" t="s">
        <v>704</v>
      </c>
      <c r="B27" s="43" t="e">
        <f>#REF!</f>
        <v>#REF!</v>
      </c>
      <c r="C27" s="45" t="str">
        <f>IFERROR(Conso!#REF!&amp;"/"&amp;Conso!#REF!,"")</f>
        <v/>
      </c>
      <c r="D27" s="46" t="str">
        <f>IFERROR(INDEX(Notes!$I$9:$N$14,7-VLOOKUP(Conso!#REF!,Notes!$D$2:$E$7,2,FALSE),VLOOKUP(Conso!#REF!,Notes!$A$2:$B$7,2,FALSE)),"")</f>
        <v/>
      </c>
      <c r="E27" s="44" t="str">
        <f>IFERROR(Conso!#REF!,"")</f>
        <v/>
      </c>
      <c r="F27" s="44" t="str">
        <f>IFERROR(INDEX(Notes!$S$10:$V$13,5-VLOOKUP(D27,Notes!$G$2:$H$5,2,FALSE),VLOOKUP('Tableau des risques brut'!E27,Notes!$J$2:$K$5,2,FALSE)),"")</f>
        <v/>
      </c>
      <c r="G27" s="162" t="s">
        <v>782</v>
      </c>
    </row>
    <row r="28" spans="1:7" ht="24.95" customHeight="1">
      <c r="A28" s="157" t="s">
        <v>705</v>
      </c>
      <c r="B28" s="43" t="e">
        <f>#REF!</f>
        <v>#REF!</v>
      </c>
      <c r="C28" s="45" t="str">
        <f>IFERROR(Conso!#REF!&amp;"/"&amp;Conso!#REF!,"")</f>
        <v/>
      </c>
      <c r="D28" s="46" t="str">
        <f>IFERROR(INDEX(Notes!$I$9:$N$14,7-VLOOKUP(Conso!#REF!,Notes!$D$2:$E$7,2,FALSE),VLOOKUP(Conso!#REF!,Notes!$A$2:$B$7,2,FALSE)),"")</f>
        <v/>
      </c>
      <c r="E28" s="44" t="str">
        <f>IFERROR(Conso!#REF!,"")</f>
        <v/>
      </c>
      <c r="F28" s="44" t="str">
        <f>IFERROR(INDEX(Notes!$S$10:$V$13,5-VLOOKUP(D28,Notes!$G$2:$H$5,2,FALSE),VLOOKUP('Tableau des risques brut'!E28,Notes!$J$2:$K$5,2,FALSE)),"")</f>
        <v/>
      </c>
      <c r="G28" s="162" t="s">
        <v>783</v>
      </c>
    </row>
    <row r="29" spans="1:7" ht="24.95" customHeight="1">
      <c r="A29" s="157" t="s">
        <v>706</v>
      </c>
      <c r="B29" s="43" t="e">
        <f>#REF!</f>
        <v>#REF!</v>
      </c>
      <c r="C29" s="45" t="str">
        <f>IFERROR(Conso!#REF!&amp;"/"&amp;Conso!#REF!,"")</f>
        <v/>
      </c>
      <c r="D29" s="46" t="str">
        <f>IFERROR(INDEX(Notes!$I$9:$N$14,7-VLOOKUP(Conso!#REF!,Notes!$D$2:$E$7,2,FALSE),VLOOKUP(Conso!#REF!,Notes!$A$2:$B$7,2,FALSE)),"")</f>
        <v/>
      </c>
      <c r="E29" s="44" t="str">
        <f>IFERROR(Conso!#REF!,"")</f>
        <v/>
      </c>
      <c r="F29" s="44" t="str">
        <f>IFERROR(INDEX(Notes!$S$10:$V$13,5-VLOOKUP(D29,Notes!$G$2:$H$5,2,FALSE),VLOOKUP('Tableau des risques brut'!E29,Notes!$J$2:$K$5,2,FALSE)),"")</f>
        <v/>
      </c>
      <c r="G29" s="162" t="s">
        <v>784</v>
      </c>
    </row>
    <row r="30" spans="1:7" ht="24.95" customHeight="1">
      <c r="A30" s="157" t="s">
        <v>707</v>
      </c>
      <c r="B30" s="43" t="e">
        <f>#REF!</f>
        <v>#REF!</v>
      </c>
      <c r="C30" s="45" t="str">
        <f>IFERROR(Conso!#REF!&amp;"/"&amp;Conso!#REF!,"")</f>
        <v/>
      </c>
      <c r="D30" s="46" t="str">
        <f>IFERROR(INDEX(Notes!$I$9:$N$14,7-VLOOKUP(Conso!#REF!,Notes!$D$2:$E$7,2,FALSE),VLOOKUP(Conso!#REF!,Notes!$A$2:$B$7,2,FALSE)),"")</f>
        <v/>
      </c>
      <c r="E30" s="44" t="str">
        <f>IFERROR(Conso!#REF!,"")</f>
        <v/>
      </c>
      <c r="F30" s="44" t="str">
        <f>IFERROR(INDEX(Notes!$S$10:$V$13,5-VLOOKUP(D30,Notes!$G$2:$H$5,2,FALSE),VLOOKUP('Tableau des risques brut'!E30,Notes!$J$2:$K$5,2,FALSE)),"")</f>
        <v/>
      </c>
      <c r="G30" s="162" t="s">
        <v>785</v>
      </c>
    </row>
    <row r="31" spans="1:7" ht="24.95" customHeight="1">
      <c r="A31" s="157" t="s">
        <v>708</v>
      </c>
      <c r="B31" s="43" t="e">
        <f>#REF!</f>
        <v>#REF!</v>
      </c>
      <c r="C31" s="45" t="str">
        <f>IFERROR(Conso!#REF!&amp;"/"&amp;Conso!#REF!,"")</f>
        <v/>
      </c>
      <c r="D31" s="46" t="str">
        <f>IFERROR(INDEX(Notes!$I$9:$N$14,7-VLOOKUP(Conso!#REF!,Notes!$D$2:$E$7,2,FALSE),VLOOKUP(Conso!#REF!,Notes!$A$2:$B$7,2,FALSE)),"")</f>
        <v/>
      </c>
      <c r="E31" s="44" t="str">
        <f>IFERROR(Conso!#REF!,"")</f>
        <v/>
      </c>
      <c r="F31" s="44" t="str">
        <f>IFERROR(INDEX(Notes!$S$10:$V$13,5-VLOOKUP(D31,Notes!$G$2:$H$5,2,FALSE),VLOOKUP('Tableau des risques brut'!E31,Notes!$J$2:$K$5,2,FALSE)),"")</f>
        <v/>
      </c>
      <c r="G31" s="162" t="s">
        <v>786</v>
      </c>
    </row>
    <row r="32" spans="1:7" ht="24.95" customHeight="1">
      <c r="A32" s="157" t="s">
        <v>709</v>
      </c>
      <c r="B32" s="43" t="e">
        <f>#REF!</f>
        <v>#REF!</v>
      </c>
      <c r="C32" s="45" t="str">
        <f>IFERROR(Conso!#REF!&amp;"/"&amp;Conso!#REF!,"")</f>
        <v/>
      </c>
      <c r="D32" s="46" t="str">
        <f>IFERROR(INDEX(Notes!$I$9:$N$14,7-VLOOKUP(Conso!#REF!,Notes!$D$2:$E$7,2,FALSE),VLOOKUP(Conso!#REF!,Notes!$A$2:$B$7,2,FALSE)),"")</f>
        <v/>
      </c>
      <c r="E32" s="44" t="str">
        <f>IFERROR(Conso!#REF!,"")</f>
        <v/>
      </c>
      <c r="F32" s="44" t="str">
        <f>IFERROR(INDEX(Notes!$S$10:$V$13,5-VLOOKUP(D32,Notes!$G$2:$H$5,2,FALSE),VLOOKUP('Tableau des risques brut'!E32,Notes!$J$2:$K$5,2,FALSE)),"")</f>
        <v/>
      </c>
      <c r="G32" s="162" t="s">
        <v>787</v>
      </c>
    </row>
    <row r="33" spans="1:7" ht="24.95" customHeight="1">
      <c r="A33" s="157" t="s">
        <v>710</v>
      </c>
      <c r="B33" s="43" t="e">
        <f>#REF!</f>
        <v>#REF!</v>
      </c>
      <c r="C33" s="45" t="str">
        <f>IFERROR(Conso!#REF!&amp;"/"&amp;Conso!#REF!,"")</f>
        <v/>
      </c>
      <c r="D33" s="46" t="str">
        <f>IFERROR(INDEX(Notes!$I$9:$N$14,7-VLOOKUP(Conso!#REF!,Notes!$D$2:$E$7,2,FALSE),VLOOKUP(Conso!#REF!,Notes!$A$2:$B$7,2,FALSE)),"")</f>
        <v/>
      </c>
      <c r="E33" s="44" t="str">
        <f>IFERROR(Conso!#REF!,"")</f>
        <v/>
      </c>
      <c r="F33" s="44" t="str">
        <f>IFERROR(INDEX(Notes!$S$10:$V$13,5-VLOOKUP(D33,Notes!$G$2:$H$5,2,FALSE),VLOOKUP('Tableau des risques brut'!E33,Notes!$J$2:$K$5,2,FALSE)),"")</f>
        <v/>
      </c>
      <c r="G33" s="162" t="s">
        <v>788</v>
      </c>
    </row>
    <row r="34" spans="1:7" ht="24.95" customHeight="1">
      <c r="A34" s="157" t="s">
        <v>711</v>
      </c>
      <c r="B34" s="43" t="e">
        <f>#REF!</f>
        <v>#REF!</v>
      </c>
      <c r="C34" s="45" t="str">
        <f>IFERROR(Conso!#REF!&amp;"/"&amp;Conso!#REF!,"")</f>
        <v/>
      </c>
      <c r="D34" s="46" t="str">
        <f>IFERROR(INDEX(Notes!$I$9:$N$14,7-VLOOKUP(Conso!#REF!,Notes!$D$2:$E$7,2,FALSE),VLOOKUP(Conso!#REF!,Notes!$A$2:$B$7,2,FALSE)),"")</f>
        <v/>
      </c>
      <c r="E34" s="44" t="str">
        <f>IFERROR(Conso!#REF!,"")</f>
        <v/>
      </c>
      <c r="F34" s="44" t="str">
        <f>IFERROR(INDEX(Notes!$S$10:$V$13,5-VLOOKUP(D34,Notes!$G$2:$H$5,2,FALSE),VLOOKUP('Tableau des risques brut'!E34,Notes!$J$2:$K$5,2,FALSE)),"")</f>
        <v/>
      </c>
      <c r="G34" s="162" t="s">
        <v>789</v>
      </c>
    </row>
    <row r="35" spans="1:7" ht="24.95" customHeight="1">
      <c r="A35" s="157" t="s">
        <v>712</v>
      </c>
      <c r="B35" s="43" t="e">
        <f>#REF!</f>
        <v>#REF!</v>
      </c>
      <c r="C35" s="45" t="str">
        <f>IFERROR(Conso!#REF!&amp;"/"&amp;Conso!#REF!,"")</f>
        <v/>
      </c>
      <c r="D35" s="46" t="str">
        <f>IFERROR(INDEX(Notes!$I$9:$N$14,7-VLOOKUP(Conso!#REF!,Notes!$D$2:$E$7,2,FALSE),VLOOKUP(Conso!#REF!,Notes!$A$2:$B$7,2,FALSE)),"")</f>
        <v/>
      </c>
      <c r="E35" s="44" t="str">
        <f>IFERROR(Conso!#REF!,"")</f>
        <v/>
      </c>
      <c r="F35" s="44" t="str">
        <f>IFERROR(INDEX(Notes!$S$10:$V$13,5-VLOOKUP(D35,Notes!$G$2:$H$5,2,FALSE),VLOOKUP('Tableau des risques brut'!E35,Notes!$J$2:$K$5,2,FALSE)),"")</f>
        <v/>
      </c>
      <c r="G35" s="162" t="s">
        <v>790</v>
      </c>
    </row>
    <row r="36" spans="1:7" ht="24.95" customHeight="1">
      <c r="A36" s="157" t="s">
        <v>713</v>
      </c>
      <c r="B36" s="43" t="e">
        <f>#REF!</f>
        <v>#REF!</v>
      </c>
      <c r="C36" s="45" t="str">
        <f>IFERROR(Conso!#REF!&amp;"/"&amp;Conso!#REF!,"")</f>
        <v/>
      </c>
      <c r="D36" s="46" t="str">
        <f>IFERROR(INDEX(Notes!$I$9:$N$14,7-VLOOKUP(Conso!#REF!,Notes!$D$2:$E$7,2,FALSE),VLOOKUP(Conso!#REF!,Notes!$A$2:$B$7,2,FALSE)),"")</f>
        <v/>
      </c>
      <c r="E36" s="44" t="str">
        <f>IFERROR(Conso!#REF!,"")</f>
        <v/>
      </c>
      <c r="F36" s="44" t="str">
        <f>IFERROR(INDEX(Notes!$S$10:$V$13,5-VLOOKUP(D36,Notes!$G$2:$H$5,2,FALSE),VLOOKUP('Tableau des risques brut'!E36,Notes!$J$2:$K$5,2,FALSE)),"")</f>
        <v/>
      </c>
      <c r="G36" s="162" t="s">
        <v>791</v>
      </c>
    </row>
    <row r="37" spans="1:7" ht="24.95" customHeight="1">
      <c r="A37" s="157" t="s">
        <v>714</v>
      </c>
      <c r="B37" s="43" t="e">
        <f>#REF!</f>
        <v>#REF!</v>
      </c>
      <c r="C37" s="45" t="str">
        <f>IFERROR(Conso!#REF!&amp;"/"&amp;Conso!#REF!,"")</f>
        <v/>
      </c>
      <c r="D37" s="46" t="str">
        <f>IFERROR(INDEX(Notes!$I$9:$N$14,7-VLOOKUP(Conso!#REF!,Notes!$D$2:$E$7,2,FALSE),VLOOKUP(Conso!#REF!,Notes!$A$2:$B$7,2,FALSE)),"")</f>
        <v/>
      </c>
      <c r="E37" s="44" t="str">
        <f>IFERROR(Conso!#REF!,"")</f>
        <v/>
      </c>
      <c r="F37" s="44" t="str">
        <f>IFERROR(INDEX(Notes!$S$10:$V$13,5-VLOOKUP(D37,Notes!$G$2:$H$5,2,FALSE),VLOOKUP('Tableau des risques brut'!E37,Notes!$J$2:$K$5,2,FALSE)),"")</f>
        <v/>
      </c>
      <c r="G37" s="162" t="s">
        <v>792</v>
      </c>
    </row>
    <row r="38" spans="1:7" ht="24.95" customHeight="1">
      <c r="A38" s="157" t="s">
        <v>715</v>
      </c>
      <c r="B38" s="43" t="e">
        <f>#REF!</f>
        <v>#REF!</v>
      </c>
      <c r="C38" s="45" t="str">
        <f>IFERROR(Conso!#REF!&amp;"/"&amp;Conso!#REF!,"")</f>
        <v/>
      </c>
      <c r="D38" s="46" t="str">
        <f>IFERROR(INDEX(Notes!$I$9:$N$14,7-VLOOKUP(Conso!#REF!,Notes!$D$2:$E$7,2,FALSE),VLOOKUP(Conso!#REF!,Notes!$A$2:$B$7,2,FALSE)),"")</f>
        <v/>
      </c>
      <c r="E38" s="44" t="str">
        <f>IFERROR(Conso!#REF!,"")</f>
        <v/>
      </c>
      <c r="F38" s="44" t="str">
        <f>IFERROR(INDEX(Notes!$S$10:$V$13,5-VLOOKUP(D38,Notes!$G$2:$H$5,2,FALSE),VLOOKUP('Tableau des risques brut'!E38,Notes!$J$2:$K$5,2,FALSE)),"")</f>
        <v/>
      </c>
      <c r="G38" s="162" t="s">
        <v>793</v>
      </c>
    </row>
    <row r="39" spans="1:7" ht="24.95" customHeight="1">
      <c r="A39" s="157" t="s">
        <v>716</v>
      </c>
      <c r="B39" s="43" t="e">
        <f>#REF!</f>
        <v>#REF!</v>
      </c>
      <c r="C39" s="45" t="str">
        <f>IFERROR(Conso!#REF!&amp;"/"&amp;Conso!#REF!,"")</f>
        <v/>
      </c>
      <c r="D39" s="46" t="str">
        <f>IFERROR(INDEX(Notes!$I$9:$N$14,7-VLOOKUP(Conso!#REF!,Notes!$D$2:$E$7,2,FALSE),VLOOKUP(Conso!#REF!,Notes!$A$2:$B$7,2,FALSE)),"")</f>
        <v/>
      </c>
      <c r="E39" s="44" t="str">
        <f>IFERROR(Conso!#REF!,"")</f>
        <v/>
      </c>
      <c r="F39" s="44" t="str">
        <f>IFERROR(INDEX(Notes!$S$10:$V$13,5-VLOOKUP(D39,Notes!$G$2:$H$5,2,FALSE),VLOOKUP('Tableau des risques brut'!E39,Notes!$J$2:$K$5,2,FALSE)),"")</f>
        <v/>
      </c>
      <c r="G39" s="162" t="s">
        <v>794</v>
      </c>
    </row>
    <row r="40" spans="1:7" ht="24.95" customHeight="1">
      <c r="A40" s="157" t="s">
        <v>716</v>
      </c>
      <c r="B40" s="43" t="e">
        <f>#REF!</f>
        <v>#REF!</v>
      </c>
      <c r="C40" s="45" t="str">
        <f>IFERROR(Conso!#REF!&amp;"/"&amp;Conso!#REF!,"")</f>
        <v/>
      </c>
      <c r="D40" s="46" t="str">
        <f>IFERROR(INDEX(Notes!$I$9:$N$14,7-VLOOKUP(Conso!#REF!,Notes!$D$2:$E$7,2,FALSE),VLOOKUP(Conso!#REF!,Notes!$A$2:$B$7,2,FALSE)),"")</f>
        <v/>
      </c>
      <c r="E40" s="44" t="str">
        <f>IFERROR(Conso!#REF!,"")</f>
        <v/>
      </c>
      <c r="F40" s="44" t="str">
        <f>IFERROR(INDEX(Notes!$S$10:$V$13,5-VLOOKUP(D40,Notes!$G$2:$H$5,2,FALSE),VLOOKUP('Tableau des risques brut'!E40,Notes!$J$2:$K$5,2,FALSE)),"")</f>
        <v/>
      </c>
      <c r="G40" s="162" t="s">
        <v>795</v>
      </c>
    </row>
    <row r="41" spans="1:7" ht="24.95" customHeight="1">
      <c r="A41" s="157" t="s">
        <v>716</v>
      </c>
      <c r="B41" s="43" t="e">
        <f>#REF!</f>
        <v>#REF!</v>
      </c>
      <c r="C41" s="45" t="str">
        <f>IFERROR(Conso!#REF!&amp;"/"&amp;Conso!#REF!,"")</f>
        <v/>
      </c>
      <c r="D41" s="46" t="str">
        <f>IFERROR(INDEX(Notes!$I$9:$N$14,7-VLOOKUP(Conso!#REF!,Notes!$D$2:$E$7,2,FALSE),VLOOKUP(Conso!#REF!,Notes!$A$2:$B$7,2,FALSE)),"")</f>
        <v/>
      </c>
      <c r="E41" s="44" t="str">
        <f>IFERROR(Conso!#REF!,"")</f>
        <v/>
      </c>
      <c r="F41" s="44" t="str">
        <f>IFERROR(INDEX(Notes!$S$10:$V$13,5-VLOOKUP(D41,Notes!$G$2:$H$5,2,FALSE),VLOOKUP('Tableau des risques brut'!E41,Notes!$J$2:$K$5,2,FALSE)),"")</f>
        <v/>
      </c>
      <c r="G41" s="162" t="s">
        <v>796</v>
      </c>
    </row>
  </sheetData>
  <autoFilter ref="A1:G1"/>
  <phoneticPr fontId="7" type="noConversion"/>
  <conditionalFormatting sqref="C3:D41">
    <cfRule type="expression" dxfId="44" priority="11">
      <formula>$D3="Très Elevé"</formula>
    </cfRule>
    <cfRule type="expression" dxfId="43" priority="12">
      <formula>$D3="Elevé"</formula>
    </cfRule>
    <cfRule type="expression" dxfId="42" priority="13">
      <formula>$D3="Modéré"</formula>
    </cfRule>
    <cfRule type="expression" dxfId="41" priority="14">
      <formula>$D3="Mineur"</formula>
    </cfRule>
  </conditionalFormatting>
  <conditionalFormatting sqref="E3:E41">
    <cfRule type="cellIs" dxfId="40" priority="7" operator="equal">
      <formula>"Maîtrisé"</formula>
    </cfRule>
    <cfRule type="cellIs" dxfId="39" priority="8" operator="equal">
      <formula>"Acceptable"</formula>
    </cfRule>
    <cfRule type="cellIs" dxfId="38" priority="9" operator="equal">
      <formula>"Faible"</formula>
    </cfRule>
    <cfRule type="cellIs" dxfId="37" priority="10" operator="equal">
      <formula>"Insuffisant"</formula>
    </cfRule>
  </conditionalFormatting>
  <conditionalFormatting sqref="F3:F41">
    <cfRule type="cellIs" dxfId="36" priority="1" operator="equal">
      <formula>"Criticité Très élevée"</formula>
    </cfRule>
    <cfRule type="cellIs" dxfId="35" priority="2" operator="equal">
      <formula>"Criticité elevée"</formula>
    </cfRule>
    <cfRule type="cellIs" dxfId="34" priority="3" operator="equal">
      <formula>"Surveillance Modérée"</formula>
    </cfRule>
    <cfRule type="cellIs" dxfId="33" priority="4" operator="equal">
      <formula>"Surveillance à renforcer"</formula>
    </cfRule>
    <cfRule type="cellIs" dxfId="32" priority="5" operator="equal">
      <formula>"Surveillance modérée"</formula>
    </cfRule>
    <cfRule type="cellIs" dxfId="31" priority="6" operator="equal">
      <formula>"Surveillance Faible"</formula>
    </cfRule>
  </conditionalFormatting>
  <pageMargins left="0.27" right="0.5" top="0.5" bottom="0.39" header="0.33" footer="0.21"/>
  <pageSetup paperSize="9" scale="38" orientation="landscape" r:id="rId1"/>
  <headerFooter alignWithMargins="0">
    <oddHeader>&amp;R&amp;"Arial,Italique"&amp;8&amp;D</oddHeader>
  </headerFooter>
</worksheet>
</file>

<file path=xl/worksheets/sheet6.xml><?xml version="1.0" encoding="utf-8"?>
<worksheet xmlns="http://schemas.openxmlformats.org/spreadsheetml/2006/main" xmlns:r="http://schemas.openxmlformats.org/officeDocument/2006/relationships">
  <sheetPr codeName="Feuil9">
    <tabColor rgb="FF7030A0"/>
    <pageSetUpPr fitToPage="1"/>
  </sheetPr>
  <dimension ref="A1:G41"/>
  <sheetViews>
    <sheetView showGridLines="0" topLeftCell="A7" zoomScale="90" zoomScaleNormal="90" zoomScaleSheetLayoutView="100" workbookViewId="0">
      <selection activeCell="A42" sqref="A42"/>
    </sheetView>
  </sheetViews>
  <sheetFormatPr baseColWidth="10" defaultRowHeight="12.75"/>
  <cols>
    <col min="1" max="1" width="12.85546875" style="2" customWidth="1"/>
    <col min="2" max="2" width="34.140625" style="1" customWidth="1"/>
    <col min="3" max="3" width="26.5703125" style="2" customWidth="1"/>
    <col min="4" max="4" width="16.7109375" style="3" customWidth="1"/>
    <col min="5" max="5" width="31.42578125" style="2" bestFit="1" customWidth="1"/>
    <col min="6" max="6" width="30.5703125" style="2" customWidth="1"/>
    <col min="7" max="7" width="33.28515625" style="15" bestFit="1" customWidth="1"/>
  </cols>
  <sheetData>
    <row r="1" spans="1:7" s="3" customFormat="1" ht="27.75" customHeight="1">
      <c r="A1" s="222" t="s">
        <v>1</v>
      </c>
      <c r="B1" s="223" t="s">
        <v>2</v>
      </c>
      <c r="C1" s="264" t="s">
        <v>909</v>
      </c>
      <c r="D1" s="264" t="s">
        <v>965</v>
      </c>
      <c r="E1" s="212" t="s">
        <v>0</v>
      </c>
      <c r="F1" s="33" t="s">
        <v>912</v>
      </c>
      <c r="G1" s="265" t="s">
        <v>757</v>
      </c>
    </row>
    <row r="2" spans="1:7" ht="25.5" hidden="1" customHeight="1">
      <c r="A2" s="38"/>
      <c r="B2" s="39"/>
      <c r="C2" s="40">
        <v>1</v>
      </c>
      <c r="D2" s="41"/>
      <c r="E2" s="38"/>
      <c r="F2" s="40">
        <v>1</v>
      </c>
      <c r="G2" s="42" t="s">
        <v>24</v>
      </c>
    </row>
    <row r="3" spans="1:7" ht="24.95" customHeight="1">
      <c r="A3" s="157" t="s">
        <v>717</v>
      </c>
      <c r="B3" s="43" t="str">
        <f ca="1">Conso!A2</f>
        <v>Risk N°1</v>
      </c>
      <c r="C3" s="44" t="str">
        <f ca="1">IFERROR(Conso!BJ2&amp;"/"&amp;Conso!BI2,"")</f>
        <v>Catastrophique/Elevée</v>
      </c>
      <c r="D3" s="46" t="str">
        <f ca="1">IFERROR(INDEX(Notes!$I$9:$N$14,7-VLOOKUP(Conso!AW2,Notes!$D$2:$E$7,2,FALSE),VLOOKUP(Conso!AX2,Notes!$A$2:$B$7,2,FALSE)),"")</f>
        <v>Elevé</v>
      </c>
      <c r="E3" s="44" t="str">
        <f ca="1">IFERROR(Conso!BD2,"")</f>
        <v>Maîtrisé</v>
      </c>
      <c r="F3" s="44" t="str">
        <f ca="1">IFERROR(INDEX(Notes!$S$10:$V$13,5-VLOOKUP(D3,Notes!$G$2:$H$5,2,FALSE),VLOOKUP('Tableau des risques net'!E3,Notes!$J$2:$K$5,2,FALSE)),"")</f>
        <v>Criticité elevée</v>
      </c>
      <c r="G3" s="162" t="s">
        <v>758</v>
      </c>
    </row>
    <row r="4" spans="1:7" ht="24.95" customHeight="1">
      <c r="A4" s="157" t="s">
        <v>718</v>
      </c>
      <c r="B4" s="43" t="e">
        <f>#REF!</f>
        <v>#REF!</v>
      </c>
      <c r="C4" s="45" t="str">
        <f>IFERROR(Conso!#REF!&amp;"/"&amp;Conso!#REF!,"")</f>
        <v/>
      </c>
      <c r="D4" s="46" t="str">
        <f>IFERROR(INDEX(Notes!$I$9:$N$14,7-VLOOKUP(Conso!#REF!,Notes!$D$2:$E$7,2,FALSE),VLOOKUP(Conso!#REF!,Notes!$A$2:$B$7,2,FALSE)),"")</f>
        <v/>
      </c>
      <c r="E4" s="44" t="str">
        <f>IFERROR(Conso!#REF!,"")</f>
        <v/>
      </c>
      <c r="F4" s="44" t="str">
        <f>IFERROR(INDEX(Notes!$S$10:$V$13,5-VLOOKUP(D4,Notes!$G$2:$H$5,2,FALSE),VLOOKUP('Tableau des risques net'!E4,Notes!$J$2:$K$5,2,FALSE)),"")</f>
        <v/>
      </c>
      <c r="G4" s="162" t="s">
        <v>759</v>
      </c>
    </row>
    <row r="5" spans="1:7" ht="24.95" customHeight="1">
      <c r="A5" s="157" t="s">
        <v>719</v>
      </c>
      <c r="B5" s="43" t="e">
        <f>#REF!</f>
        <v>#REF!</v>
      </c>
      <c r="C5" s="45" t="str">
        <f>IFERROR(Conso!#REF!&amp;"/"&amp;Conso!#REF!,"")</f>
        <v/>
      </c>
      <c r="D5" s="46" t="str">
        <f>IFERROR(INDEX(Notes!$I$9:$N$14,7-VLOOKUP(Conso!#REF!,Notes!$D$2:$E$7,2,FALSE),VLOOKUP(Conso!#REF!,Notes!$A$2:$B$7,2,FALSE)),"")</f>
        <v/>
      </c>
      <c r="E5" s="44" t="str">
        <f>IFERROR(Conso!#REF!,"")</f>
        <v/>
      </c>
      <c r="F5" s="44" t="str">
        <f>IFERROR(INDEX(Notes!$S$10:$V$13,5-VLOOKUP(D5,Notes!$G$2:$H$5,2,FALSE),VLOOKUP('Tableau des risques net'!E5,Notes!$J$2:$K$5,2,FALSE)),"")</f>
        <v/>
      </c>
      <c r="G5" s="162" t="s">
        <v>760</v>
      </c>
    </row>
    <row r="6" spans="1:7" ht="24.95" customHeight="1">
      <c r="A6" s="157" t="s">
        <v>720</v>
      </c>
      <c r="B6" s="43" t="e">
        <f>#REF!</f>
        <v>#REF!</v>
      </c>
      <c r="C6" s="45" t="str">
        <f>IFERROR(Conso!#REF!&amp;"/"&amp;Conso!#REF!,"")</f>
        <v/>
      </c>
      <c r="D6" s="46" t="str">
        <f>IFERROR(INDEX(Notes!$I$9:$N$14,7-VLOOKUP(Conso!#REF!,Notes!$D$2:$E$7,2,FALSE),VLOOKUP(Conso!#REF!,Notes!$A$2:$B$7,2,FALSE)),"")</f>
        <v/>
      </c>
      <c r="E6" s="44" t="str">
        <f>IFERROR(Conso!#REF!,"")</f>
        <v/>
      </c>
      <c r="F6" s="44" t="str">
        <f>IFERROR(INDEX(Notes!$S$10:$V$13,5-VLOOKUP(D6,Notes!$G$2:$H$5,2,FALSE),VLOOKUP('Tableau des risques net'!E6,Notes!$J$2:$K$5,2,FALSE)),"")</f>
        <v/>
      </c>
      <c r="G6" s="162" t="s">
        <v>761</v>
      </c>
    </row>
    <row r="7" spans="1:7" ht="24.95" customHeight="1">
      <c r="A7" s="157" t="s">
        <v>721</v>
      </c>
      <c r="B7" s="43" t="e">
        <f>#REF!</f>
        <v>#REF!</v>
      </c>
      <c r="C7" s="45" t="str">
        <f>IFERROR(Conso!#REF!&amp;"/"&amp;Conso!#REF!,"")</f>
        <v/>
      </c>
      <c r="D7" s="46" t="str">
        <f>IFERROR(INDEX(Notes!$I$9:$N$14,7-VLOOKUP(Conso!#REF!,Notes!$D$2:$E$7,2,FALSE),VLOOKUP(Conso!#REF!,Notes!$A$2:$B$7,2,FALSE)),"")</f>
        <v/>
      </c>
      <c r="E7" s="44" t="str">
        <f>IFERROR(Conso!#REF!,"")</f>
        <v/>
      </c>
      <c r="F7" s="44" t="str">
        <f>IFERROR(INDEX(Notes!$S$10:$V$13,5-VLOOKUP(D7,Notes!$G$2:$H$5,2,FALSE),VLOOKUP('Tableau des risques net'!E7,Notes!$J$2:$K$5,2,FALSE)),"")</f>
        <v/>
      </c>
      <c r="G7" s="162" t="s">
        <v>762</v>
      </c>
    </row>
    <row r="8" spans="1:7" ht="24.95" customHeight="1">
      <c r="A8" s="157" t="s">
        <v>722</v>
      </c>
      <c r="B8" s="43" t="e">
        <f>#REF!</f>
        <v>#REF!</v>
      </c>
      <c r="C8" s="45" t="str">
        <f>IFERROR(Conso!#REF!&amp;"/"&amp;Conso!#REF!,"")</f>
        <v/>
      </c>
      <c r="D8" s="46" t="str">
        <f>IFERROR(INDEX(Notes!$I$9:$N$14,7-VLOOKUP(Conso!#REF!,Notes!$D$2:$E$7,2,FALSE),VLOOKUP(Conso!#REF!,Notes!$A$2:$B$7,2,FALSE)),"")</f>
        <v/>
      </c>
      <c r="E8" s="44" t="str">
        <f>IFERROR(Conso!#REF!,"")</f>
        <v/>
      </c>
      <c r="F8" s="44" t="str">
        <f>IFERROR(INDEX(Notes!$S$10:$V$13,5-VLOOKUP(D8,Notes!$G$2:$H$5,2,FALSE),VLOOKUP('Tableau des risques net'!E8,Notes!$J$2:$K$5,2,FALSE)),"")</f>
        <v/>
      </c>
      <c r="G8" s="162" t="s">
        <v>763</v>
      </c>
    </row>
    <row r="9" spans="1:7" ht="24.95" customHeight="1">
      <c r="A9" s="157" t="s">
        <v>723</v>
      </c>
      <c r="B9" s="43" t="e">
        <f>#REF!</f>
        <v>#REF!</v>
      </c>
      <c r="C9" s="45" t="str">
        <f>IFERROR(Conso!#REF!&amp;"/"&amp;Conso!#REF!,"")</f>
        <v/>
      </c>
      <c r="D9" s="46" t="str">
        <f>IFERROR(INDEX(Notes!$I$9:$N$14,7-VLOOKUP(Conso!#REF!,Notes!$D$2:$E$7,2,FALSE),VLOOKUP(Conso!#REF!,Notes!$A$2:$B$7,2,FALSE)),"")</f>
        <v/>
      </c>
      <c r="E9" s="44" t="str">
        <f>IFERROR(Conso!#REF!,"")</f>
        <v/>
      </c>
      <c r="F9" s="44" t="str">
        <f>IFERROR(INDEX(Notes!$S$10:$V$13,5-VLOOKUP(D9,Notes!$G$2:$H$5,2,FALSE),VLOOKUP('Tableau des risques net'!E9,Notes!$J$2:$K$5,2,FALSE)),"")</f>
        <v/>
      </c>
      <c r="G9" s="162" t="s">
        <v>764</v>
      </c>
    </row>
    <row r="10" spans="1:7" ht="24.95" customHeight="1">
      <c r="A10" s="157" t="s">
        <v>724</v>
      </c>
      <c r="B10" s="43" t="e">
        <f>#REF!</f>
        <v>#REF!</v>
      </c>
      <c r="C10" s="45" t="str">
        <f>IFERROR(Conso!#REF!&amp;"/"&amp;Conso!#REF!,"")</f>
        <v/>
      </c>
      <c r="D10" s="46" t="str">
        <f>IFERROR(INDEX(Notes!$I$9:$N$14,7-VLOOKUP(Conso!#REF!,Notes!$D$2:$E$7,2,FALSE),VLOOKUP(Conso!#REF!,Notes!$A$2:$B$7,2,FALSE)),"")</f>
        <v/>
      </c>
      <c r="E10" s="44" t="str">
        <f>IFERROR(Conso!#REF!,"")</f>
        <v/>
      </c>
      <c r="F10" s="44" t="str">
        <f>IFERROR(INDEX(Notes!$S$10:$V$13,5-VLOOKUP(D10,Notes!$G$2:$H$5,2,FALSE),VLOOKUP('Tableau des risques net'!E10,Notes!$J$2:$K$5,2,FALSE)),"")</f>
        <v/>
      </c>
      <c r="G10" s="162" t="s">
        <v>765</v>
      </c>
    </row>
    <row r="11" spans="1:7" ht="24.95" customHeight="1">
      <c r="A11" s="157" t="s">
        <v>725</v>
      </c>
      <c r="B11" s="43" t="e">
        <f>#REF!</f>
        <v>#REF!</v>
      </c>
      <c r="C11" s="45" t="str">
        <f>IFERROR(Conso!#REF!&amp;"/"&amp;Conso!#REF!,"")</f>
        <v/>
      </c>
      <c r="D11" s="46" t="str">
        <f>IFERROR(INDEX(Notes!$I$9:$N$14,7-VLOOKUP(Conso!#REF!,Notes!$D$2:$E$7,2,FALSE),VLOOKUP(Conso!#REF!,Notes!$A$2:$B$7,2,FALSE)),"")</f>
        <v/>
      </c>
      <c r="E11" s="44" t="str">
        <f>IFERROR(Conso!#REF!,"")</f>
        <v/>
      </c>
      <c r="F11" s="44" t="str">
        <f>IFERROR(INDEX(Notes!$S$10:$V$13,5-VLOOKUP(D11,Notes!$G$2:$H$5,2,FALSE),VLOOKUP('Tableau des risques net'!E11,Notes!$J$2:$K$5,2,FALSE)),"")</f>
        <v/>
      </c>
      <c r="G11" s="162" t="s">
        <v>766</v>
      </c>
    </row>
    <row r="12" spans="1:7" ht="24.95" customHeight="1">
      <c r="A12" s="157" t="s">
        <v>726</v>
      </c>
      <c r="B12" s="43" t="e">
        <f>#REF!</f>
        <v>#REF!</v>
      </c>
      <c r="C12" s="45" t="str">
        <f>IFERROR(Conso!#REF!&amp;"/"&amp;Conso!#REF!,"")</f>
        <v/>
      </c>
      <c r="D12" s="46" t="str">
        <f>IFERROR(INDEX(Notes!$I$9:$N$14,7-VLOOKUP(Conso!#REF!,Notes!$D$2:$E$7,2,FALSE),VLOOKUP(Conso!#REF!,Notes!$A$2:$B$7,2,FALSE)),"")</f>
        <v/>
      </c>
      <c r="E12" s="44" t="str">
        <f>IFERROR(Conso!#REF!,"")</f>
        <v/>
      </c>
      <c r="F12" s="44" t="str">
        <f>IFERROR(INDEX(Notes!$S$10:$V$13,5-VLOOKUP(D12,Notes!$G$2:$H$5,2,FALSE),VLOOKUP('Tableau des risques net'!E12,Notes!$J$2:$K$5,2,FALSE)),"")</f>
        <v/>
      </c>
      <c r="G12" s="162" t="s">
        <v>767</v>
      </c>
    </row>
    <row r="13" spans="1:7" ht="24.95" customHeight="1">
      <c r="A13" s="157" t="s">
        <v>727</v>
      </c>
      <c r="B13" s="43" t="e">
        <f>#REF!</f>
        <v>#REF!</v>
      </c>
      <c r="C13" s="45" t="str">
        <f>IFERROR(Conso!#REF!&amp;"/"&amp;Conso!#REF!,"")</f>
        <v/>
      </c>
      <c r="D13" s="46" t="str">
        <f>IFERROR(INDEX(Notes!$I$9:$N$14,7-VLOOKUP(Conso!#REF!,Notes!$D$2:$E$7,2,FALSE),VLOOKUP(Conso!#REF!,Notes!$A$2:$B$7,2,FALSE)),"")</f>
        <v/>
      </c>
      <c r="E13" s="44" t="str">
        <f>IFERROR(Conso!#REF!,"")</f>
        <v/>
      </c>
      <c r="F13" s="44" t="str">
        <f>IFERROR(INDEX(Notes!$S$10:$V$13,5-VLOOKUP(D13,Notes!$G$2:$H$5,2,FALSE),VLOOKUP('Tableau des risques net'!E13,Notes!$J$2:$K$5,2,FALSE)),"")</f>
        <v/>
      </c>
      <c r="G13" s="162" t="s">
        <v>768</v>
      </c>
    </row>
    <row r="14" spans="1:7" ht="24.95" customHeight="1">
      <c r="A14" s="157" t="s">
        <v>728</v>
      </c>
      <c r="B14" s="43" t="e">
        <f>#REF!</f>
        <v>#REF!</v>
      </c>
      <c r="C14" s="45" t="str">
        <f>IFERROR(Conso!#REF!&amp;"/"&amp;Conso!#REF!,"")</f>
        <v/>
      </c>
      <c r="D14" s="46" t="str">
        <f>IFERROR(INDEX(Notes!$I$9:$N$14,7-VLOOKUP(Conso!#REF!,Notes!$D$2:$E$7,2,FALSE),VLOOKUP(Conso!#REF!,Notes!$A$2:$B$7,2,FALSE)),"")</f>
        <v/>
      </c>
      <c r="E14" s="44" t="str">
        <f>IFERROR(Conso!#REF!,"")</f>
        <v/>
      </c>
      <c r="F14" s="44" t="str">
        <f>IFERROR(INDEX(Notes!$S$10:$V$13,5-VLOOKUP(D14,Notes!$G$2:$H$5,2,FALSE),VLOOKUP('Tableau des risques net'!E14,Notes!$J$2:$K$5,2,FALSE)),"")</f>
        <v/>
      </c>
      <c r="G14" s="162" t="s">
        <v>769</v>
      </c>
    </row>
    <row r="15" spans="1:7" ht="24.95" customHeight="1">
      <c r="A15" s="157" t="s">
        <v>729</v>
      </c>
      <c r="B15" s="43" t="e">
        <f>#REF!</f>
        <v>#REF!</v>
      </c>
      <c r="C15" s="45" t="str">
        <f>IFERROR(Conso!#REF!&amp;"/"&amp;Conso!#REF!,"")</f>
        <v/>
      </c>
      <c r="D15" s="46" t="str">
        <f>IFERROR(INDEX(Notes!$I$9:$N$14,7-VLOOKUP(Conso!#REF!,Notes!$D$2:$E$7,2,FALSE),VLOOKUP(Conso!#REF!,Notes!$A$2:$B$7,2,FALSE)),"")</f>
        <v/>
      </c>
      <c r="E15" s="44" t="str">
        <f>IFERROR(Conso!#REF!,"")</f>
        <v/>
      </c>
      <c r="F15" s="44" t="str">
        <f>IFERROR(INDEX(Notes!$S$10:$V$13,5-VLOOKUP(D15,Notes!$G$2:$H$5,2,FALSE),VLOOKUP('Tableau des risques net'!E15,Notes!$J$2:$K$5,2,FALSE)),"")</f>
        <v/>
      </c>
      <c r="G15" s="162" t="s">
        <v>770</v>
      </c>
    </row>
    <row r="16" spans="1:7" ht="24.95" customHeight="1">
      <c r="A16" s="157" t="s">
        <v>730</v>
      </c>
      <c r="B16" s="43" t="e">
        <f>#REF!</f>
        <v>#REF!</v>
      </c>
      <c r="C16" s="45" t="str">
        <f>IFERROR(Conso!#REF!&amp;"/"&amp;Conso!#REF!,"")</f>
        <v/>
      </c>
      <c r="D16" s="46" t="str">
        <f>IFERROR(INDEX(Notes!$I$9:$N$14,7-VLOOKUP(Conso!#REF!,Notes!$D$2:$E$7,2,FALSE),VLOOKUP(Conso!#REF!,Notes!$A$2:$B$7,2,FALSE)),"")</f>
        <v/>
      </c>
      <c r="E16" s="44" t="str">
        <f>IFERROR(Conso!#REF!,"")</f>
        <v/>
      </c>
      <c r="F16" s="44" t="str">
        <f>IFERROR(INDEX(Notes!$S$10:$V$13,5-VLOOKUP(D16,Notes!$G$2:$H$5,2,FALSE),VLOOKUP('Tableau des risques net'!E16,Notes!$J$2:$K$5,2,FALSE)),"")</f>
        <v/>
      </c>
      <c r="G16" s="162" t="s">
        <v>771</v>
      </c>
    </row>
    <row r="17" spans="1:7" ht="24.95" customHeight="1">
      <c r="A17" s="157" t="s">
        <v>731</v>
      </c>
      <c r="B17" s="43" t="e">
        <f>#REF!</f>
        <v>#REF!</v>
      </c>
      <c r="C17" s="45" t="str">
        <f>IFERROR(Conso!#REF!&amp;"/"&amp;Conso!#REF!,"")</f>
        <v/>
      </c>
      <c r="D17" s="46" t="str">
        <f>IFERROR(INDEX(Notes!$I$9:$N$14,7-VLOOKUP(Conso!#REF!,Notes!$D$2:$E$7,2,FALSE),VLOOKUP(Conso!#REF!,Notes!$A$2:$B$7,2,FALSE)),"")</f>
        <v/>
      </c>
      <c r="E17" s="44" t="str">
        <f>IFERROR(Conso!#REF!,"")</f>
        <v/>
      </c>
      <c r="F17" s="44" t="str">
        <f>IFERROR(INDEX(Notes!$S$10:$V$13,5-VLOOKUP(D17,Notes!$G$2:$H$5,2,FALSE),VLOOKUP('Tableau des risques net'!E17,Notes!$J$2:$K$5,2,FALSE)),"")</f>
        <v/>
      </c>
      <c r="G17" s="162" t="s">
        <v>772</v>
      </c>
    </row>
    <row r="18" spans="1:7" ht="24.95" customHeight="1">
      <c r="A18" s="157" t="s">
        <v>732</v>
      </c>
      <c r="B18" s="43" t="e">
        <f>#REF!</f>
        <v>#REF!</v>
      </c>
      <c r="C18" s="45" t="str">
        <f>IFERROR(Conso!#REF!&amp;"/"&amp;Conso!#REF!,"")</f>
        <v/>
      </c>
      <c r="D18" s="46" t="str">
        <f>IFERROR(INDEX(Notes!$I$9:$N$14,7-VLOOKUP(Conso!#REF!,Notes!$D$2:$E$7,2,FALSE),VLOOKUP(Conso!#REF!,Notes!$A$2:$B$7,2,FALSE)),"")</f>
        <v/>
      </c>
      <c r="E18" s="44" t="str">
        <f>IFERROR(Conso!#REF!,"")</f>
        <v/>
      </c>
      <c r="F18" s="44" t="str">
        <f>IFERROR(INDEX(Notes!$S$10:$V$13,5-VLOOKUP(D18,Notes!$G$2:$H$5,2,FALSE),VLOOKUP('Tableau des risques net'!E18,Notes!$J$2:$K$5,2,FALSE)),"")</f>
        <v/>
      </c>
      <c r="G18" s="162" t="s">
        <v>773</v>
      </c>
    </row>
    <row r="19" spans="1:7" ht="24.95" customHeight="1">
      <c r="A19" s="157" t="s">
        <v>733</v>
      </c>
      <c r="B19" s="43" t="e">
        <f>#REF!</f>
        <v>#REF!</v>
      </c>
      <c r="C19" s="45" t="str">
        <f>IFERROR(Conso!#REF!&amp;"/"&amp;Conso!#REF!,"")</f>
        <v/>
      </c>
      <c r="D19" s="46" t="str">
        <f>IFERROR(INDEX(Notes!$I$9:$N$14,7-VLOOKUP(Conso!#REF!,Notes!$D$2:$E$7,2,FALSE),VLOOKUP(Conso!#REF!,Notes!$A$2:$B$7,2,FALSE)),"")</f>
        <v/>
      </c>
      <c r="E19" s="44" t="str">
        <f>IFERROR(Conso!#REF!,"")</f>
        <v/>
      </c>
      <c r="F19" s="44" t="str">
        <f>IFERROR(INDEX(Notes!$S$10:$V$13,5-VLOOKUP(D19,Notes!$G$2:$H$5,2,FALSE),VLOOKUP('Tableau des risques net'!E19,Notes!$J$2:$K$5,2,FALSE)),"")</f>
        <v/>
      </c>
      <c r="G19" s="162" t="s">
        <v>774</v>
      </c>
    </row>
    <row r="20" spans="1:7" ht="24.95" customHeight="1">
      <c r="A20" s="157" t="s">
        <v>734</v>
      </c>
      <c r="B20" s="43" t="e">
        <f>#REF!</f>
        <v>#REF!</v>
      </c>
      <c r="C20" s="45" t="str">
        <f>IFERROR(Conso!#REF!&amp;"/"&amp;Conso!#REF!,"")</f>
        <v/>
      </c>
      <c r="D20" s="46" t="str">
        <f>IFERROR(INDEX(Notes!$I$9:$N$14,7-VLOOKUP(Conso!#REF!,Notes!$D$2:$E$7,2,FALSE),VLOOKUP(Conso!#REF!,Notes!$A$2:$B$7,2,FALSE)),"")</f>
        <v/>
      </c>
      <c r="E20" s="44" t="str">
        <f>IFERROR(Conso!#REF!,"")</f>
        <v/>
      </c>
      <c r="F20" s="44" t="str">
        <f>IFERROR(INDEX(Notes!$S$10:$V$13,5-VLOOKUP(D20,Notes!$G$2:$H$5,2,FALSE),VLOOKUP('Tableau des risques net'!E20,Notes!$J$2:$K$5,2,FALSE)),"")</f>
        <v/>
      </c>
      <c r="G20" s="162" t="s">
        <v>775</v>
      </c>
    </row>
    <row r="21" spans="1:7" ht="24.95" customHeight="1">
      <c r="A21" s="157" t="s">
        <v>735</v>
      </c>
      <c r="B21" s="43" t="e">
        <f>#REF!</f>
        <v>#REF!</v>
      </c>
      <c r="C21" s="45" t="str">
        <f>IFERROR(Conso!#REF!&amp;"/"&amp;Conso!#REF!,"")</f>
        <v/>
      </c>
      <c r="D21" s="46" t="str">
        <f>IFERROR(INDEX(Notes!$I$9:$N$14,7-VLOOKUP(Conso!#REF!,Notes!$D$2:$E$7,2,FALSE),VLOOKUP(Conso!#REF!,Notes!$A$2:$B$7,2,FALSE)),"")</f>
        <v/>
      </c>
      <c r="E21" s="44" t="str">
        <f>IFERROR(Conso!#REF!,"")</f>
        <v/>
      </c>
      <c r="F21" s="44" t="str">
        <f>IFERROR(INDEX(Notes!$S$10:$V$13,5-VLOOKUP(D21,Notes!$G$2:$H$5,2,FALSE),VLOOKUP('Tableau des risques net'!E21,Notes!$J$2:$K$5,2,FALSE)),"")</f>
        <v/>
      </c>
      <c r="G21" s="162" t="s">
        <v>776</v>
      </c>
    </row>
    <row r="22" spans="1:7" ht="24.95" customHeight="1">
      <c r="A22" s="157" t="s">
        <v>736</v>
      </c>
      <c r="B22" s="43" t="e">
        <f>#REF!</f>
        <v>#REF!</v>
      </c>
      <c r="C22" s="45" t="str">
        <f>IFERROR(Conso!#REF!&amp;"/"&amp;Conso!#REF!,"")</f>
        <v/>
      </c>
      <c r="D22" s="46" t="str">
        <f>IFERROR(INDEX(Notes!$I$9:$N$14,7-VLOOKUP(Conso!#REF!,Notes!$D$2:$E$7,2,FALSE),VLOOKUP(Conso!#REF!,Notes!$A$2:$B$7,2,FALSE)),"")</f>
        <v/>
      </c>
      <c r="E22" s="44" t="str">
        <f>IFERROR(Conso!#REF!,"")</f>
        <v/>
      </c>
      <c r="F22" s="44" t="str">
        <f>IFERROR(INDEX(Notes!$S$10:$V$13,5-VLOOKUP(D22,Notes!$G$2:$H$5,2,FALSE),VLOOKUP('Tableau des risques net'!E22,Notes!$J$2:$K$5,2,FALSE)),"")</f>
        <v/>
      </c>
      <c r="G22" s="162" t="s">
        <v>777</v>
      </c>
    </row>
    <row r="23" spans="1:7" ht="24.95" customHeight="1">
      <c r="A23" s="157" t="s">
        <v>737</v>
      </c>
      <c r="B23" s="43" t="e">
        <f>#REF!</f>
        <v>#REF!</v>
      </c>
      <c r="C23" s="45" t="str">
        <f>IFERROR(Conso!#REF!&amp;"/"&amp;Conso!#REF!,"")</f>
        <v/>
      </c>
      <c r="D23" s="46" t="str">
        <f>IFERROR(INDEX(Notes!$I$9:$N$14,7-VLOOKUP(Conso!#REF!,Notes!$D$2:$E$7,2,FALSE),VLOOKUP(Conso!#REF!,Notes!$A$2:$B$7,2,FALSE)),"")</f>
        <v/>
      </c>
      <c r="E23" s="44" t="str">
        <f>IFERROR(Conso!#REF!,"")</f>
        <v/>
      </c>
      <c r="F23" s="44" t="str">
        <f>IFERROR(INDEX(Notes!$S$10:$V$13,5-VLOOKUP(D23,Notes!$G$2:$H$5,2,FALSE),VLOOKUP('Tableau des risques net'!E23,Notes!$J$2:$K$5,2,FALSE)),"")</f>
        <v/>
      </c>
      <c r="G23" s="162" t="s">
        <v>778</v>
      </c>
    </row>
    <row r="24" spans="1:7" ht="24.95" customHeight="1">
      <c r="A24" s="157" t="s">
        <v>738</v>
      </c>
      <c r="B24" s="43" t="e">
        <f>#REF!</f>
        <v>#REF!</v>
      </c>
      <c r="C24" s="45" t="str">
        <f>IFERROR(Conso!#REF!&amp;"/"&amp;Conso!#REF!,"")</f>
        <v/>
      </c>
      <c r="D24" s="46" t="str">
        <f>IFERROR(INDEX(Notes!$I$9:$N$14,7-VLOOKUP(Conso!#REF!,Notes!$D$2:$E$7,2,FALSE),VLOOKUP(Conso!#REF!,Notes!$A$2:$B$7,2,FALSE)),"")</f>
        <v/>
      </c>
      <c r="E24" s="44" t="str">
        <f>IFERROR(Conso!#REF!,"")</f>
        <v/>
      </c>
      <c r="F24" s="44" t="str">
        <f>IFERROR(INDEX(Notes!$S$10:$V$13,5-VLOOKUP(D24,Notes!$G$2:$H$5,2,FALSE),VLOOKUP('Tableau des risques net'!E24,Notes!$J$2:$K$5,2,FALSE)),"")</f>
        <v/>
      </c>
      <c r="G24" s="162" t="s">
        <v>779</v>
      </c>
    </row>
    <row r="25" spans="1:7" ht="24.95" customHeight="1">
      <c r="A25" s="157" t="s">
        <v>739</v>
      </c>
      <c r="B25" s="43" t="e">
        <f>#REF!</f>
        <v>#REF!</v>
      </c>
      <c r="C25" s="45" t="str">
        <f>IFERROR(Conso!#REF!&amp;"/"&amp;Conso!#REF!,"")</f>
        <v/>
      </c>
      <c r="D25" s="46" t="str">
        <f>IFERROR(INDEX(Notes!$I$9:$N$14,7-VLOOKUP(Conso!#REF!,Notes!$D$2:$E$7,2,FALSE),VLOOKUP(Conso!#REF!,Notes!$A$2:$B$7,2,FALSE)),"")</f>
        <v/>
      </c>
      <c r="E25" s="44" t="str">
        <f>IFERROR(Conso!#REF!,"")</f>
        <v/>
      </c>
      <c r="F25" s="44" t="str">
        <f>IFERROR(INDEX(Notes!$S$10:$V$13,5-VLOOKUP(D25,Notes!$G$2:$H$5,2,FALSE),VLOOKUP('Tableau des risques net'!E25,Notes!$J$2:$K$5,2,FALSE)),"")</f>
        <v/>
      </c>
      <c r="G25" s="162" t="s">
        <v>780</v>
      </c>
    </row>
    <row r="26" spans="1:7" ht="24.95" customHeight="1">
      <c r="A26" s="157" t="s">
        <v>740</v>
      </c>
      <c r="B26" s="43" t="e">
        <f>#REF!</f>
        <v>#REF!</v>
      </c>
      <c r="C26" s="45" t="str">
        <f>IFERROR(Conso!#REF!&amp;"/"&amp;Conso!#REF!,"")</f>
        <v/>
      </c>
      <c r="D26" s="46" t="str">
        <f>IFERROR(INDEX(Notes!$I$9:$N$14,7-VLOOKUP(Conso!#REF!,Notes!$D$2:$E$7,2,FALSE),VLOOKUP(Conso!#REF!,Notes!$A$2:$B$7,2,FALSE)),"")</f>
        <v/>
      </c>
      <c r="E26" s="44" t="str">
        <f>IFERROR(Conso!#REF!,"")</f>
        <v/>
      </c>
      <c r="F26" s="44" t="str">
        <f>IFERROR(INDEX(Notes!$S$10:$V$13,5-VLOOKUP(D26,Notes!$G$2:$H$5,2,FALSE),VLOOKUP('Tableau des risques net'!E26,Notes!$J$2:$K$5,2,FALSE)),"")</f>
        <v/>
      </c>
      <c r="G26" s="162" t="s">
        <v>781</v>
      </c>
    </row>
    <row r="27" spans="1:7" ht="24.95" customHeight="1">
      <c r="A27" s="157" t="s">
        <v>741</v>
      </c>
      <c r="B27" s="43" t="e">
        <f>#REF!</f>
        <v>#REF!</v>
      </c>
      <c r="C27" s="45" t="str">
        <f>IFERROR(Conso!#REF!&amp;"/"&amp;Conso!#REF!,"")</f>
        <v/>
      </c>
      <c r="D27" s="46" t="str">
        <f>IFERROR(INDEX(Notes!$I$9:$N$14,7-VLOOKUP(Conso!#REF!,Notes!$D$2:$E$7,2,FALSE),VLOOKUP(Conso!#REF!,Notes!$A$2:$B$7,2,FALSE)),"")</f>
        <v/>
      </c>
      <c r="E27" s="44" t="str">
        <f>IFERROR(Conso!#REF!,"")</f>
        <v/>
      </c>
      <c r="F27" s="44" t="str">
        <f>IFERROR(INDEX(Notes!$S$10:$V$13,5-VLOOKUP(D27,Notes!$G$2:$H$5,2,FALSE),VLOOKUP('Tableau des risques net'!E27,Notes!$J$2:$K$5,2,FALSE)),"")</f>
        <v/>
      </c>
      <c r="G27" s="162" t="s">
        <v>782</v>
      </c>
    </row>
    <row r="28" spans="1:7" ht="24.95" customHeight="1">
      <c r="A28" s="157" t="s">
        <v>742</v>
      </c>
      <c r="B28" s="43" t="e">
        <f>#REF!</f>
        <v>#REF!</v>
      </c>
      <c r="C28" s="45" t="str">
        <f>IFERROR(Conso!#REF!&amp;"/"&amp;Conso!#REF!,"")</f>
        <v/>
      </c>
      <c r="D28" s="46" t="str">
        <f>IFERROR(INDEX(Notes!$I$9:$N$14,7-VLOOKUP(Conso!#REF!,Notes!$D$2:$E$7,2,FALSE),VLOOKUP(Conso!#REF!,Notes!$A$2:$B$7,2,FALSE)),"")</f>
        <v/>
      </c>
      <c r="E28" s="44" t="str">
        <f>IFERROR(Conso!#REF!,"")</f>
        <v/>
      </c>
      <c r="F28" s="44" t="str">
        <f>IFERROR(INDEX(Notes!$S$10:$V$13,5-VLOOKUP(D28,Notes!$G$2:$H$5,2,FALSE),VLOOKUP('Tableau des risques net'!E28,Notes!$J$2:$K$5,2,FALSE)),"")</f>
        <v/>
      </c>
      <c r="G28" s="162" t="s">
        <v>783</v>
      </c>
    </row>
    <row r="29" spans="1:7" ht="24.95" customHeight="1">
      <c r="A29" s="157" t="s">
        <v>743</v>
      </c>
      <c r="B29" s="43" t="e">
        <f>#REF!</f>
        <v>#REF!</v>
      </c>
      <c r="C29" s="45" t="str">
        <f>IFERROR(Conso!#REF!&amp;"/"&amp;Conso!#REF!,"")</f>
        <v/>
      </c>
      <c r="D29" s="46" t="str">
        <f>IFERROR(INDEX(Notes!$I$9:$N$14,7-VLOOKUP(Conso!#REF!,Notes!$D$2:$E$7,2,FALSE),VLOOKUP(Conso!#REF!,Notes!$A$2:$B$7,2,FALSE)),"")</f>
        <v/>
      </c>
      <c r="E29" s="44" t="str">
        <f>IFERROR(Conso!#REF!,"")</f>
        <v/>
      </c>
      <c r="F29" s="44" t="str">
        <f>IFERROR(INDEX(Notes!$S$10:$V$13,5-VLOOKUP(D29,Notes!$G$2:$H$5,2,FALSE),VLOOKUP('Tableau des risques net'!E29,Notes!$J$2:$K$5,2,FALSE)),"")</f>
        <v/>
      </c>
      <c r="G29" s="162" t="s">
        <v>784</v>
      </c>
    </row>
    <row r="30" spans="1:7" ht="24.95" customHeight="1">
      <c r="A30" s="157" t="s">
        <v>744</v>
      </c>
      <c r="B30" s="43" t="e">
        <f>#REF!</f>
        <v>#REF!</v>
      </c>
      <c r="C30" s="45" t="str">
        <f>IFERROR(Conso!#REF!&amp;"/"&amp;Conso!#REF!,"")</f>
        <v/>
      </c>
      <c r="D30" s="46" t="str">
        <f>IFERROR(INDEX(Notes!$I$9:$N$14,7-VLOOKUP(Conso!#REF!,Notes!$D$2:$E$7,2,FALSE),VLOOKUP(Conso!#REF!,Notes!$A$2:$B$7,2,FALSE)),"")</f>
        <v/>
      </c>
      <c r="E30" s="44" t="str">
        <f>IFERROR(Conso!#REF!,"")</f>
        <v/>
      </c>
      <c r="F30" s="44" t="str">
        <f>IFERROR(INDEX(Notes!$S$10:$V$13,5-VLOOKUP(D30,Notes!$G$2:$H$5,2,FALSE),VLOOKUP('Tableau des risques net'!E30,Notes!$J$2:$K$5,2,FALSE)),"")</f>
        <v/>
      </c>
      <c r="G30" s="162" t="s">
        <v>785</v>
      </c>
    </row>
    <row r="31" spans="1:7" ht="24.95" customHeight="1">
      <c r="A31" s="157" t="s">
        <v>745</v>
      </c>
      <c r="B31" s="43" t="e">
        <f>#REF!</f>
        <v>#REF!</v>
      </c>
      <c r="C31" s="45" t="str">
        <f>IFERROR(Conso!#REF!&amp;"/"&amp;Conso!#REF!,"")</f>
        <v/>
      </c>
      <c r="D31" s="46" t="str">
        <f>IFERROR(INDEX(Notes!$I$9:$N$14,7-VLOOKUP(Conso!#REF!,Notes!$D$2:$E$7,2,FALSE),VLOOKUP(Conso!#REF!,Notes!$A$2:$B$7,2,FALSE)),"")</f>
        <v/>
      </c>
      <c r="E31" s="44" t="str">
        <f>IFERROR(Conso!#REF!,"")</f>
        <v/>
      </c>
      <c r="F31" s="44" t="str">
        <f>IFERROR(INDEX(Notes!$S$10:$V$13,5-VLOOKUP(D31,Notes!$G$2:$H$5,2,FALSE),VLOOKUP('Tableau des risques net'!E31,Notes!$J$2:$K$5,2,FALSE)),"")</f>
        <v/>
      </c>
      <c r="G31" s="162" t="s">
        <v>786</v>
      </c>
    </row>
    <row r="32" spans="1:7" ht="24.95" customHeight="1">
      <c r="A32" s="157" t="s">
        <v>746</v>
      </c>
      <c r="B32" s="43" t="e">
        <f>#REF!</f>
        <v>#REF!</v>
      </c>
      <c r="C32" s="45" t="str">
        <f>IFERROR(Conso!#REF!&amp;"/"&amp;Conso!#REF!,"")</f>
        <v/>
      </c>
      <c r="D32" s="46" t="str">
        <f>IFERROR(INDEX(Notes!$I$9:$N$14,7-VLOOKUP(Conso!#REF!,Notes!$D$2:$E$7,2,FALSE),VLOOKUP(Conso!#REF!,Notes!$A$2:$B$7,2,FALSE)),"")</f>
        <v/>
      </c>
      <c r="E32" s="44" t="str">
        <f>IFERROR(Conso!#REF!,"")</f>
        <v/>
      </c>
      <c r="F32" s="44" t="str">
        <f>IFERROR(INDEX(Notes!$S$10:$V$13,5-VLOOKUP(D32,Notes!$G$2:$H$5,2,FALSE),VLOOKUP('Tableau des risques net'!E32,Notes!$J$2:$K$5,2,FALSE)),"")</f>
        <v/>
      </c>
      <c r="G32" s="162" t="s">
        <v>787</v>
      </c>
    </row>
    <row r="33" spans="1:7" ht="24.95" customHeight="1">
      <c r="A33" s="157" t="s">
        <v>747</v>
      </c>
      <c r="B33" s="43" t="e">
        <f>#REF!</f>
        <v>#REF!</v>
      </c>
      <c r="C33" s="45" t="str">
        <f>IFERROR(Conso!#REF!&amp;"/"&amp;Conso!#REF!,"")</f>
        <v/>
      </c>
      <c r="D33" s="46" t="str">
        <f>IFERROR(INDEX(Notes!$I$9:$N$14,7-VLOOKUP(Conso!#REF!,Notes!$D$2:$E$7,2,FALSE),VLOOKUP(Conso!#REF!,Notes!$A$2:$B$7,2,FALSE)),"")</f>
        <v/>
      </c>
      <c r="E33" s="44" t="str">
        <f>IFERROR(Conso!#REF!,"")</f>
        <v/>
      </c>
      <c r="F33" s="44" t="str">
        <f>IFERROR(INDEX(Notes!$S$10:$V$13,5-VLOOKUP(D33,Notes!$G$2:$H$5,2,FALSE),VLOOKUP('Tableau des risques net'!E33,Notes!$J$2:$K$5,2,FALSE)),"")</f>
        <v/>
      </c>
      <c r="G33" s="162" t="s">
        <v>788</v>
      </c>
    </row>
    <row r="34" spans="1:7" ht="24.95" customHeight="1">
      <c r="A34" s="157" t="s">
        <v>748</v>
      </c>
      <c r="B34" s="43" t="e">
        <f>#REF!</f>
        <v>#REF!</v>
      </c>
      <c r="C34" s="45" t="str">
        <f>IFERROR(Conso!#REF!&amp;"/"&amp;Conso!#REF!,"")</f>
        <v/>
      </c>
      <c r="D34" s="46" t="str">
        <f>IFERROR(INDEX(Notes!$I$9:$N$14,7-VLOOKUP(Conso!#REF!,Notes!$D$2:$E$7,2,FALSE),VLOOKUP(Conso!#REF!,Notes!$A$2:$B$7,2,FALSE)),"")</f>
        <v/>
      </c>
      <c r="E34" s="44" t="str">
        <f>IFERROR(Conso!#REF!,"")</f>
        <v/>
      </c>
      <c r="F34" s="44" t="str">
        <f>IFERROR(INDEX(Notes!$S$10:$V$13,5-VLOOKUP(D34,Notes!$G$2:$H$5,2,FALSE),VLOOKUP('Tableau des risques net'!E34,Notes!$J$2:$K$5,2,FALSE)),"")</f>
        <v/>
      </c>
      <c r="G34" s="162" t="s">
        <v>789</v>
      </c>
    </row>
    <row r="35" spans="1:7" ht="24.95" customHeight="1">
      <c r="A35" s="157" t="s">
        <v>749</v>
      </c>
      <c r="B35" s="43" t="e">
        <f>#REF!</f>
        <v>#REF!</v>
      </c>
      <c r="C35" s="45" t="str">
        <f>IFERROR(Conso!#REF!&amp;"/"&amp;Conso!#REF!,"")</f>
        <v/>
      </c>
      <c r="D35" s="46" t="str">
        <f>IFERROR(INDEX(Notes!$I$9:$N$14,7-VLOOKUP(Conso!#REF!,Notes!$D$2:$E$7,2,FALSE),VLOOKUP(Conso!#REF!,Notes!$A$2:$B$7,2,FALSE)),"")</f>
        <v/>
      </c>
      <c r="E35" s="44" t="str">
        <f>IFERROR(Conso!#REF!,"")</f>
        <v/>
      </c>
      <c r="F35" s="44" t="str">
        <f>IFERROR(INDEX(Notes!$S$10:$V$13,5-VLOOKUP(D35,Notes!$G$2:$H$5,2,FALSE),VLOOKUP('Tableau des risques net'!E35,Notes!$J$2:$K$5,2,FALSE)),"")</f>
        <v/>
      </c>
      <c r="G35" s="162" t="s">
        <v>790</v>
      </c>
    </row>
    <row r="36" spans="1:7" ht="24.95" customHeight="1">
      <c r="A36" s="157" t="s">
        <v>750</v>
      </c>
      <c r="B36" s="43" t="e">
        <f>#REF!</f>
        <v>#REF!</v>
      </c>
      <c r="C36" s="45" t="str">
        <f>IFERROR(Conso!#REF!&amp;"/"&amp;Conso!#REF!,"")</f>
        <v/>
      </c>
      <c r="D36" s="46" t="str">
        <f>IFERROR(INDEX(Notes!$I$9:$N$14,7-VLOOKUP(Conso!#REF!,Notes!$D$2:$E$7,2,FALSE),VLOOKUP(Conso!#REF!,Notes!$A$2:$B$7,2,FALSE)),"")</f>
        <v/>
      </c>
      <c r="E36" s="44" t="str">
        <f>IFERROR(Conso!#REF!,"")</f>
        <v/>
      </c>
      <c r="F36" s="44" t="str">
        <f>IFERROR(INDEX(Notes!$S$10:$V$13,5-VLOOKUP(D36,Notes!$G$2:$H$5,2,FALSE),VLOOKUP('Tableau des risques net'!E36,Notes!$J$2:$K$5,2,FALSE)),"")</f>
        <v/>
      </c>
      <c r="G36" s="162" t="s">
        <v>791</v>
      </c>
    </row>
    <row r="37" spans="1:7" ht="24.95" customHeight="1">
      <c r="A37" s="157" t="s">
        <v>751</v>
      </c>
      <c r="B37" s="43" t="e">
        <f>#REF!</f>
        <v>#REF!</v>
      </c>
      <c r="C37" s="45" t="str">
        <f>IFERROR(Conso!#REF!&amp;"/"&amp;Conso!#REF!,"")</f>
        <v/>
      </c>
      <c r="D37" s="46" t="str">
        <f>IFERROR(INDEX(Notes!$I$9:$N$14,7-VLOOKUP(Conso!#REF!,Notes!$D$2:$E$7,2,FALSE),VLOOKUP(Conso!#REF!,Notes!$A$2:$B$7,2,FALSE)),"")</f>
        <v/>
      </c>
      <c r="E37" s="44" t="str">
        <f>IFERROR(Conso!#REF!,"")</f>
        <v/>
      </c>
      <c r="F37" s="44" t="str">
        <f>IFERROR(INDEX(Notes!$S$10:$V$13,5-VLOOKUP(D37,Notes!$G$2:$H$5,2,FALSE),VLOOKUP('Tableau des risques net'!E37,Notes!$J$2:$K$5,2,FALSE)),"")</f>
        <v/>
      </c>
      <c r="G37" s="162" t="s">
        <v>792</v>
      </c>
    </row>
    <row r="38" spans="1:7" ht="24.95" customHeight="1">
      <c r="A38" s="157" t="s">
        <v>752</v>
      </c>
      <c r="B38" s="43" t="e">
        <f>#REF!</f>
        <v>#REF!</v>
      </c>
      <c r="C38" s="45" t="str">
        <f>IFERROR(Conso!#REF!&amp;"/"&amp;Conso!#REF!,"")</f>
        <v/>
      </c>
      <c r="D38" s="46" t="str">
        <f>IFERROR(INDEX(Notes!$I$9:$N$14,7-VLOOKUP(Conso!#REF!,Notes!$D$2:$E$7,2,FALSE),VLOOKUP(Conso!#REF!,Notes!$A$2:$B$7,2,FALSE)),"")</f>
        <v/>
      </c>
      <c r="E38" s="44" t="str">
        <f>IFERROR(Conso!#REF!,"")</f>
        <v/>
      </c>
      <c r="F38" s="44" t="str">
        <f>IFERROR(INDEX(Notes!$S$10:$V$13,5-VLOOKUP(D38,Notes!$G$2:$H$5,2,FALSE),VLOOKUP('Tableau des risques net'!E38,Notes!$J$2:$K$5,2,FALSE)),"")</f>
        <v/>
      </c>
      <c r="G38" s="162" t="s">
        <v>793</v>
      </c>
    </row>
    <row r="39" spans="1:7" ht="24.95" customHeight="1">
      <c r="A39" s="157" t="s">
        <v>753</v>
      </c>
      <c r="B39" s="43" t="e">
        <f>#REF!</f>
        <v>#REF!</v>
      </c>
      <c r="C39" s="45" t="str">
        <f>IFERROR(Conso!#REF!&amp;"/"&amp;Conso!#REF!,"")</f>
        <v/>
      </c>
      <c r="D39" s="46" t="str">
        <f>IFERROR(INDEX(Notes!$I$9:$N$14,7-VLOOKUP(Conso!#REF!,Notes!$D$2:$E$7,2,FALSE),VLOOKUP(Conso!#REF!,Notes!$A$2:$B$7,2,FALSE)),"")</f>
        <v/>
      </c>
      <c r="E39" s="44" t="str">
        <f>IFERROR(Conso!#REF!,"")</f>
        <v/>
      </c>
      <c r="F39" s="44" t="str">
        <f>IFERROR(INDEX(Notes!$S$10:$V$13,5-VLOOKUP(D39,Notes!$G$2:$H$5,2,FALSE),VLOOKUP('Tableau des risques net'!E39,Notes!$J$2:$K$5,2,FALSE)),"")</f>
        <v/>
      </c>
      <c r="G39" s="162" t="s">
        <v>794</v>
      </c>
    </row>
    <row r="40" spans="1:7" ht="24.95" customHeight="1">
      <c r="A40" s="157" t="s">
        <v>754</v>
      </c>
      <c r="B40" s="43" t="e">
        <f>#REF!</f>
        <v>#REF!</v>
      </c>
      <c r="C40" s="45" t="str">
        <f>IFERROR(Conso!#REF!&amp;"/"&amp;Conso!#REF!,"")</f>
        <v/>
      </c>
      <c r="D40" s="46" t="str">
        <f>IFERROR(INDEX(Notes!$I$9:$N$14,7-VLOOKUP(Conso!#REF!,Notes!$D$2:$E$7,2,FALSE),VLOOKUP(Conso!#REF!,Notes!$A$2:$B$7,2,FALSE)),"")</f>
        <v/>
      </c>
      <c r="E40" s="44" t="str">
        <f>IFERROR(Conso!#REF!,"")</f>
        <v/>
      </c>
      <c r="F40" s="44" t="str">
        <f>IFERROR(INDEX(Notes!$S$10:$V$13,5-VLOOKUP(D40,Notes!$G$2:$H$5,2,FALSE),VLOOKUP('Tableau des risques net'!E40,Notes!$J$2:$K$5,2,FALSE)),"")</f>
        <v/>
      </c>
      <c r="G40" s="162" t="s">
        <v>795</v>
      </c>
    </row>
    <row r="41" spans="1:7" ht="24.95" customHeight="1">
      <c r="A41" s="157" t="s">
        <v>755</v>
      </c>
      <c r="B41" s="43" t="e">
        <f>#REF!</f>
        <v>#REF!</v>
      </c>
      <c r="C41" s="45" t="str">
        <f>IFERROR(Conso!#REF!&amp;"/"&amp;Conso!#REF!,"")</f>
        <v/>
      </c>
      <c r="D41" s="46" t="str">
        <f>IFERROR(INDEX(Notes!$I$9:$N$14,7-VLOOKUP(Conso!#REF!,Notes!$D$2:$E$7,2,FALSE),VLOOKUP(Conso!#REF!,Notes!$A$2:$B$7,2,FALSE)),"")</f>
        <v/>
      </c>
      <c r="E41" s="44" t="str">
        <f>IFERROR(Conso!#REF!,"")</f>
        <v/>
      </c>
      <c r="F41" s="44" t="str">
        <f>IFERROR(INDEX(Notes!$S$10:$V$13,5-VLOOKUP(D41,Notes!$G$2:$H$5,2,FALSE),VLOOKUP('Tableau des risques net'!E41,Notes!$J$2:$K$5,2,FALSE)),"")</f>
        <v/>
      </c>
      <c r="G41" s="162" t="s">
        <v>796</v>
      </c>
    </row>
  </sheetData>
  <autoFilter ref="A1:G1"/>
  <conditionalFormatting sqref="C3:D41">
    <cfRule type="expression" dxfId="30" priority="11">
      <formula>$D3="Très Elevé"</formula>
    </cfRule>
    <cfRule type="expression" dxfId="29" priority="12">
      <formula>$D3="Elevé"</formula>
    </cfRule>
    <cfRule type="expression" dxfId="28" priority="13">
      <formula>$D3="Modéré"</formula>
    </cfRule>
    <cfRule type="expression" dxfId="27" priority="14">
      <formula>$D3="Mineur"</formula>
    </cfRule>
  </conditionalFormatting>
  <conditionalFormatting sqref="E3:E41">
    <cfRule type="cellIs" dxfId="26" priority="7" operator="equal">
      <formula>"Maîtrisé"</formula>
    </cfRule>
    <cfRule type="cellIs" dxfId="25" priority="8" operator="equal">
      <formula>"Acceptable"</formula>
    </cfRule>
    <cfRule type="cellIs" dxfId="24" priority="9" operator="equal">
      <formula>"Faible"</formula>
    </cfRule>
    <cfRule type="cellIs" dxfId="23" priority="10" operator="equal">
      <formula>"Insuffisant"</formula>
    </cfRule>
  </conditionalFormatting>
  <conditionalFormatting sqref="F3:F41">
    <cfRule type="cellIs" dxfId="22" priority="1" operator="equal">
      <formula>"Criticité Très élevée"</formula>
    </cfRule>
    <cfRule type="cellIs" dxfId="21" priority="2" operator="equal">
      <formula>"Criticité elevée"</formula>
    </cfRule>
    <cfRule type="cellIs" dxfId="20" priority="3" operator="equal">
      <formula>"Surveillance Modérée"</formula>
    </cfRule>
    <cfRule type="cellIs" dxfId="19" priority="4" operator="equal">
      <formula>"Surveillance à renforcer"</formula>
    </cfRule>
    <cfRule type="cellIs" dxfId="18" priority="5" operator="equal">
      <formula>"Surveillance modérée"</formula>
    </cfRule>
    <cfRule type="cellIs" dxfId="17" priority="6" operator="equal">
      <formula>"Surveillance Faible"</formula>
    </cfRule>
  </conditionalFormatting>
  <pageMargins left="0.27" right="0.5" top="0.5" bottom="0.39" header="0.33" footer="0.21"/>
  <pageSetup paperSize="9" scale="38" orientation="landscape" r:id="rId1"/>
  <headerFooter alignWithMargins="0">
    <oddHeader>&amp;R&amp;"Arial,Italique"&amp;8&amp;D</oddHeader>
  </headerFooter>
</worksheet>
</file>

<file path=xl/worksheets/sheet7.xml><?xml version="1.0" encoding="utf-8"?>
<worksheet xmlns="http://schemas.openxmlformats.org/spreadsheetml/2006/main" xmlns:r="http://schemas.openxmlformats.org/officeDocument/2006/relationships">
  <sheetPr codeName="Feuil10">
    <tabColor theme="9" tint="-0.499984740745262"/>
  </sheetPr>
  <dimension ref="A3:I222"/>
  <sheetViews>
    <sheetView showGridLines="0" topLeftCell="A163" zoomScaleNormal="100" workbookViewId="0">
      <selection activeCell="G32" sqref="G32"/>
    </sheetView>
  </sheetViews>
  <sheetFormatPr baseColWidth="10" defaultRowHeight="15"/>
  <cols>
    <col min="1" max="1" width="10.7109375" style="67" customWidth="1"/>
    <col min="2" max="8" width="18.28515625" style="67" customWidth="1"/>
    <col min="9" max="9" width="15.7109375" style="67" customWidth="1"/>
    <col min="10" max="16384" width="11.42578125" style="67"/>
  </cols>
  <sheetData>
    <row r="3" spans="2:9" ht="33.75">
      <c r="B3" s="314" t="s">
        <v>248</v>
      </c>
      <c r="C3" s="314"/>
      <c r="D3" s="314"/>
      <c r="E3" s="314"/>
      <c r="F3" s="314"/>
      <c r="G3" s="314"/>
      <c r="H3" s="314"/>
      <c r="I3" s="79"/>
    </row>
    <row r="4" spans="2:9">
      <c r="D4" s="80"/>
      <c r="E4" s="80"/>
      <c r="F4" s="80"/>
      <c r="G4" s="80"/>
      <c r="H4" s="80"/>
      <c r="I4" s="80"/>
    </row>
    <row r="5" spans="2:9">
      <c r="D5" s="80"/>
      <c r="E5" s="80"/>
      <c r="F5" s="80"/>
      <c r="G5" s="80"/>
      <c r="H5" s="80"/>
      <c r="I5" s="80"/>
    </row>
    <row r="6" spans="2:9" ht="33.75">
      <c r="B6" s="314" t="s">
        <v>249</v>
      </c>
      <c r="C6" s="314"/>
      <c r="D6" s="314"/>
      <c r="E6" s="314"/>
      <c r="F6" s="314"/>
      <c r="G6" s="314"/>
      <c r="H6" s="314"/>
      <c r="I6" s="79"/>
    </row>
    <row r="7" spans="2:9">
      <c r="D7" s="80"/>
      <c r="E7" s="80"/>
      <c r="F7" s="80"/>
      <c r="G7" s="80"/>
      <c r="H7" s="80"/>
      <c r="I7" s="80"/>
    </row>
    <row r="8" spans="2:9">
      <c r="D8" s="80"/>
      <c r="E8" s="80"/>
      <c r="F8" s="80"/>
      <c r="G8" s="80"/>
      <c r="H8" s="80"/>
      <c r="I8" s="80"/>
    </row>
    <row r="9" spans="2:9" ht="33.75">
      <c r="B9" s="314" t="s">
        <v>250</v>
      </c>
      <c r="C9" s="314"/>
      <c r="D9" s="314"/>
      <c r="E9" s="314"/>
      <c r="F9" s="314"/>
      <c r="G9" s="314"/>
      <c r="H9" s="314"/>
      <c r="I9" s="79"/>
    </row>
    <row r="20" spans="2:9" ht="15.75" thickBot="1"/>
    <row r="21" spans="2:9" ht="14.45" customHeight="1">
      <c r="B21" s="315" t="s">
        <v>251</v>
      </c>
      <c r="C21" s="316"/>
      <c r="D21" s="316"/>
      <c r="E21" s="316"/>
      <c r="F21" s="316"/>
      <c r="G21" s="316"/>
      <c r="H21" s="317"/>
      <c r="I21" s="321" t="s">
        <v>252</v>
      </c>
    </row>
    <row r="22" spans="2:9">
      <c r="B22" s="318"/>
      <c r="C22" s="319"/>
      <c r="D22" s="319"/>
      <c r="E22" s="319"/>
      <c r="F22" s="319"/>
      <c r="G22" s="319"/>
      <c r="H22" s="320"/>
      <c r="I22" s="321"/>
    </row>
    <row r="23" spans="2:9">
      <c r="B23" s="81"/>
      <c r="C23" s="82"/>
      <c r="D23" s="82"/>
      <c r="E23" s="82"/>
      <c r="F23" s="83"/>
      <c r="G23" s="83"/>
      <c r="H23" s="84"/>
      <c r="I23" s="321"/>
    </row>
    <row r="24" spans="2:9">
      <c r="B24" s="85"/>
      <c r="C24" s="322" t="s">
        <v>253</v>
      </c>
      <c r="D24" s="322"/>
      <c r="E24" s="322"/>
      <c r="F24" s="322"/>
      <c r="G24" s="322"/>
      <c r="H24" s="323"/>
      <c r="I24" s="321"/>
    </row>
    <row r="25" spans="2:9">
      <c r="B25" s="86"/>
      <c r="C25" s="324" t="s">
        <v>8</v>
      </c>
      <c r="D25" s="326" t="s">
        <v>9</v>
      </c>
      <c r="E25" s="328" t="s">
        <v>10</v>
      </c>
      <c r="F25" s="330" t="s">
        <v>254</v>
      </c>
      <c r="G25" s="332" t="s">
        <v>12</v>
      </c>
      <c r="H25" s="334" t="s">
        <v>13</v>
      </c>
      <c r="I25" s="321"/>
    </row>
    <row r="26" spans="2:9" ht="15.75" thickBot="1">
      <c r="B26" s="87"/>
      <c r="C26" s="325"/>
      <c r="D26" s="327"/>
      <c r="E26" s="329"/>
      <c r="F26" s="331"/>
      <c r="G26" s="333"/>
      <c r="H26" s="335"/>
      <c r="I26" s="321"/>
    </row>
    <row r="27" spans="2:9" ht="72">
      <c r="B27" s="336" t="s">
        <v>39</v>
      </c>
      <c r="C27" s="88" t="s">
        <v>255</v>
      </c>
      <c r="D27" s="88" t="s">
        <v>256</v>
      </c>
      <c r="E27" s="89" t="s">
        <v>257</v>
      </c>
      <c r="F27" s="89" t="s">
        <v>258</v>
      </c>
      <c r="G27" s="88" t="s">
        <v>259</v>
      </c>
      <c r="H27" s="90" t="s">
        <v>260</v>
      </c>
      <c r="I27" s="321"/>
    </row>
    <row r="28" spans="2:9" ht="24">
      <c r="B28" s="337"/>
      <c r="C28" s="91" t="s">
        <v>261</v>
      </c>
      <c r="D28" s="91" t="s">
        <v>262</v>
      </c>
      <c r="E28" s="92" t="s">
        <v>263</v>
      </c>
      <c r="F28" s="92" t="s">
        <v>264</v>
      </c>
      <c r="G28" s="91" t="s">
        <v>265</v>
      </c>
      <c r="H28" s="93" t="s">
        <v>266</v>
      </c>
      <c r="I28" s="321"/>
    </row>
    <row r="29" spans="2:9" ht="36">
      <c r="B29" s="337"/>
      <c r="C29" s="91" t="s">
        <v>267</v>
      </c>
      <c r="D29" s="91" t="s">
        <v>268</v>
      </c>
      <c r="E29" s="92" t="s">
        <v>269</v>
      </c>
      <c r="F29" s="92" t="s">
        <v>270</v>
      </c>
      <c r="G29" s="91" t="s">
        <v>271</v>
      </c>
      <c r="H29" s="93" t="s">
        <v>272</v>
      </c>
      <c r="I29" s="321"/>
    </row>
    <row r="30" spans="2:9">
      <c r="B30" s="337"/>
      <c r="C30" s="94" t="s">
        <v>273</v>
      </c>
      <c r="D30" s="94" t="s">
        <v>274</v>
      </c>
      <c r="E30" s="95" t="s">
        <v>275</v>
      </c>
      <c r="F30" s="95" t="s">
        <v>276</v>
      </c>
      <c r="G30" s="94" t="s">
        <v>277</v>
      </c>
      <c r="H30" s="96" t="s">
        <v>278</v>
      </c>
      <c r="I30" s="321"/>
    </row>
    <row r="31" spans="2:9" ht="24">
      <c r="B31" s="337"/>
      <c r="C31" s="97" t="s">
        <v>279</v>
      </c>
      <c r="D31" s="97" t="s">
        <v>280</v>
      </c>
      <c r="E31" s="98" t="s">
        <v>281</v>
      </c>
      <c r="F31" s="98" t="s">
        <v>282</v>
      </c>
      <c r="G31" s="98" t="s">
        <v>283</v>
      </c>
      <c r="H31" s="99" t="s">
        <v>284</v>
      </c>
      <c r="I31" s="321"/>
    </row>
    <row r="32" spans="2:9" ht="24.75" thickBot="1">
      <c r="B32" s="337"/>
      <c r="C32" s="97" t="s">
        <v>285</v>
      </c>
      <c r="D32" s="97" t="s">
        <v>286</v>
      </c>
      <c r="E32" s="97" t="s">
        <v>287</v>
      </c>
      <c r="F32" s="97" t="s">
        <v>288</v>
      </c>
      <c r="G32" s="97" t="s">
        <v>289</v>
      </c>
      <c r="H32" s="100" t="s">
        <v>290</v>
      </c>
      <c r="I32" s="321"/>
    </row>
    <row r="33" spans="2:9" ht="36">
      <c r="B33" s="336" t="s">
        <v>291</v>
      </c>
      <c r="C33" s="101" t="s">
        <v>292</v>
      </c>
      <c r="D33" s="101" t="s">
        <v>293</v>
      </c>
      <c r="E33" s="102" t="s">
        <v>294</v>
      </c>
      <c r="F33" s="102" t="s">
        <v>295</v>
      </c>
      <c r="G33" s="101" t="s">
        <v>296</v>
      </c>
      <c r="H33" s="103" t="s">
        <v>297</v>
      </c>
      <c r="I33" s="321"/>
    </row>
    <row r="34" spans="2:9" ht="72">
      <c r="B34" s="337"/>
      <c r="C34" s="104" t="s">
        <v>298</v>
      </c>
      <c r="D34" s="104" t="s">
        <v>299</v>
      </c>
      <c r="E34" s="92" t="s">
        <v>300</v>
      </c>
      <c r="F34" s="92" t="s">
        <v>301</v>
      </c>
      <c r="G34" s="104" t="s">
        <v>302</v>
      </c>
      <c r="H34" s="99" t="s">
        <v>303</v>
      </c>
      <c r="I34" s="321"/>
    </row>
    <row r="35" spans="2:9" ht="36">
      <c r="B35" s="337"/>
      <c r="C35" s="105" t="s">
        <v>304</v>
      </c>
      <c r="D35" s="105" t="s">
        <v>305</v>
      </c>
      <c r="E35" s="92" t="s">
        <v>306</v>
      </c>
      <c r="F35" s="92" t="s">
        <v>307</v>
      </c>
      <c r="G35" s="105" t="s">
        <v>308</v>
      </c>
      <c r="H35" s="106" t="s">
        <v>309</v>
      </c>
      <c r="I35" s="321"/>
    </row>
    <row r="36" spans="2:9" ht="36">
      <c r="B36" s="337"/>
      <c r="C36" s="105" t="s">
        <v>310</v>
      </c>
      <c r="D36" s="105" t="s">
        <v>311</v>
      </c>
      <c r="E36" s="92" t="s">
        <v>312</v>
      </c>
      <c r="F36" s="92" t="s">
        <v>313</v>
      </c>
      <c r="G36" s="105" t="s">
        <v>314</v>
      </c>
      <c r="H36" s="106" t="s">
        <v>315</v>
      </c>
      <c r="I36" s="321"/>
    </row>
    <row r="37" spans="2:9" ht="72.75" thickBot="1">
      <c r="B37" s="338"/>
      <c r="C37" s="107" t="s">
        <v>316</v>
      </c>
      <c r="D37" s="107" t="s">
        <v>317</v>
      </c>
      <c r="E37" s="108" t="s">
        <v>318</v>
      </c>
      <c r="F37" s="108" t="s">
        <v>319</v>
      </c>
      <c r="G37" s="109" t="s">
        <v>320</v>
      </c>
      <c r="H37" s="100" t="s">
        <v>321</v>
      </c>
      <c r="I37" s="321"/>
    </row>
    <row r="38" spans="2:9" ht="84">
      <c r="B38" s="339" t="s">
        <v>322</v>
      </c>
      <c r="C38" s="101" t="s">
        <v>323</v>
      </c>
      <c r="D38" s="101" t="s">
        <v>324</v>
      </c>
      <c r="E38" s="101" t="s">
        <v>325</v>
      </c>
      <c r="F38" s="102" t="s">
        <v>326</v>
      </c>
      <c r="G38" s="342" t="s">
        <v>327</v>
      </c>
      <c r="H38" s="345" t="s">
        <v>328</v>
      </c>
      <c r="I38" s="321"/>
    </row>
    <row r="39" spans="2:9">
      <c r="B39" s="340"/>
      <c r="C39" s="348" t="s">
        <v>329</v>
      </c>
      <c r="D39" s="348" t="s">
        <v>330</v>
      </c>
      <c r="E39" s="348" t="s">
        <v>331</v>
      </c>
      <c r="F39" s="348" t="s">
        <v>332</v>
      </c>
      <c r="G39" s="343"/>
      <c r="H39" s="346"/>
      <c r="I39" s="321"/>
    </row>
    <row r="40" spans="2:9" ht="51.6" customHeight="1" thickBot="1">
      <c r="B40" s="341"/>
      <c r="C40" s="349"/>
      <c r="D40" s="349"/>
      <c r="E40" s="349"/>
      <c r="F40" s="349"/>
      <c r="G40" s="344"/>
      <c r="H40" s="347"/>
      <c r="I40" s="321"/>
    </row>
    <row r="41" spans="2:9" ht="60">
      <c r="B41" s="336" t="s">
        <v>333</v>
      </c>
      <c r="C41" s="350" t="s">
        <v>334</v>
      </c>
      <c r="D41" s="101" t="s">
        <v>335</v>
      </c>
      <c r="E41" s="101" t="s">
        <v>336</v>
      </c>
      <c r="F41" s="101" t="s">
        <v>337</v>
      </c>
      <c r="G41" s="101" t="s">
        <v>338</v>
      </c>
      <c r="H41" s="345" t="s">
        <v>339</v>
      </c>
      <c r="I41" s="321"/>
    </row>
    <row r="42" spans="2:9" ht="60">
      <c r="B42" s="337"/>
      <c r="C42" s="351"/>
      <c r="D42" s="348" t="s">
        <v>340</v>
      </c>
      <c r="E42" s="348" t="s">
        <v>341</v>
      </c>
      <c r="F42" s="348" t="s">
        <v>342</v>
      </c>
      <c r="G42" s="105" t="s">
        <v>343</v>
      </c>
      <c r="H42" s="346"/>
      <c r="I42" s="321"/>
    </row>
    <row r="43" spans="2:9" ht="24">
      <c r="B43" s="337"/>
      <c r="C43" s="351"/>
      <c r="D43" s="351"/>
      <c r="E43" s="351"/>
      <c r="F43" s="352"/>
      <c r="G43" s="105" t="s">
        <v>344</v>
      </c>
      <c r="H43" s="346"/>
      <c r="I43" s="321"/>
    </row>
    <row r="44" spans="2:9" ht="60.75" thickBot="1">
      <c r="B44" s="338"/>
      <c r="C44" s="349"/>
      <c r="D44" s="349"/>
      <c r="E44" s="349"/>
      <c r="F44" s="107" t="s">
        <v>345</v>
      </c>
      <c r="G44" s="107" t="s">
        <v>346</v>
      </c>
      <c r="H44" s="347"/>
      <c r="I44" s="321"/>
    </row>
    <row r="45" spans="2:9">
      <c r="B45" s="110"/>
      <c r="C45" s="102"/>
      <c r="D45" s="102"/>
      <c r="E45" s="102"/>
      <c r="F45" s="102"/>
      <c r="G45" s="102"/>
      <c r="H45" s="103"/>
      <c r="I45" s="321"/>
    </row>
    <row r="46" spans="2:9" ht="24">
      <c r="B46" s="111"/>
      <c r="C46" s="112" t="s">
        <v>347</v>
      </c>
      <c r="D46" s="113" t="s">
        <v>348</v>
      </c>
      <c r="E46" s="114" t="s">
        <v>349</v>
      </c>
      <c r="F46" s="115" t="s">
        <v>350</v>
      </c>
      <c r="G46" s="116" t="s">
        <v>351</v>
      </c>
      <c r="H46" s="117" t="s">
        <v>352</v>
      </c>
      <c r="I46" s="321"/>
    </row>
    <row r="47" spans="2:9" ht="211.9" customHeight="1">
      <c r="B47" s="118" t="s">
        <v>353</v>
      </c>
      <c r="C47" s="119" t="s">
        <v>354</v>
      </c>
      <c r="D47" s="119" t="s">
        <v>355</v>
      </c>
      <c r="E47" s="119" t="s">
        <v>356</v>
      </c>
      <c r="F47" s="119" t="s">
        <v>357</v>
      </c>
      <c r="G47" s="119" t="s">
        <v>358</v>
      </c>
      <c r="H47" s="120" t="s">
        <v>359</v>
      </c>
      <c r="I47" s="321"/>
    </row>
    <row r="48" spans="2:9" ht="37.15" customHeight="1">
      <c r="B48" s="354" t="s">
        <v>360</v>
      </c>
      <c r="C48" s="354"/>
      <c r="D48" s="354"/>
      <c r="E48" s="354"/>
      <c r="F48" s="354"/>
      <c r="G48" s="354"/>
      <c r="H48" s="354"/>
      <c r="I48" s="354"/>
    </row>
    <row r="53" spans="1:9" ht="3" customHeight="1"/>
    <row r="54" spans="1:9" s="121" customFormat="1" ht="37.9" customHeight="1">
      <c r="A54" s="355" t="s">
        <v>361</v>
      </c>
      <c r="B54" s="355"/>
      <c r="C54" s="355"/>
      <c r="D54" s="355" t="s">
        <v>362</v>
      </c>
      <c r="E54" s="355"/>
      <c r="F54" s="355" t="s">
        <v>363</v>
      </c>
      <c r="G54" s="355"/>
      <c r="H54" s="356"/>
      <c r="I54" s="321" t="s">
        <v>364</v>
      </c>
    </row>
    <row r="55" spans="1:9" ht="16.899999999999999" customHeight="1">
      <c r="A55" s="122" t="s">
        <v>365</v>
      </c>
      <c r="B55" s="122"/>
      <c r="C55" s="122"/>
      <c r="D55" s="122" t="s">
        <v>366</v>
      </c>
      <c r="E55" s="122"/>
      <c r="F55" s="122" t="s">
        <v>367</v>
      </c>
      <c r="G55" s="122"/>
      <c r="H55" s="122"/>
      <c r="I55" s="321"/>
    </row>
    <row r="56" spans="1:9" ht="16.899999999999999" customHeight="1">
      <c r="A56" s="122" t="s">
        <v>365</v>
      </c>
      <c r="B56" s="122"/>
      <c r="C56" s="122"/>
      <c r="D56" s="122" t="s">
        <v>368</v>
      </c>
      <c r="E56" s="122"/>
      <c r="F56" s="122" t="s">
        <v>369</v>
      </c>
      <c r="G56" s="122"/>
      <c r="H56" s="122"/>
      <c r="I56" s="321"/>
    </row>
    <row r="57" spans="1:9" ht="16.899999999999999" customHeight="1">
      <c r="A57" s="122" t="s">
        <v>365</v>
      </c>
      <c r="B57" s="122"/>
      <c r="C57" s="122"/>
      <c r="D57" s="122" t="s">
        <v>368</v>
      </c>
      <c r="E57" s="122"/>
      <c r="F57" s="122" t="s">
        <v>370</v>
      </c>
      <c r="G57" s="122"/>
      <c r="H57" s="122"/>
      <c r="I57" s="321"/>
    </row>
    <row r="58" spans="1:9" ht="16.899999999999999" customHeight="1">
      <c r="A58" s="122" t="s">
        <v>365</v>
      </c>
      <c r="B58" s="122"/>
      <c r="C58" s="122"/>
      <c r="D58" s="122" t="s">
        <v>371</v>
      </c>
      <c r="E58" s="122"/>
      <c r="F58" s="122" t="s">
        <v>372</v>
      </c>
      <c r="G58" s="122"/>
      <c r="H58" s="122"/>
      <c r="I58" s="321"/>
    </row>
    <row r="59" spans="1:9" ht="16.899999999999999" customHeight="1">
      <c r="A59" s="122" t="s">
        <v>365</v>
      </c>
      <c r="B59" s="122"/>
      <c r="C59" s="122"/>
      <c r="D59" s="122" t="s">
        <v>371</v>
      </c>
      <c r="E59" s="122"/>
      <c r="F59" s="122" t="s">
        <v>373</v>
      </c>
      <c r="G59" s="122"/>
      <c r="H59" s="122"/>
      <c r="I59" s="321"/>
    </row>
    <row r="60" spans="1:9" ht="16.899999999999999" customHeight="1">
      <c r="A60" s="122" t="s">
        <v>365</v>
      </c>
      <c r="B60" s="122"/>
      <c r="C60" s="122"/>
      <c r="D60" s="122" t="s">
        <v>371</v>
      </c>
      <c r="E60" s="122"/>
      <c r="F60" s="122" t="s">
        <v>374</v>
      </c>
      <c r="G60" s="122"/>
      <c r="H60" s="122"/>
      <c r="I60" s="321"/>
    </row>
    <row r="61" spans="1:9" ht="16.899999999999999" customHeight="1">
      <c r="A61" s="122" t="s">
        <v>365</v>
      </c>
      <c r="B61" s="122"/>
      <c r="C61" s="122"/>
      <c r="D61" s="122" t="s">
        <v>375</v>
      </c>
      <c r="E61" s="122"/>
      <c r="F61" s="122" t="s">
        <v>376</v>
      </c>
      <c r="G61" s="122"/>
      <c r="H61" s="122"/>
      <c r="I61" s="321"/>
    </row>
    <row r="62" spans="1:9" ht="16.899999999999999" customHeight="1">
      <c r="A62" s="122" t="s">
        <v>365</v>
      </c>
      <c r="B62" s="122"/>
      <c r="C62" s="122"/>
      <c r="D62" s="122" t="s">
        <v>377</v>
      </c>
      <c r="E62" s="122"/>
      <c r="F62" s="122" t="s">
        <v>378</v>
      </c>
      <c r="G62" s="122"/>
      <c r="H62" s="122"/>
      <c r="I62" s="321"/>
    </row>
    <row r="63" spans="1:9" ht="16.899999999999999" customHeight="1">
      <c r="A63" s="122" t="s">
        <v>365</v>
      </c>
      <c r="B63" s="122"/>
      <c r="C63" s="122"/>
      <c r="D63" s="122" t="s">
        <v>377</v>
      </c>
      <c r="E63" s="122"/>
      <c r="F63" s="122" t="s">
        <v>379</v>
      </c>
      <c r="G63" s="122"/>
      <c r="H63" s="122"/>
      <c r="I63" s="321"/>
    </row>
    <row r="64" spans="1:9" ht="16.899999999999999" customHeight="1">
      <c r="A64" s="122" t="s">
        <v>380</v>
      </c>
      <c r="B64" s="122"/>
      <c r="C64" s="122"/>
      <c r="D64" s="122" t="s">
        <v>381</v>
      </c>
      <c r="E64" s="122"/>
      <c r="F64" s="122" t="s">
        <v>382</v>
      </c>
      <c r="G64" s="122"/>
      <c r="H64" s="122"/>
      <c r="I64" s="321"/>
    </row>
    <row r="65" spans="1:9" ht="16.899999999999999" customHeight="1">
      <c r="A65" s="122" t="s">
        <v>380</v>
      </c>
      <c r="B65" s="122"/>
      <c r="C65" s="122"/>
      <c r="D65" s="122" t="s">
        <v>383</v>
      </c>
      <c r="E65" s="122"/>
      <c r="F65" s="122" t="s">
        <v>384</v>
      </c>
      <c r="G65" s="122"/>
      <c r="H65" s="122"/>
      <c r="I65" s="321"/>
    </row>
    <row r="66" spans="1:9" ht="16.899999999999999" customHeight="1">
      <c r="A66" s="122" t="s">
        <v>380</v>
      </c>
      <c r="B66" s="122"/>
      <c r="C66" s="122"/>
      <c r="D66" s="122" t="s">
        <v>385</v>
      </c>
      <c r="E66" s="122"/>
      <c r="F66" s="122" t="s">
        <v>386</v>
      </c>
      <c r="G66" s="122"/>
      <c r="H66" s="122"/>
      <c r="I66" s="321"/>
    </row>
    <row r="67" spans="1:9" ht="16.899999999999999" customHeight="1">
      <c r="A67" s="122" t="s">
        <v>380</v>
      </c>
      <c r="B67" s="122"/>
      <c r="C67" s="122"/>
      <c r="D67" s="122" t="s">
        <v>387</v>
      </c>
      <c r="E67" s="122"/>
      <c r="F67" s="122" t="s">
        <v>388</v>
      </c>
      <c r="G67" s="122"/>
      <c r="H67" s="122"/>
      <c r="I67" s="321"/>
    </row>
    <row r="68" spans="1:9" ht="16.899999999999999" customHeight="1">
      <c r="A68" s="122" t="s">
        <v>380</v>
      </c>
      <c r="B68" s="122"/>
      <c r="C68" s="122"/>
      <c r="D68" s="122" t="s">
        <v>387</v>
      </c>
      <c r="E68" s="122"/>
      <c r="F68" s="122" t="s">
        <v>389</v>
      </c>
      <c r="G68" s="122"/>
      <c r="H68" s="122"/>
      <c r="I68" s="321"/>
    </row>
    <row r="69" spans="1:9" ht="16.899999999999999" customHeight="1">
      <c r="A69" s="122" t="s">
        <v>380</v>
      </c>
      <c r="B69" s="122"/>
      <c r="C69" s="122"/>
      <c r="D69" s="122" t="s">
        <v>387</v>
      </c>
      <c r="E69" s="122"/>
      <c r="F69" s="122" t="s">
        <v>390</v>
      </c>
      <c r="G69" s="122"/>
      <c r="H69" s="122"/>
      <c r="I69" s="321"/>
    </row>
    <row r="70" spans="1:9" ht="16.899999999999999" customHeight="1">
      <c r="A70" s="122" t="s">
        <v>391</v>
      </c>
      <c r="B70" s="122"/>
      <c r="C70" s="122"/>
      <c r="D70" s="122" t="s">
        <v>392</v>
      </c>
      <c r="E70" s="122"/>
      <c r="F70" s="122" t="s">
        <v>393</v>
      </c>
      <c r="G70" s="122"/>
      <c r="H70" s="122"/>
      <c r="I70" s="321"/>
    </row>
    <row r="71" spans="1:9" ht="16.899999999999999" customHeight="1">
      <c r="A71" s="122" t="s">
        <v>391</v>
      </c>
      <c r="B71" s="122"/>
      <c r="C71" s="122"/>
      <c r="D71" s="122" t="s">
        <v>392</v>
      </c>
      <c r="E71" s="122"/>
      <c r="F71" s="122" t="s">
        <v>394</v>
      </c>
      <c r="G71" s="122"/>
      <c r="H71" s="122"/>
      <c r="I71" s="321"/>
    </row>
    <row r="72" spans="1:9" ht="16.899999999999999" customHeight="1">
      <c r="A72" s="122" t="s">
        <v>391</v>
      </c>
      <c r="B72" s="122"/>
      <c r="C72" s="122"/>
      <c r="D72" s="122" t="s">
        <v>392</v>
      </c>
      <c r="E72" s="122"/>
      <c r="F72" s="122" t="s">
        <v>395</v>
      </c>
      <c r="G72" s="122"/>
      <c r="H72" s="122"/>
      <c r="I72" s="321"/>
    </row>
    <row r="73" spans="1:9" ht="16.899999999999999" customHeight="1">
      <c r="A73" s="122" t="s">
        <v>391</v>
      </c>
      <c r="B73" s="122"/>
      <c r="C73" s="122"/>
      <c r="D73" s="122" t="s">
        <v>392</v>
      </c>
      <c r="E73" s="122"/>
      <c r="F73" s="122" t="s">
        <v>396</v>
      </c>
      <c r="G73" s="122"/>
      <c r="H73" s="122"/>
      <c r="I73" s="321"/>
    </row>
    <row r="74" spans="1:9" ht="16.899999999999999" customHeight="1">
      <c r="A74" s="122" t="s">
        <v>397</v>
      </c>
      <c r="B74" s="122"/>
      <c r="C74" s="122"/>
      <c r="D74" s="122" t="s">
        <v>398</v>
      </c>
      <c r="E74" s="122"/>
      <c r="F74" s="122" t="s">
        <v>399</v>
      </c>
      <c r="G74" s="122"/>
      <c r="H74" s="122"/>
      <c r="I74" s="321"/>
    </row>
    <row r="75" spans="1:9" ht="16.899999999999999" customHeight="1">
      <c r="A75" s="122" t="s">
        <v>397</v>
      </c>
      <c r="B75" s="122"/>
      <c r="C75" s="122"/>
      <c r="D75" s="122" t="s">
        <v>400</v>
      </c>
      <c r="E75" s="122"/>
      <c r="F75" s="122" t="s">
        <v>401</v>
      </c>
      <c r="G75" s="122"/>
      <c r="H75" s="122"/>
      <c r="I75" s="321"/>
    </row>
    <row r="76" spans="1:9" ht="16.899999999999999" customHeight="1">
      <c r="A76" s="122" t="s">
        <v>397</v>
      </c>
      <c r="B76" s="122"/>
      <c r="C76" s="122"/>
      <c r="D76" s="122" t="s">
        <v>400</v>
      </c>
      <c r="E76" s="122"/>
      <c r="F76" s="122" t="s">
        <v>402</v>
      </c>
      <c r="G76" s="122"/>
      <c r="H76" s="122"/>
      <c r="I76" s="321"/>
    </row>
    <row r="77" spans="1:9" ht="16.899999999999999" customHeight="1">
      <c r="A77" s="122" t="s">
        <v>397</v>
      </c>
      <c r="B77" s="122"/>
      <c r="C77" s="122"/>
      <c r="D77" s="122" t="s">
        <v>400</v>
      </c>
      <c r="E77" s="122"/>
      <c r="F77" s="122" t="s">
        <v>403</v>
      </c>
      <c r="G77" s="122"/>
      <c r="H77" s="122"/>
      <c r="I77" s="321"/>
    </row>
    <row r="78" spans="1:9" ht="16.899999999999999" customHeight="1">
      <c r="A78" s="122" t="s">
        <v>404</v>
      </c>
      <c r="B78" s="122"/>
      <c r="C78" s="122"/>
      <c r="D78" s="122" t="s">
        <v>405</v>
      </c>
      <c r="E78" s="122"/>
      <c r="F78" s="122" t="s">
        <v>406</v>
      </c>
      <c r="G78" s="122"/>
      <c r="H78" s="122"/>
      <c r="I78" s="321"/>
    </row>
    <row r="79" spans="1:9" ht="16.899999999999999" customHeight="1">
      <c r="A79" s="122" t="s">
        <v>404</v>
      </c>
      <c r="B79" s="122"/>
      <c r="C79" s="122"/>
      <c r="D79" s="122" t="s">
        <v>407</v>
      </c>
      <c r="E79" s="122"/>
      <c r="F79" s="122" t="s">
        <v>408</v>
      </c>
      <c r="G79" s="122"/>
      <c r="H79" s="122"/>
      <c r="I79" s="321"/>
    </row>
    <row r="80" spans="1:9" ht="16.899999999999999" customHeight="1">
      <c r="A80" s="122" t="s">
        <v>404</v>
      </c>
      <c r="B80" s="122"/>
      <c r="C80" s="122"/>
      <c r="D80" s="122" t="s">
        <v>407</v>
      </c>
      <c r="E80" s="122"/>
      <c r="F80" s="122" t="s">
        <v>409</v>
      </c>
      <c r="G80" s="122"/>
      <c r="H80" s="122"/>
      <c r="I80" s="321"/>
    </row>
    <row r="81" spans="1:9" ht="16.899999999999999" customHeight="1">
      <c r="A81" s="122" t="s">
        <v>404</v>
      </c>
      <c r="B81" s="122"/>
      <c r="C81" s="122"/>
      <c r="D81" s="122" t="s">
        <v>407</v>
      </c>
      <c r="E81" s="122"/>
      <c r="F81" s="122" t="s">
        <v>410</v>
      </c>
      <c r="G81" s="122"/>
      <c r="H81" s="122"/>
      <c r="I81" s="321"/>
    </row>
    <row r="82" spans="1:9" ht="16.899999999999999" customHeight="1">
      <c r="A82" s="122" t="s">
        <v>404</v>
      </c>
      <c r="B82" s="122"/>
      <c r="C82" s="122"/>
      <c r="D82" s="122" t="s">
        <v>411</v>
      </c>
      <c r="E82" s="122"/>
      <c r="F82" s="122" t="s">
        <v>412</v>
      </c>
      <c r="G82" s="122"/>
      <c r="H82" s="122"/>
      <c r="I82" s="321"/>
    </row>
    <row r="83" spans="1:9" ht="16.899999999999999" customHeight="1">
      <c r="A83" s="122" t="s">
        <v>413</v>
      </c>
      <c r="B83" s="122"/>
      <c r="C83" s="122"/>
      <c r="D83" s="122" t="s">
        <v>414</v>
      </c>
      <c r="E83" s="122"/>
      <c r="F83" s="122" t="s">
        <v>415</v>
      </c>
      <c r="G83" s="122"/>
      <c r="H83" s="122"/>
      <c r="I83" s="321"/>
    </row>
    <row r="84" spans="1:9" ht="16.899999999999999" customHeight="1">
      <c r="A84" s="122" t="s">
        <v>413</v>
      </c>
      <c r="B84" s="122"/>
      <c r="C84" s="122"/>
      <c r="D84" s="122" t="s">
        <v>414</v>
      </c>
      <c r="E84" s="122"/>
      <c r="F84" s="122" t="s">
        <v>416</v>
      </c>
      <c r="G84" s="122"/>
      <c r="H84" s="122"/>
      <c r="I84" s="321"/>
    </row>
    <row r="85" spans="1:9" ht="16.899999999999999" customHeight="1">
      <c r="A85" s="122" t="s">
        <v>413</v>
      </c>
      <c r="B85" s="122"/>
      <c r="C85" s="122"/>
      <c r="D85" s="122" t="s">
        <v>417</v>
      </c>
      <c r="E85" s="122"/>
      <c r="F85" s="122" t="s">
        <v>418</v>
      </c>
      <c r="G85" s="122"/>
      <c r="H85" s="122"/>
      <c r="I85" s="321"/>
    </row>
    <row r="86" spans="1:9" ht="16.899999999999999" customHeight="1">
      <c r="A86" s="122" t="s">
        <v>413</v>
      </c>
      <c r="B86" s="122"/>
      <c r="C86" s="122"/>
      <c r="D86" s="122" t="s">
        <v>419</v>
      </c>
      <c r="E86" s="122"/>
      <c r="F86" s="122" t="s">
        <v>420</v>
      </c>
      <c r="G86" s="122"/>
      <c r="H86" s="122"/>
      <c r="I86" s="321"/>
    </row>
    <row r="87" spans="1:9" ht="16.899999999999999" customHeight="1">
      <c r="A87" s="122" t="s">
        <v>413</v>
      </c>
      <c r="B87" s="122"/>
      <c r="C87" s="122"/>
      <c r="D87" s="122" t="s">
        <v>419</v>
      </c>
      <c r="E87" s="122"/>
      <c r="F87" s="122" t="s">
        <v>421</v>
      </c>
      <c r="G87" s="122"/>
      <c r="H87" s="122"/>
      <c r="I87" s="321"/>
    </row>
    <row r="88" spans="1:9" ht="16.899999999999999" customHeight="1">
      <c r="A88" s="122" t="s">
        <v>413</v>
      </c>
      <c r="B88" s="122"/>
      <c r="C88" s="122"/>
      <c r="D88" s="122" t="s">
        <v>419</v>
      </c>
      <c r="E88" s="122"/>
      <c r="F88" s="122" t="s">
        <v>422</v>
      </c>
      <c r="G88" s="122"/>
      <c r="H88" s="122"/>
      <c r="I88" s="321"/>
    </row>
    <row r="89" spans="1:9" ht="16.899999999999999" customHeight="1">
      <c r="A89" s="122" t="s">
        <v>413</v>
      </c>
      <c r="B89" s="122"/>
      <c r="C89" s="122"/>
      <c r="D89" s="122" t="s">
        <v>423</v>
      </c>
      <c r="E89" s="122"/>
      <c r="F89" s="122" t="s">
        <v>424</v>
      </c>
      <c r="G89" s="122"/>
      <c r="H89" s="122"/>
      <c r="I89" s="321"/>
    </row>
    <row r="90" spans="1:9" ht="16.899999999999999" customHeight="1">
      <c r="A90" s="122" t="s">
        <v>413</v>
      </c>
      <c r="B90" s="122"/>
      <c r="C90" s="122"/>
      <c r="D90" s="122" t="s">
        <v>423</v>
      </c>
      <c r="E90" s="122"/>
      <c r="F90" s="122" t="s">
        <v>425</v>
      </c>
      <c r="G90" s="122"/>
      <c r="H90" s="122"/>
      <c r="I90" s="321"/>
    </row>
    <row r="91" spans="1:9" ht="16.899999999999999" customHeight="1">
      <c r="A91" s="122" t="s">
        <v>413</v>
      </c>
      <c r="B91" s="122"/>
      <c r="C91" s="122"/>
      <c r="D91" s="122" t="s">
        <v>423</v>
      </c>
      <c r="E91" s="122"/>
      <c r="F91" s="122" t="s">
        <v>426</v>
      </c>
      <c r="G91" s="122"/>
      <c r="H91" s="122"/>
      <c r="I91" s="321"/>
    </row>
    <row r="92" spans="1:9" ht="16.899999999999999" customHeight="1">
      <c r="A92" s="122" t="s">
        <v>413</v>
      </c>
      <c r="B92" s="122"/>
      <c r="C92" s="122"/>
      <c r="D92" s="122" t="s">
        <v>423</v>
      </c>
      <c r="E92" s="122"/>
      <c r="F92" s="122" t="s">
        <v>427</v>
      </c>
      <c r="G92" s="122"/>
      <c r="H92" s="122"/>
      <c r="I92" s="321"/>
    </row>
    <row r="93" spans="1:9" ht="16.899999999999999" customHeight="1">
      <c r="A93" s="122" t="s">
        <v>413</v>
      </c>
      <c r="B93" s="122"/>
      <c r="C93" s="122"/>
      <c r="D93" s="122" t="s">
        <v>428</v>
      </c>
      <c r="E93" s="122"/>
      <c r="F93" s="122" t="s">
        <v>429</v>
      </c>
      <c r="G93" s="122"/>
      <c r="H93" s="122"/>
      <c r="I93" s="321"/>
    </row>
    <row r="94" spans="1:9" ht="16.899999999999999" customHeight="1">
      <c r="A94" s="122" t="s">
        <v>413</v>
      </c>
      <c r="B94" s="122"/>
      <c r="C94" s="122"/>
      <c r="D94" s="122" t="s">
        <v>428</v>
      </c>
      <c r="E94" s="122"/>
      <c r="F94" s="122" t="s">
        <v>430</v>
      </c>
      <c r="G94" s="122"/>
      <c r="H94" s="122"/>
      <c r="I94" s="321"/>
    </row>
    <row r="95" spans="1:9" ht="16.899999999999999" customHeight="1">
      <c r="A95" s="122" t="s">
        <v>413</v>
      </c>
      <c r="B95" s="122"/>
      <c r="C95" s="122"/>
      <c r="D95" s="122" t="s">
        <v>431</v>
      </c>
      <c r="E95" s="122"/>
      <c r="F95" s="122" t="s">
        <v>432</v>
      </c>
      <c r="G95" s="122"/>
      <c r="H95" s="122"/>
      <c r="I95" s="321"/>
    </row>
    <row r="96" spans="1:9" ht="16.899999999999999" customHeight="1">
      <c r="A96" s="122" t="s">
        <v>433</v>
      </c>
      <c r="B96" s="122"/>
      <c r="C96" s="122"/>
      <c r="D96" s="122" t="s">
        <v>434</v>
      </c>
      <c r="E96" s="122"/>
      <c r="F96" s="122" t="s">
        <v>435</v>
      </c>
      <c r="G96" s="122"/>
      <c r="H96" s="122"/>
      <c r="I96" s="321"/>
    </row>
    <row r="97" spans="1:9" ht="16.899999999999999" customHeight="1">
      <c r="A97" s="122" t="s">
        <v>433</v>
      </c>
      <c r="B97" s="122"/>
      <c r="C97" s="122"/>
      <c r="D97" s="122" t="s">
        <v>434</v>
      </c>
      <c r="E97" s="122"/>
      <c r="F97" s="122" t="s">
        <v>232</v>
      </c>
      <c r="G97" s="122"/>
      <c r="H97" s="122"/>
      <c r="I97" s="321"/>
    </row>
    <row r="98" spans="1:9" ht="16.899999999999999" customHeight="1">
      <c r="A98" s="122" t="s">
        <v>433</v>
      </c>
      <c r="B98" s="122"/>
      <c r="C98" s="122"/>
      <c r="D98" s="122" t="s">
        <v>436</v>
      </c>
      <c r="E98" s="122"/>
      <c r="F98" s="122" t="s">
        <v>437</v>
      </c>
      <c r="G98" s="122"/>
      <c r="H98" s="122"/>
      <c r="I98" s="321"/>
    </row>
    <row r="99" spans="1:9" ht="16.899999999999999" customHeight="1">
      <c r="A99" s="122" t="s">
        <v>433</v>
      </c>
      <c r="B99" s="122"/>
      <c r="C99" s="122"/>
      <c r="D99" s="122" t="s">
        <v>436</v>
      </c>
      <c r="E99" s="122"/>
      <c r="F99" s="122" t="s">
        <v>438</v>
      </c>
      <c r="G99" s="122"/>
      <c r="H99" s="122"/>
      <c r="I99" s="321"/>
    </row>
    <row r="100" spans="1:9" ht="16.899999999999999" customHeight="1">
      <c r="A100" s="122" t="s">
        <v>433</v>
      </c>
      <c r="B100" s="122"/>
      <c r="C100" s="122"/>
      <c r="D100" s="122" t="s">
        <v>436</v>
      </c>
      <c r="E100" s="122"/>
      <c r="F100" s="122" t="s">
        <v>439</v>
      </c>
      <c r="G100" s="122"/>
      <c r="H100" s="122"/>
      <c r="I100" s="321"/>
    </row>
    <row r="101" spans="1:9" ht="16.899999999999999" customHeight="1">
      <c r="A101" s="122" t="s">
        <v>433</v>
      </c>
      <c r="B101" s="122"/>
      <c r="C101" s="122"/>
      <c r="D101" s="122" t="s">
        <v>436</v>
      </c>
      <c r="E101" s="122"/>
      <c r="F101" s="122" t="s">
        <v>233</v>
      </c>
      <c r="G101" s="122"/>
      <c r="H101" s="122"/>
      <c r="I101" s="321"/>
    </row>
    <row r="102" spans="1:9" ht="16.899999999999999" customHeight="1">
      <c r="A102" s="122" t="s">
        <v>433</v>
      </c>
      <c r="B102" s="122"/>
      <c r="C102" s="122"/>
      <c r="D102" s="122" t="s">
        <v>436</v>
      </c>
      <c r="E102" s="122"/>
      <c r="F102" s="122" t="s">
        <v>235</v>
      </c>
      <c r="G102" s="122"/>
      <c r="H102" s="122"/>
      <c r="I102" s="321"/>
    </row>
    <row r="103" spans="1:9" ht="16.899999999999999" customHeight="1">
      <c r="A103" s="122" t="s">
        <v>433</v>
      </c>
      <c r="B103" s="122"/>
      <c r="C103" s="122"/>
      <c r="D103" s="122" t="s">
        <v>436</v>
      </c>
      <c r="E103" s="122"/>
      <c r="F103" s="122" t="s">
        <v>440</v>
      </c>
      <c r="G103" s="122"/>
      <c r="H103" s="122"/>
      <c r="I103" s="321"/>
    </row>
    <row r="104" spans="1:9" ht="16.899999999999999" customHeight="1">
      <c r="A104" s="122" t="s">
        <v>433</v>
      </c>
      <c r="B104" s="122"/>
      <c r="C104" s="122"/>
      <c r="D104" s="122" t="s">
        <v>441</v>
      </c>
      <c r="E104" s="122"/>
      <c r="F104" s="122" t="s">
        <v>234</v>
      </c>
      <c r="G104" s="122"/>
      <c r="H104" s="122"/>
      <c r="I104" s="321"/>
    </row>
    <row r="105" spans="1:9" ht="16.899999999999999" customHeight="1">
      <c r="A105" s="122" t="s">
        <v>433</v>
      </c>
      <c r="B105" s="122"/>
      <c r="C105" s="122"/>
      <c r="D105" s="122" t="s">
        <v>441</v>
      </c>
      <c r="E105" s="122"/>
      <c r="F105" s="122" t="s">
        <v>236</v>
      </c>
      <c r="G105" s="122"/>
      <c r="H105" s="122"/>
      <c r="I105" s="321"/>
    </row>
    <row r="106" spans="1:9" ht="16.899999999999999" customHeight="1">
      <c r="A106" s="122" t="s">
        <v>442</v>
      </c>
      <c r="B106" s="122"/>
      <c r="C106" s="122"/>
      <c r="D106" s="122" t="s">
        <v>443</v>
      </c>
      <c r="E106" s="122"/>
      <c r="F106" s="122" t="s">
        <v>444</v>
      </c>
      <c r="G106" s="122"/>
      <c r="H106" s="122"/>
      <c r="I106" s="321"/>
    </row>
    <row r="107" spans="1:9" ht="16.899999999999999" customHeight="1">
      <c r="A107" s="122" t="s">
        <v>442</v>
      </c>
      <c r="B107" s="122"/>
      <c r="C107" s="122"/>
      <c r="D107" s="122" t="s">
        <v>443</v>
      </c>
      <c r="E107" s="122"/>
      <c r="F107" s="122" t="s">
        <v>445</v>
      </c>
      <c r="G107" s="122"/>
      <c r="H107" s="122"/>
      <c r="I107" s="321"/>
    </row>
    <row r="108" spans="1:9" ht="16.899999999999999" customHeight="1">
      <c r="A108" s="122" t="s">
        <v>442</v>
      </c>
      <c r="B108" s="122"/>
      <c r="C108" s="122"/>
      <c r="D108" s="122" t="s">
        <v>443</v>
      </c>
      <c r="E108" s="122"/>
      <c r="F108" s="122" t="s">
        <v>446</v>
      </c>
      <c r="G108" s="122"/>
      <c r="H108" s="122"/>
      <c r="I108" s="321"/>
    </row>
    <row r="109" spans="1:9" ht="16.899999999999999" customHeight="1">
      <c r="A109" s="122" t="s">
        <v>442</v>
      </c>
      <c r="B109" s="122"/>
      <c r="C109" s="122"/>
      <c r="D109" s="122" t="s">
        <v>443</v>
      </c>
      <c r="E109" s="122"/>
      <c r="F109" s="122" t="s">
        <v>447</v>
      </c>
      <c r="G109" s="122"/>
      <c r="H109" s="122"/>
      <c r="I109" s="321"/>
    </row>
    <row r="110" spans="1:9" ht="16.899999999999999" customHeight="1">
      <c r="A110" s="122" t="s">
        <v>442</v>
      </c>
      <c r="B110" s="122"/>
      <c r="C110" s="122"/>
      <c r="D110" s="122" t="s">
        <v>448</v>
      </c>
      <c r="E110" s="122"/>
      <c r="F110" s="122" t="s">
        <v>449</v>
      </c>
      <c r="G110" s="122"/>
      <c r="H110" s="122"/>
      <c r="I110" s="321"/>
    </row>
    <row r="111" spans="1:9" ht="16.899999999999999" customHeight="1">
      <c r="A111" s="122" t="s">
        <v>442</v>
      </c>
      <c r="B111" s="122"/>
      <c r="C111" s="122"/>
      <c r="D111" s="122" t="s">
        <v>448</v>
      </c>
      <c r="E111" s="122"/>
      <c r="F111" s="122" t="s">
        <v>450</v>
      </c>
      <c r="G111" s="122"/>
      <c r="H111" s="122"/>
      <c r="I111" s="321"/>
    </row>
    <row r="112" spans="1:9" ht="16.899999999999999" customHeight="1">
      <c r="A112" s="122" t="s">
        <v>442</v>
      </c>
      <c r="B112" s="122"/>
      <c r="C112" s="122"/>
      <c r="D112" s="122" t="s">
        <v>448</v>
      </c>
      <c r="E112" s="122"/>
      <c r="F112" s="122" t="s">
        <v>451</v>
      </c>
      <c r="G112" s="122"/>
      <c r="H112" s="122"/>
      <c r="I112" s="321"/>
    </row>
    <row r="113" spans="1:9" ht="16.899999999999999" customHeight="1">
      <c r="A113" s="122" t="s">
        <v>442</v>
      </c>
      <c r="B113" s="122"/>
      <c r="C113" s="122"/>
      <c r="D113" s="122" t="s">
        <v>448</v>
      </c>
      <c r="E113" s="122"/>
      <c r="F113" s="122" t="s">
        <v>452</v>
      </c>
      <c r="G113" s="122"/>
      <c r="H113" s="122"/>
      <c r="I113" s="321"/>
    </row>
    <row r="114" spans="1:9" ht="16.899999999999999" customHeight="1">
      <c r="A114" s="122" t="s">
        <v>442</v>
      </c>
      <c r="B114" s="122"/>
      <c r="C114" s="122"/>
      <c r="D114" s="122" t="s">
        <v>453</v>
      </c>
      <c r="E114" s="122"/>
      <c r="F114" s="122" t="s">
        <v>454</v>
      </c>
      <c r="G114" s="122"/>
      <c r="H114" s="122"/>
      <c r="I114" s="321"/>
    </row>
    <row r="115" spans="1:9" ht="16.899999999999999" customHeight="1">
      <c r="A115" s="122" t="s">
        <v>455</v>
      </c>
      <c r="B115" s="122"/>
      <c r="C115" s="122"/>
      <c r="D115" s="122" t="s">
        <v>456</v>
      </c>
      <c r="E115" s="122"/>
      <c r="F115" s="122" t="s">
        <v>457</v>
      </c>
      <c r="G115" s="122"/>
      <c r="H115" s="122"/>
      <c r="I115" s="321"/>
    </row>
    <row r="116" spans="1:9" ht="16.899999999999999" customHeight="1">
      <c r="A116" s="122" t="s">
        <v>455</v>
      </c>
      <c r="B116" s="122"/>
      <c r="C116" s="122"/>
      <c r="D116" s="122" t="s">
        <v>456</v>
      </c>
      <c r="E116" s="122"/>
      <c r="F116" s="122" t="s">
        <v>458</v>
      </c>
      <c r="G116" s="122"/>
      <c r="H116" s="122"/>
      <c r="I116" s="321"/>
    </row>
    <row r="117" spans="1:9" ht="16.899999999999999" customHeight="1">
      <c r="A117" s="122" t="s">
        <v>455</v>
      </c>
      <c r="B117" s="122"/>
      <c r="C117" s="122"/>
      <c r="D117" s="122" t="s">
        <v>456</v>
      </c>
      <c r="E117" s="122"/>
      <c r="F117" s="122" t="s">
        <v>459</v>
      </c>
      <c r="G117" s="122"/>
      <c r="H117" s="122"/>
      <c r="I117" s="321"/>
    </row>
    <row r="118" spans="1:9" ht="16.899999999999999" customHeight="1">
      <c r="A118" s="122" t="s">
        <v>455</v>
      </c>
      <c r="B118" s="122"/>
      <c r="C118" s="122"/>
      <c r="D118" s="122" t="s">
        <v>453</v>
      </c>
      <c r="E118" s="122"/>
      <c r="F118" s="122" t="s">
        <v>460</v>
      </c>
      <c r="G118" s="122"/>
      <c r="H118" s="122"/>
      <c r="I118" s="321"/>
    </row>
    <row r="119" spans="1:9" ht="16.899999999999999" customHeight="1">
      <c r="A119" s="122" t="s">
        <v>455</v>
      </c>
      <c r="B119" s="122"/>
      <c r="C119" s="122"/>
      <c r="D119" s="122" t="s">
        <v>453</v>
      </c>
      <c r="E119" s="122"/>
      <c r="F119" s="122" t="s">
        <v>461</v>
      </c>
      <c r="G119" s="122"/>
      <c r="H119" s="122"/>
      <c r="I119" s="321"/>
    </row>
    <row r="120" spans="1:9" ht="16.899999999999999" customHeight="1">
      <c r="A120" s="122" t="s">
        <v>455</v>
      </c>
      <c r="B120" s="122"/>
      <c r="C120" s="122"/>
      <c r="D120" s="122" t="s">
        <v>453</v>
      </c>
      <c r="E120" s="122"/>
      <c r="F120" s="122" t="s">
        <v>462</v>
      </c>
      <c r="G120" s="122"/>
      <c r="H120" s="122"/>
      <c r="I120" s="321"/>
    </row>
    <row r="121" spans="1:9" ht="16.899999999999999" customHeight="1">
      <c r="A121" s="122" t="s">
        <v>455</v>
      </c>
      <c r="B121" s="122"/>
      <c r="C121" s="122"/>
      <c r="D121" s="122" t="s">
        <v>453</v>
      </c>
      <c r="E121" s="122"/>
      <c r="F121" s="122" t="s">
        <v>463</v>
      </c>
      <c r="G121" s="122"/>
      <c r="H121" s="122"/>
      <c r="I121" s="321"/>
    </row>
    <row r="122" spans="1:9" ht="16.899999999999999" customHeight="1">
      <c r="A122" s="122" t="s">
        <v>455</v>
      </c>
      <c r="B122" s="122"/>
      <c r="C122" s="122"/>
      <c r="D122" s="122" t="s">
        <v>453</v>
      </c>
      <c r="E122" s="122"/>
      <c r="F122" s="122" t="s">
        <v>464</v>
      </c>
      <c r="G122" s="122"/>
      <c r="H122" s="122"/>
      <c r="I122" s="321"/>
    </row>
    <row r="123" spans="1:9" ht="16.899999999999999" customHeight="1">
      <c r="A123" s="122" t="s">
        <v>455</v>
      </c>
      <c r="B123" s="122"/>
      <c r="C123" s="122"/>
      <c r="D123" s="122" t="s">
        <v>465</v>
      </c>
      <c r="E123" s="122"/>
      <c r="F123" s="122" t="s">
        <v>466</v>
      </c>
      <c r="G123" s="122"/>
      <c r="H123" s="122"/>
      <c r="I123" s="321"/>
    </row>
    <row r="124" spans="1:9" ht="16.899999999999999" customHeight="1">
      <c r="A124" s="122" t="s">
        <v>455</v>
      </c>
      <c r="B124" s="122"/>
      <c r="C124" s="122"/>
      <c r="D124" s="122" t="s">
        <v>465</v>
      </c>
      <c r="E124" s="122"/>
      <c r="F124" s="122" t="s">
        <v>467</v>
      </c>
      <c r="G124" s="122"/>
      <c r="H124" s="122"/>
      <c r="I124" s="321"/>
    </row>
    <row r="125" spans="1:9" ht="16.899999999999999" customHeight="1">
      <c r="A125" s="122" t="s">
        <v>455</v>
      </c>
      <c r="B125" s="122"/>
      <c r="C125" s="122"/>
      <c r="D125" s="122" t="s">
        <v>468</v>
      </c>
      <c r="E125" s="122"/>
      <c r="F125" s="122" t="s">
        <v>469</v>
      </c>
      <c r="G125" s="122"/>
      <c r="H125" s="122"/>
      <c r="I125" s="321"/>
    </row>
    <row r="126" spans="1:9" ht="16.899999999999999" customHeight="1">
      <c r="A126" s="122" t="s">
        <v>455</v>
      </c>
      <c r="B126" s="122"/>
      <c r="C126" s="122"/>
      <c r="D126" s="122" t="s">
        <v>468</v>
      </c>
      <c r="E126" s="122"/>
      <c r="F126" s="122" t="s">
        <v>470</v>
      </c>
      <c r="G126" s="122"/>
      <c r="H126" s="122"/>
      <c r="I126" s="321"/>
    </row>
    <row r="127" spans="1:9" ht="16.899999999999999" customHeight="1">
      <c r="A127" s="122" t="s">
        <v>471</v>
      </c>
      <c r="B127" s="122"/>
      <c r="C127" s="122"/>
      <c r="D127" s="122" t="s">
        <v>472</v>
      </c>
      <c r="E127" s="122"/>
      <c r="F127" s="122" t="s">
        <v>473</v>
      </c>
      <c r="G127" s="122"/>
      <c r="H127" s="122"/>
      <c r="I127" s="321"/>
    </row>
    <row r="128" spans="1:9" ht="16.899999999999999" customHeight="1">
      <c r="A128" s="122" t="s">
        <v>471</v>
      </c>
      <c r="B128" s="122"/>
      <c r="C128" s="122"/>
      <c r="D128" s="122" t="s">
        <v>472</v>
      </c>
      <c r="E128" s="122"/>
      <c r="F128" s="122" t="s">
        <v>474</v>
      </c>
      <c r="G128" s="122"/>
      <c r="H128" s="122"/>
      <c r="I128" s="321"/>
    </row>
    <row r="129" spans="1:9" ht="16.899999999999999" customHeight="1">
      <c r="A129" s="122" t="s">
        <v>471</v>
      </c>
      <c r="B129" s="122"/>
      <c r="C129" s="122"/>
      <c r="D129" s="122" t="s">
        <v>475</v>
      </c>
      <c r="E129" s="122"/>
      <c r="F129" s="122" t="s">
        <v>476</v>
      </c>
      <c r="G129" s="122"/>
      <c r="H129" s="122"/>
      <c r="I129" s="321"/>
    </row>
    <row r="134" spans="1:9" ht="31.15" customHeight="1">
      <c r="A134" s="355" t="s">
        <v>477</v>
      </c>
      <c r="B134" s="355"/>
      <c r="C134" s="355"/>
    </row>
    <row r="135" spans="1:9" ht="14.45" customHeight="1">
      <c r="A135" s="353" t="s">
        <v>478</v>
      </c>
      <c r="B135" s="353"/>
      <c r="C135" s="353" t="s">
        <v>479</v>
      </c>
      <c r="D135" s="353"/>
      <c r="E135" s="353"/>
      <c r="F135" s="353"/>
      <c r="G135" s="353"/>
      <c r="H135" s="353"/>
      <c r="I135" s="321" t="s">
        <v>480</v>
      </c>
    </row>
    <row r="136" spans="1:9">
      <c r="A136" s="122" t="s">
        <v>481</v>
      </c>
      <c r="B136" s="122"/>
      <c r="C136" s="122" t="s">
        <v>482</v>
      </c>
      <c r="D136" s="122"/>
      <c r="E136" s="122"/>
      <c r="F136" s="122"/>
      <c r="G136" s="122"/>
      <c r="H136" s="122"/>
      <c r="I136" s="321"/>
    </row>
    <row r="137" spans="1:9">
      <c r="A137" s="122" t="s">
        <v>483</v>
      </c>
      <c r="B137" s="122"/>
      <c r="C137" s="122" t="s">
        <v>484</v>
      </c>
      <c r="D137" s="122"/>
      <c r="E137" s="122"/>
      <c r="F137" s="122"/>
      <c r="G137" s="122"/>
      <c r="H137" s="122"/>
      <c r="I137" s="321"/>
    </row>
    <row r="138" spans="1:9">
      <c r="A138" s="122" t="s">
        <v>485</v>
      </c>
      <c r="B138" s="122"/>
      <c r="C138" s="122" t="s">
        <v>486</v>
      </c>
      <c r="D138" s="122"/>
      <c r="E138" s="122"/>
      <c r="F138" s="122"/>
      <c r="G138" s="122"/>
      <c r="H138" s="122"/>
      <c r="I138" s="321"/>
    </row>
    <row r="139" spans="1:9">
      <c r="A139" s="122" t="s">
        <v>487</v>
      </c>
      <c r="B139" s="122"/>
      <c r="C139" s="122" t="s">
        <v>488</v>
      </c>
      <c r="D139" s="122"/>
      <c r="E139" s="122"/>
      <c r="F139" s="122"/>
      <c r="G139" s="122"/>
      <c r="H139" s="122"/>
      <c r="I139" s="321"/>
    </row>
    <row r="140" spans="1:9">
      <c r="A140" s="122" t="s">
        <v>489</v>
      </c>
      <c r="B140" s="122"/>
      <c r="C140" s="122" t="s">
        <v>490</v>
      </c>
      <c r="D140" s="122"/>
      <c r="E140" s="122"/>
      <c r="F140" s="122"/>
      <c r="G140" s="122"/>
      <c r="H140" s="122"/>
      <c r="I140" s="321"/>
    </row>
    <row r="141" spans="1:9">
      <c r="A141" s="122" t="s">
        <v>491</v>
      </c>
      <c r="B141" s="122"/>
      <c r="C141" s="122" t="s">
        <v>492</v>
      </c>
      <c r="D141" s="122"/>
      <c r="E141" s="122"/>
      <c r="F141" s="122"/>
      <c r="G141" s="122"/>
      <c r="H141" s="122"/>
      <c r="I141" s="321"/>
    </row>
    <row r="142" spans="1:9">
      <c r="A142" s="122" t="s">
        <v>493</v>
      </c>
      <c r="B142" s="122"/>
      <c r="C142" s="122" t="s">
        <v>494</v>
      </c>
      <c r="D142" s="122"/>
      <c r="E142" s="122"/>
      <c r="F142" s="122"/>
      <c r="G142" s="122"/>
      <c r="H142" s="122"/>
      <c r="I142" s="321"/>
    </row>
    <row r="143" spans="1:9">
      <c r="A143" s="122" t="s">
        <v>495</v>
      </c>
      <c r="B143" s="122"/>
      <c r="C143" s="122" t="s">
        <v>496</v>
      </c>
      <c r="D143" s="122"/>
      <c r="E143" s="122"/>
      <c r="F143" s="122"/>
      <c r="G143" s="122"/>
      <c r="H143" s="122"/>
      <c r="I143" s="321"/>
    </row>
    <row r="144" spans="1:9">
      <c r="A144" s="122" t="s">
        <v>497</v>
      </c>
      <c r="B144" s="122"/>
      <c r="C144" s="122" t="s">
        <v>498</v>
      </c>
      <c r="D144" s="122"/>
      <c r="E144" s="122"/>
      <c r="F144" s="122"/>
      <c r="G144" s="122"/>
      <c r="H144" s="122"/>
      <c r="I144" s="321"/>
    </row>
    <row r="145" spans="1:9">
      <c r="A145" s="122" t="s">
        <v>499</v>
      </c>
      <c r="B145" s="122"/>
      <c r="C145" s="122" t="s">
        <v>500</v>
      </c>
      <c r="D145" s="122"/>
      <c r="E145" s="122"/>
      <c r="F145" s="122"/>
      <c r="G145" s="122"/>
      <c r="H145" s="122"/>
      <c r="I145" s="321"/>
    </row>
    <row r="146" spans="1:9">
      <c r="A146" s="122" t="s">
        <v>501</v>
      </c>
      <c r="B146" s="122"/>
      <c r="C146" s="122" t="s">
        <v>210</v>
      </c>
      <c r="D146" s="122"/>
      <c r="E146" s="122"/>
      <c r="F146" s="122"/>
      <c r="G146" s="122"/>
      <c r="H146" s="122"/>
      <c r="I146" s="321"/>
    </row>
    <row r="147" spans="1:9">
      <c r="A147" s="122" t="s">
        <v>502</v>
      </c>
      <c r="B147" s="122"/>
      <c r="C147" s="122" t="s">
        <v>503</v>
      </c>
      <c r="D147" s="122"/>
      <c r="E147" s="122"/>
      <c r="F147" s="122"/>
      <c r="G147" s="122"/>
      <c r="H147" s="122"/>
      <c r="I147" s="321"/>
    </row>
    <row r="148" spans="1:9">
      <c r="A148" s="122" t="s">
        <v>504</v>
      </c>
      <c r="B148" s="122"/>
      <c r="C148" s="122" t="s">
        <v>505</v>
      </c>
      <c r="D148" s="122"/>
      <c r="E148" s="122"/>
      <c r="F148" s="122"/>
      <c r="G148" s="122"/>
      <c r="H148" s="122"/>
      <c r="I148" s="321"/>
    </row>
    <row r="149" spans="1:9">
      <c r="A149" s="122" t="s">
        <v>506</v>
      </c>
      <c r="B149" s="122"/>
      <c r="C149" s="122" t="s">
        <v>507</v>
      </c>
      <c r="D149" s="122"/>
      <c r="E149" s="122"/>
      <c r="F149" s="122"/>
      <c r="G149" s="122"/>
      <c r="H149" s="122"/>
      <c r="I149" s="321"/>
    </row>
    <row r="150" spans="1:9">
      <c r="A150" s="122" t="s">
        <v>508</v>
      </c>
      <c r="B150" s="122"/>
      <c r="C150" s="122" t="s">
        <v>509</v>
      </c>
      <c r="D150" s="122"/>
      <c r="E150" s="122"/>
      <c r="F150" s="122"/>
      <c r="G150" s="122"/>
      <c r="H150" s="122"/>
      <c r="I150" s="321"/>
    </row>
    <row r="151" spans="1:9">
      <c r="A151" s="122" t="s">
        <v>510</v>
      </c>
      <c r="B151" s="122"/>
      <c r="C151" s="122" t="s">
        <v>511</v>
      </c>
      <c r="D151" s="122"/>
      <c r="E151" s="122"/>
      <c r="F151" s="122"/>
      <c r="G151" s="122"/>
      <c r="H151" s="122"/>
      <c r="I151" s="321"/>
    </row>
    <row r="152" spans="1:9">
      <c r="A152" s="122" t="s">
        <v>512</v>
      </c>
      <c r="B152" s="122"/>
      <c r="C152" s="122" t="s">
        <v>513</v>
      </c>
      <c r="D152" s="122"/>
      <c r="E152" s="122"/>
      <c r="F152" s="122"/>
      <c r="G152" s="122"/>
      <c r="H152" s="122"/>
      <c r="I152" s="321"/>
    </row>
    <row r="153" spans="1:9">
      <c r="A153" s="122" t="s">
        <v>514</v>
      </c>
      <c r="B153" s="122"/>
      <c r="C153" s="122" t="s">
        <v>515</v>
      </c>
      <c r="D153" s="122"/>
      <c r="E153" s="122"/>
      <c r="F153" s="122"/>
      <c r="G153" s="122"/>
      <c r="H153" s="122"/>
      <c r="I153" s="321"/>
    </row>
    <row r="154" spans="1:9">
      <c r="A154" s="122" t="s">
        <v>516</v>
      </c>
      <c r="B154" s="122"/>
      <c r="C154" s="122" t="s">
        <v>517</v>
      </c>
      <c r="D154" s="122"/>
      <c r="E154" s="122"/>
      <c r="F154" s="122"/>
      <c r="G154" s="122"/>
      <c r="H154" s="122"/>
      <c r="I154" s="321"/>
    </row>
    <row r="155" spans="1:9">
      <c r="A155" s="122" t="s">
        <v>518</v>
      </c>
      <c r="B155" s="122"/>
      <c r="C155" s="122" t="s">
        <v>519</v>
      </c>
      <c r="D155" s="122"/>
      <c r="E155" s="122"/>
      <c r="F155" s="122"/>
      <c r="G155" s="122"/>
      <c r="H155" s="122"/>
      <c r="I155" s="321"/>
    </row>
    <row r="156" spans="1:9">
      <c r="A156" s="122" t="s">
        <v>520</v>
      </c>
      <c r="B156" s="122"/>
      <c r="C156" s="122" t="s">
        <v>521</v>
      </c>
      <c r="D156" s="122"/>
      <c r="E156" s="122"/>
      <c r="F156" s="122"/>
      <c r="G156" s="122"/>
      <c r="H156" s="122"/>
      <c r="I156" s="321"/>
    </row>
    <row r="157" spans="1:9">
      <c r="A157" s="122" t="s">
        <v>522</v>
      </c>
      <c r="B157" s="122"/>
      <c r="C157" s="122" t="s">
        <v>523</v>
      </c>
      <c r="D157" s="122"/>
      <c r="E157" s="122"/>
      <c r="F157" s="122"/>
      <c r="G157" s="122"/>
      <c r="H157" s="122"/>
      <c r="I157" s="321"/>
    </row>
    <row r="158" spans="1:9">
      <c r="A158" s="122" t="s">
        <v>524</v>
      </c>
      <c r="B158" s="122"/>
      <c r="C158" s="122" t="s">
        <v>525</v>
      </c>
      <c r="D158" s="122"/>
      <c r="E158" s="122"/>
      <c r="F158" s="122"/>
      <c r="G158" s="122"/>
      <c r="H158" s="122"/>
      <c r="I158" s="321"/>
    </row>
    <row r="159" spans="1:9">
      <c r="A159" s="122" t="s">
        <v>526</v>
      </c>
      <c r="B159" s="122"/>
      <c r="C159" s="122" t="s">
        <v>527</v>
      </c>
      <c r="D159" s="122"/>
      <c r="E159" s="122"/>
      <c r="F159" s="122"/>
      <c r="G159" s="122"/>
      <c r="H159" s="122"/>
      <c r="I159" s="321"/>
    </row>
    <row r="160" spans="1:9">
      <c r="A160" s="122" t="s">
        <v>528</v>
      </c>
      <c r="B160" s="122"/>
      <c r="C160" s="122" t="s">
        <v>529</v>
      </c>
      <c r="D160" s="122"/>
      <c r="E160" s="122"/>
      <c r="F160" s="122"/>
      <c r="G160" s="122"/>
      <c r="H160" s="122"/>
      <c r="I160" s="321"/>
    </row>
    <row r="161" spans="1:9">
      <c r="A161" s="122" t="s">
        <v>530</v>
      </c>
      <c r="B161" s="122"/>
      <c r="C161" s="122" t="s">
        <v>531</v>
      </c>
      <c r="D161" s="122"/>
      <c r="E161" s="122"/>
      <c r="F161" s="122"/>
      <c r="G161" s="122"/>
      <c r="H161" s="122"/>
      <c r="I161" s="321"/>
    </row>
    <row r="162" spans="1:9">
      <c r="A162" s="122" t="s">
        <v>532</v>
      </c>
      <c r="B162" s="122"/>
      <c r="C162" s="122" t="s">
        <v>533</v>
      </c>
      <c r="D162" s="122"/>
      <c r="E162" s="122"/>
      <c r="F162" s="122"/>
      <c r="G162" s="122"/>
      <c r="H162" s="122"/>
      <c r="I162" s="321"/>
    </row>
    <row r="163" spans="1:9">
      <c r="A163" s="122" t="s">
        <v>534</v>
      </c>
      <c r="B163" s="122"/>
      <c r="C163" s="122" t="s">
        <v>535</v>
      </c>
      <c r="D163" s="122"/>
      <c r="E163" s="122"/>
      <c r="F163" s="122"/>
      <c r="G163" s="122"/>
      <c r="H163" s="122"/>
      <c r="I163" s="321"/>
    </row>
    <row r="164" spans="1:9">
      <c r="A164" s="122" t="s">
        <v>536</v>
      </c>
      <c r="B164" s="122"/>
      <c r="C164" s="122" t="s">
        <v>537</v>
      </c>
      <c r="D164" s="122"/>
      <c r="E164" s="122"/>
      <c r="F164" s="122"/>
      <c r="G164" s="122"/>
      <c r="H164" s="122"/>
      <c r="I164" s="321"/>
    </row>
    <row r="165" spans="1:9">
      <c r="A165" s="122" t="s">
        <v>538</v>
      </c>
      <c r="B165" s="122"/>
      <c r="C165" s="122" t="s">
        <v>539</v>
      </c>
      <c r="D165" s="122"/>
      <c r="E165" s="122"/>
      <c r="F165" s="122"/>
      <c r="G165" s="122"/>
      <c r="H165" s="122"/>
      <c r="I165" s="321"/>
    </row>
    <row r="166" spans="1:9">
      <c r="A166" s="122" t="s">
        <v>540</v>
      </c>
      <c r="B166" s="122"/>
      <c r="C166" s="122" t="s">
        <v>541</v>
      </c>
      <c r="D166" s="122"/>
      <c r="E166" s="122"/>
      <c r="F166" s="122"/>
      <c r="G166" s="122"/>
      <c r="H166" s="122"/>
      <c r="I166" s="321"/>
    </row>
    <row r="167" spans="1:9">
      <c r="A167" s="122" t="s">
        <v>542</v>
      </c>
      <c r="B167" s="122"/>
      <c r="C167" s="122" t="s">
        <v>543</v>
      </c>
      <c r="D167" s="122"/>
      <c r="E167" s="122"/>
      <c r="F167" s="122"/>
      <c r="G167" s="122"/>
      <c r="H167" s="122"/>
      <c r="I167" s="321"/>
    </row>
    <row r="168" spans="1:9">
      <c r="A168" s="122" t="s">
        <v>544</v>
      </c>
      <c r="B168" s="122"/>
      <c r="C168" s="122" t="s">
        <v>545</v>
      </c>
      <c r="D168" s="122"/>
      <c r="E168" s="122"/>
      <c r="F168" s="122"/>
      <c r="G168" s="122"/>
      <c r="H168" s="122"/>
      <c r="I168" s="321"/>
    </row>
    <row r="169" spans="1:9">
      <c r="A169" s="122" t="s">
        <v>546</v>
      </c>
      <c r="B169" s="122"/>
      <c r="C169" s="122" t="s">
        <v>547</v>
      </c>
      <c r="D169" s="122"/>
      <c r="E169" s="122"/>
      <c r="F169" s="122"/>
      <c r="G169" s="122"/>
      <c r="H169" s="122"/>
      <c r="I169" s="321"/>
    </row>
    <row r="170" spans="1:9">
      <c r="A170" s="122" t="s">
        <v>548</v>
      </c>
      <c r="B170" s="122"/>
      <c r="C170" s="122" t="s">
        <v>549</v>
      </c>
      <c r="D170" s="122"/>
      <c r="E170" s="122"/>
      <c r="F170" s="122"/>
      <c r="G170" s="122"/>
      <c r="H170" s="122"/>
      <c r="I170" s="321"/>
    </row>
    <row r="171" spans="1:9">
      <c r="A171" s="122" t="s">
        <v>550</v>
      </c>
      <c r="B171" s="122"/>
      <c r="C171" s="122" t="s">
        <v>551</v>
      </c>
      <c r="D171" s="122"/>
      <c r="E171" s="122"/>
      <c r="F171" s="122"/>
      <c r="G171" s="122"/>
      <c r="H171" s="122"/>
      <c r="I171" s="321"/>
    </row>
    <row r="172" spans="1:9">
      <c r="A172" s="122" t="s">
        <v>552</v>
      </c>
      <c r="B172" s="122"/>
      <c r="C172" s="122" t="s">
        <v>553</v>
      </c>
      <c r="D172" s="122"/>
      <c r="E172" s="122"/>
      <c r="F172" s="122"/>
      <c r="G172" s="122"/>
      <c r="H172" s="122"/>
      <c r="I172" s="321"/>
    </row>
    <row r="173" spans="1:9">
      <c r="A173" s="122" t="s">
        <v>554</v>
      </c>
      <c r="B173" s="122"/>
      <c r="C173" s="122" t="s">
        <v>555</v>
      </c>
      <c r="D173" s="122"/>
      <c r="E173" s="122"/>
      <c r="F173" s="122"/>
      <c r="G173" s="122"/>
      <c r="H173" s="122"/>
      <c r="I173" s="321"/>
    </row>
    <row r="174" spans="1:9">
      <c r="A174" s="122" t="s">
        <v>556</v>
      </c>
      <c r="B174" s="122"/>
      <c r="C174" s="122" t="s">
        <v>557</v>
      </c>
      <c r="D174" s="122"/>
      <c r="E174" s="122"/>
      <c r="F174" s="122"/>
      <c r="G174" s="122"/>
      <c r="H174" s="122"/>
      <c r="I174" s="321"/>
    </row>
    <row r="175" spans="1:9">
      <c r="A175" s="122" t="s">
        <v>558</v>
      </c>
      <c r="B175" s="122"/>
      <c r="C175" s="122" t="s">
        <v>559</v>
      </c>
      <c r="D175" s="122"/>
      <c r="E175" s="122"/>
      <c r="F175" s="122"/>
      <c r="G175" s="122"/>
      <c r="H175" s="122"/>
      <c r="I175" s="321"/>
    </row>
    <row r="176" spans="1:9">
      <c r="A176" s="122" t="s">
        <v>560</v>
      </c>
      <c r="B176" s="122"/>
      <c r="C176" s="122" t="s">
        <v>561</v>
      </c>
      <c r="D176" s="122"/>
      <c r="E176" s="122"/>
      <c r="F176" s="122"/>
      <c r="G176" s="122"/>
      <c r="H176" s="122"/>
      <c r="I176" s="321"/>
    </row>
    <row r="177" spans="1:9">
      <c r="A177" s="122" t="s">
        <v>562</v>
      </c>
      <c r="B177" s="122"/>
      <c r="C177" s="122" t="s">
        <v>563</v>
      </c>
      <c r="D177" s="122"/>
      <c r="E177" s="122"/>
      <c r="F177" s="122"/>
      <c r="G177" s="122"/>
      <c r="H177" s="122"/>
      <c r="I177" s="321"/>
    </row>
    <row r="178" spans="1:9">
      <c r="A178" s="122" t="s">
        <v>564</v>
      </c>
      <c r="B178" s="122"/>
      <c r="C178" s="122" t="s">
        <v>565</v>
      </c>
      <c r="D178" s="122"/>
      <c r="E178" s="122"/>
      <c r="F178" s="122"/>
      <c r="G178" s="122"/>
      <c r="H178" s="122"/>
      <c r="I178" s="321"/>
    </row>
    <row r="179" spans="1:9">
      <c r="A179" s="122" t="s">
        <v>566</v>
      </c>
      <c r="B179" s="122"/>
      <c r="C179" s="122" t="s">
        <v>567</v>
      </c>
      <c r="D179" s="122"/>
      <c r="E179" s="122"/>
      <c r="F179" s="122"/>
      <c r="G179" s="122"/>
      <c r="H179" s="122"/>
      <c r="I179" s="321"/>
    </row>
    <row r="180" spans="1:9">
      <c r="A180" s="122" t="s">
        <v>568</v>
      </c>
      <c r="B180" s="122"/>
      <c r="C180" s="122" t="s">
        <v>569</v>
      </c>
      <c r="D180" s="122"/>
      <c r="E180" s="122"/>
      <c r="F180" s="122"/>
      <c r="G180" s="122"/>
      <c r="H180" s="122"/>
      <c r="I180" s="321"/>
    </row>
    <row r="181" spans="1:9">
      <c r="A181" s="122" t="s">
        <v>570</v>
      </c>
      <c r="B181" s="122"/>
      <c r="C181" s="122" t="s">
        <v>571</v>
      </c>
      <c r="D181" s="122"/>
      <c r="E181" s="122"/>
      <c r="F181" s="122"/>
      <c r="G181" s="122"/>
      <c r="H181" s="122"/>
      <c r="I181" s="321"/>
    </row>
    <row r="182" spans="1:9">
      <c r="A182" s="122" t="s">
        <v>572</v>
      </c>
      <c r="B182" s="122"/>
      <c r="C182" s="122" t="s">
        <v>573</v>
      </c>
      <c r="D182" s="122"/>
      <c r="E182" s="122"/>
      <c r="F182" s="122"/>
      <c r="G182" s="122"/>
      <c r="H182" s="122"/>
      <c r="I182" s="321"/>
    </row>
    <row r="183" spans="1:9">
      <c r="A183" s="122" t="s">
        <v>574</v>
      </c>
      <c r="B183" s="122"/>
      <c r="C183" s="122" t="s">
        <v>575</v>
      </c>
      <c r="D183" s="122"/>
      <c r="E183" s="122"/>
      <c r="F183" s="122"/>
      <c r="G183" s="122"/>
      <c r="H183" s="122"/>
      <c r="I183" s="321"/>
    </row>
    <row r="184" spans="1:9">
      <c r="A184" s="122" t="s">
        <v>576</v>
      </c>
      <c r="B184" s="122"/>
      <c r="C184" s="122" t="s">
        <v>577</v>
      </c>
      <c r="D184" s="122"/>
      <c r="E184" s="122"/>
      <c r="F184" s="122"/>
      <c r="G184" s="122"/>
      <c r="H184" s="122"/>
      <c r="I184" s="321"/>
    </row>
    <row r="185" spans="1:9">
      <c r="A185" s="122" t="s">
        <v>578</v>
      </c>
      <c r="B185" s="122"/>
      <c r="C185" s="122" t="s">
        <v>579</v>
      </c>
      <c r="D185" s="122"/>
      <c r="E185" s="122"/>
      <c r="F185" s="122"/>
      <c r="G185" s="122"/>
      <c r="H185" s="122"/>
      <c r="I185" s="321"/>
    </row>
    <row r="186" spans="1:9">
      <c r="A186" s="122" t="s">
        <v>580</v>
      </c>
      <c r="B186" s="122"/>
      <c r="C186" s="122" t="s">
        <v>581</v>
      </c>
      <c r="D186" s="122"/>
      <c r="E186" s="122"/>
      <c r="F186" s="122"/>
      <c r="G186" s="122"/>
      <c r="H186" s="122"/>
      <c r="I186" s="321"/>
    </row>
    <row r="187" spans="1:9">
      <c r="A187" s="122" t="s">
        <v>582</v>
      </c>
      <c r="B187" s="122"/>
      <c r="C187" s="122" t="s">
        <v>583</v>
      </c>
      <c r="D187" s="122"/>
      <c r="E187" s="122"/>
      <c r="F187" s="122"/>
      <c r="G187" s="122"/>
      <c r="H187" s="122"/>
      <c r="I187" s="321"/>
    </row>
    <row r="188" spans="1:9">
      <c r="A188" s="122" t="s">
        <v>584</v>
      </c>
      <c r="B188" s="122"/>
      <c r="C188" s="122" t="s">
        <v>585</v>
      </c>
      <c r="D188" s="122"/>
      <c r="E188" s="122"/>
      <c r="F188" s="122"/>
      <c r="G188" s="122"/>
      <c r="H188" s="122"/>
      <c r="I188" s="321"/>
    </row>
    <row r="189" spans="1:9">
      <c r="A189" s="122" t="s">
        <v>586</v>
      </c>
      <c r="B189" s="122"/>
      <c r="C189" s="122" t="s">
        <v>587</v>
      </c>
      <c r="D189" s="122"/>
      <c r="E189" s="122"/>
      <c r="F189" s="122"/>
      <c r="G189" s="122"/>
      <c r="H189" s="122"/>
      <c r="I189" s="321"/>
    </row>
    <row r="190" spans="1:9">
      <c r="A190" s="122" t="s">
        <v>588</v>
      </c>
      <c r="B190" s="122"/>
      <c r="C190" s="122" t="s">
        <v>589</v>
      </c>
      <c r="D190" s="122"/>
      <c r="E190" s="122"/>
      <c r="F190" s="122"/>
      <c r="G190" s="122"/>
      <c r="H190" s="122"/>
      <c r="I190" s="321"/>
    </row>
    <row r="191" spans="1:9">
      <c r="A191" s="122" t="s">
        <v>590</v>
      </c>
      <c r="B191" s="122"/>
      <c r="C191" s="122" t="s">
        <v>591</v>
      </c>
      <c r="D191" s="122"/>
      <c r="E191" s="122"/>
      <c r="F191" s="122"/>
      <c r="G191" s="122"/>
      <c r="H191" s="122"/>
      <c r="I191" s="321"/>
    </row>
    <row r="192" spans="1:9">
      <c r="A192" s="122" t="s">
        <v>592</v>
      </c>
      <c r="B192" s="122"/>
      <c r="C192" s="122" t="s">
        <v>593</v>
      </c>
      <c r="D192" s="122"/>
      <c r="E192" s="122"/>
      <c r="F192" s="122"/>
      <c r="G192" s="122"/>
      <c r="H192" s="122"/>
      <c r="I192" s="321"/>
    </row>
    <row r="193" spans="1:9">
      <c r="A193" s="122" t="s">
        <v>594</v>
      </c>
      <c r="B193" s="122"/>
      <c r="C193" s="122" t="s">
        <v>595</v>
      </c>
      <c r="D193" s="122"/>
      <c r="E193" s="122"/>
      <c r="F193" s="122"/>
      <c r="G193" s="122"/>
      <c r="H193" s="122"/>
      <c r="I193" s="321"/>
    </row>
    <row r="194" spans="1:9">
      <c r="A194" s="122" t="s">
        <v>596</v>
      </c>
      <c r="B194" s="122"/>
      <c r="C194" s="122" t="s">
        <v>597</v>
      </c>
      <c r="D194" s="122"/>
      <c r="E194" s="122"/>
      <c r="F194" s="122"/>
      <c r="G194" s="122"/>
      <c r="H194" s="122"/>
      <c r="I194" s="321"/>
    </row>
    <row r="195" spans="1:9">
      <c r="A195" s="122" t="s">
        <v>598</v>
      </c>
      <c r="B195" s="122"/>
      <c r="C195" s="122" t="s">
        <v>599</v>
      </c>
      <c r="D195" s="122"/>
      <c r="E195" s="122"/>
      <c r="F195" s="122"/>
      <c r="G195" s="122"/>
      <c r="H195" s="122"/>
      <c r="I195" s="321"/>
    </row>
    <row r="196" spans="1:9">
      <c r="A196" s="122" t="s">
        <v>600</v>
      </c>
      <c r="B196" s="122"/>
      <c r="C196" s="122" t="s">
        <v>601</v>
      </c>
      <c r="D196" s="122"/>
      <c r="E196" s="122"/>
      <c r="F196" s="122"/>
      <c r="G196" s="122"/>
      <c r="H196" s="122"/>
      <c r="I196" s="321"/>
    </row>
    <row r="197" spans="1:9">
      <c r="A197" s="122" t="s">
        <v>602</v>
      </c>
      <c r="B197" s="122"/>
      <c r="C197" s="122" t="s">
        <v>603</v>
      </c>
      <c r="D197" s="122"/>
      <c r="E197" s="122"/>
      <c r="F197" s="122"/>
      <c r="G197" s="122"/>
      <c r="H197" s="122"/>
      <c r="I197" s="321"/>
    </row>
    <row r="198" spans="1:9">
      <c r="A198" s="122" t="s">
        <v>604</v>
      </c>
      <c r="B198" s="122"/>
      <c r="C198" s="122" t="s">
        <v>605</v>
      </c>
      <c r="D198" s="122"/>
      <c r="E198" s="122"/>
      <c r="F198" s="122"/>
      <c r="G198" s="122"/>
      <c r="H198" s="122"/>
      <c r="I198" s="321"/>
    </row>
    <row r="199" spans="1:9">
      <c r="A199" s="122" t="s">
        <v>606</v>
      </c>
      <c r="B199" s="122"/>
      <c r="C199" s="122" t="s">
        <v>607</v>
      </c>
      <c r="D199" s="122"/>
      <c r="E199" s="122"/>
      <c r="F199" s="122"/>
      <c r="G199" s="122"/>
      <c r="H199" s="122"/>
      <c r="I199" s="321"/>
    </row>
    <row r="200" spans="1:9">
      <c r="A200" s="122" t="s">
        <v>608</v>
      </c>
      <c r="B200" s="122"/>
      <c r="C200" s="122" t="s">
        <v>609</v>
      </c>
      <c r="D200" s="122"/>
      <c r="E200" s="122"/>
      <c r="F200" s="122"/>
      <c r="G200" s="122"/>
      <c r="H200" s="122"/>
      <c r="I200" s="321"/>
    </row>
    <row r="201" spans="1:9">
      <c r="A201" s="122" t="s">
        <v>610</v>
      </c>
      <c r="B201" s="122"/>
      <c r="C201" s="122" t="s">
        <v>611</v>
      </c>
      <c r="D201" s="122"/>
      <c r="E201" s="122"/>
      <c r="F201" s="122"/>
      <c r="G201" s="122"/>
      <c r="H201" s="122"/>
      <c r="I201" s="321"/>
    </row>
    <row r="202" spans="1:9">
      <c r="A202" s="122" t="s">
        <v>612</v>
      </c>
      <c r="B202" s="122"/>
      <c r="C202" s="122" t="s">
        <v>613</v>
      </c>
      <c r="D202" s="122"/>
      <c r="E202" s="122"/>
      <c r="F202" s="122"/>
      <c r="G202" s="122"/>
      <c r="H202" s="122"/>
      <c r="I202" s="321"/>
    </row>
    <row r="203" spans="1:9">
      <c r="A203" s="122" t="s">
        <v>614</v>
      </c>
      <c r="B203" s="122"/>
      <c r="C203" s="122" t="s">
        <v>615</v>
      </c>
      <c r="D203" s="122"/>
      <c r="E203" s="122"/>
      <c r="F203" s="122"/>
      <c r="G203" s="122"/>
      <c r="H203" s="122"/>
      <c r="I203" s="321"/>
    </row>
    <row r="204" spans="1:9">
      <c r="A204" s="122" t="s">
        <v>616</v>
      </c>
      <c r="B204" s="122"/>
      <c r="C204" s="122" t="s">
        <v>617</v>
      </c>
      <c r="D204" s="122"/>
      <c r="E204" s="122"/>
      <c r="F204" s="122"/>
      <c r="G204" s="122"/>
      <c r="H204" s="122"/>
      <c r="I204" s="321"/>
    </row>
    <row r="205" spans="1:9">
      <c r="A205" s="122" t="s">
        <v>618</v>
      </c>
      <c r="B205" s="122"/>
      <c r="C205" s="122" t="s">
        <v>619</v>
      </c>
      <c r="D205" s="122"/>
      <c r="E205" s="122"/>
      <c r="F205" s="122"/>
      <c r="G205" s="122"/>
      <c r="H205" s="122"/>
      <c r="I205" s="321"/>
    </row>
    <row r="206" spans="1:9">
      <c r="A206" s="122" t="s">
        <v>620</v>
      </c>
      <c r="B206" s="122"/>
      <c r="C206" s="122" t="s">
        <v>621</v>
      </c>
      <c r="D206" s="122"/>
      <c r="E206" s="122"/>
      <c r="F206" s="122"/>
      <c r="G206" s="122"/>
      <c r="H206" s="122"/>
      <c r="I206" s="321"/>
    </row>
    <row r="207" spans="1:9">
      <c r="A207" s="122" t="s">
        <v>622</v>
      </c>
      <c r="B207" s="122"/>
      <c r="C207" s="122" t="s">
        <v>623</v>
      </c>
      <c r="D207" s="122"/>
      <c r="E207" s="122"/>
      <c r="F207" s="122"/>
      <c r="G207" s="122"/>
      <c r="H207" s="122"/>
      <c r="I207" s="321"/>
    </row>
    <row r="208" spans="1:9">
      <c r="A208" s="122" t="s">
        <v>624</v>
      </c>
      <c r="B208" s="122"/>
      <c r="C208" s="122" t="s">
        <v>625</v>
      </c>
      <c r="D208" s="122"/>
      <c r="E208" s="122"/>
      <c r="F208" s="122"/>
      <c r="G208" s="122"/>
      <c r="H208" s="122"/>
      <c r="I208" s="321"/>
    </row>
    <row r="209" spans="1:9">
      <c r="A209" s="122" t="s">
        <v>626</v>
      </c>
      <c r="B209" s="122"/>
      <c r="C209" s="122" t="s">
        <v>627</v>
      </c>
      <c r="D209" s="122"/>
      <c r="E209" s="122"/>
      <c r="F209" s="122"/>
      <c r="G209" s="122"/>
      <c r="H209" s="122"/>
      <c r="I209" s="321"/>
    </row>
    <row r="210" spans="1:9">
      <c r="A210" s="122" t="s">
        <v>628</v>
      </c>
      <c r="B210" s="122"/>
      <c r="C210" s="122" t="s">
        <v>629</v>
      </c>
      <c r="D210" s="122"/>
      <c r="E210" s="122"/>
      <c r="F210" s="122"/>
      <c r="G210" s="122"/>
      <c r="H210" s="122"/>
      <c r="I210" s="321"/>
    </row>
    <row r="211" spans="1:9">
      <c r="A211" s="122" t="s">
        <v>630</v>
      </c>
      <c r="B211" s="122"/>
      <c r="C211" s="122" t="s">
        <v>631</v>
      </c>
      <c r="D211" s="122"/>
      <c r="E211" s="122"/>
      <c r="F211" s="122"/>
      <c r="G211" s="122"/>
      <c r="H211" s="122"/>
      <c r="I211" s="321"/>
    </row>
    <row r="212" spans="1:9">
      <c r="A212" s="122" t="s">
        <v>632</v>
      </c>
      <c r="B212" s="122"/>
      <c r="C212" s="122" t="s">
        <v>633</v>
      </c>
      <c r="D212" s="122"/>
      <c r="E212" s="122"/>
      <c r="F212" s="122"/>
      <c r="G212" s="122"/>
      <c r="H212" s="122"/>
      <c r="I212" s="321"/>
    </row>
    <row r="213" spans="1:9">
      <c r="A213" s="122" t="s">
        <v>634</v>
      </c>
      <c r="B213" s="122"/>
      <c r="C213" s="122" t="s">
        <v>635</v>
      </c>
      <c r="D213" s="122"/>
      <c r="E213" s="122"/>
      <c r="F213" s="122"/>
      <c r="G213" s="122"/>
      <c r="H213" s="122"/>
      <c r="I213" s="321"/>
    </row>
    <row r="214" spans="1:9">
      <c r="A214" s="122" t="s">
        <v>636</v>
      </c>
      <c r="B214" s="122"/>
      <c r="C214" s="122" t="s">
        <v>637</v>
      </c>
      <c r="D214" s="122"/>
      <c r="E214" s="122"/>
      <c r="F214" s="122"/>
      <c r="G214" s="122"/>
      <c r="H214" s="122"/>
      <c r="I214" s="321"/>
    </row>
    <row r="215" spans="1:9">
      <c r="A215" s="122" t="s">
        <v>638</v>
      </c>
      <c r="B215" s="122"/>
      <c r="C215" s="122" t="s">
        <v>639</v>
      </c>
      <c r="D215" s="122"/>
      <c r="E215" s="122"/>
      <c r="F215" s="122"/>
      <c r="G215" s="122"/>
      <c r="H215" s="122"/>
      <c r="I215" s="321"/>
    </row>
    <row r="216" spans="1:9">
      <c r="A216" s="122" t="s">
        <v>640</v>
      </c>
      <c r="B216" s="122"/>
      <c r="C216" s="122" t="s">
        <v>641</v>
      </c>
      <c r="D216" s="122"/>
      <c r="E216" s="122"/>
      <c r="F216" s="122"/>
      <c r="G216" s="122"/>
      <c r="H216" s="122"/>
      <c r="I216" s="321"/>
    </row>
    <row r="217" spans="1:9">
      <c r="A217" s="122" t="s">
        <v>642</v>
      </c>
      <c r="B217" s="122"/>
      <c r="C217" s="122" t="s">
        <v>643</v>
      </c>
      <c r="D217" s="122"/>
      <c r="E217" s="122"/>
      <c r="F217" s="122"/>
      <c r="G217" s="122"/>
      <c r="H217" s="122"/>
      <c r="I217" s="321"/>
    </row>
    <row r="218" spans="1:9">
      <c r="A218" s="122" t="s">
        <v>644</v>
      </c>
      <c r="B218" s="122"/>
      <c r="C218" s="122" t="s">
        <v>645</v>
      </c>
      <c r="D218" s="122"/>
      <c r="E218" s="122"/>
      <c r="F218" s="122"/>
      <c r="G218" s="122"/>
      <c r="H218" s="122"/>
      <c r="I218" s="321"/>
    </row>
    <row r="219" spans="1:9">
      <c r="A219" s="122" t="s">
        <v>646</v>
      </c>
      <c r="B219" s="122"/>
      <c r="C219" s="122" t="s">
        <v>647</v>
      </c>
      <c r="D219" s="122"/>
      <c r="E219" s="122"/>
      <c r="F219" s="122"/>
      <c r="G219" s="122"/>
      <c r="H219" s="122"/>
      <c r="I219" s="321"/>
    </row>
    <row r="220" spans="1:9">
      <c r="A220" s="122" t="s">
        <v>648</v>
      </c>
      <c r="B220" s="122"/>
      <c r="C220" s="122" t="s">
        <v>649</v>
      </c>
      <c r="D220" s="122"/>
      <c r="E220" s="122"/>
      <c r="F220" s="122"/>
      <c r="G220" s="122"/>
      <c r="H220" s="122"/>
      <c r="I220" s="321"/>
    </row>
    <row r="221" spans="1:9">
      <c r="A221" s="122" t="s">
        <v>650</v>
      </c>
      <c r="B221" s="122"/>
      <c r="C221" s="122" t="s">
        <v>211</v>
      </c>
      <c r="D221" s="122"/>
      <c r="E221" s="122"/>
      <c r="F221" s="122"/>
      <c r="G221" s="122"/>
      <c r="H221" s="122"/>
      <c r="I221" s="321"/>
    </row>
    <row r="222" spans="1:9">
      <c r="A222" s="122" t="s">
        <v>651</v>
      </c>
      <c r="B222" s="122"/>
      <c r="C222" s="122" t="s">
        <v>213</v>
      </c>
      <c r="D222" s="122"/>
      <c r="E222" s="122"/>
      <c r="F222" s="122"/>
      <c r="G222" s="122"/>
      <c r="H222" s="122"/>
      <c r="I222" s="321"/>
    </row>
  </sheetData>
  <autoFilter ref="A54:H54">
    <filterColumn colId="0" showButton="0"/>
    <filterColumn colId="1" showButton="0"/>
    <filterColumn colId="3" showButton="0"/>
    <filterColumn colId="5" showButton="0"/>
    <filterColumn colId="6" showButton="0"/>
  </autoFilter>
  <mergeCells count="36">
    <mergeCell ref="A135:B135"/>
    <mergeCell ref="C135:H135"/>
    <mergeCell ref="I135:I222"/>
    <mergeCell ref="B48:I48"/>
    <mergeCell ref="A54:C54"/>
    <mergeCell ref="D54:E54"/>
    <mergeCell ref="F54:H54"/>
    <mergeCell ref="I54:I129"/>
    <mergeCell ref="A134:C134"/>
    <mergeCell ref="B41:B44"/>
    <mergeCell ref="C41:C44"/>
    <mergeCell ref="H41:H44"/>
    <mergeCell ref="D42:D44"/>
    <mergeCell ref="E42:E44"/>
    <mergeCell ref="F42:F43"/>
    <mergeCell ref="H38:H40"/>
    <mergeCell ref="C39:C40"/>
    <mergeCell ref="D39:D40"/>
    <mergeCell ref="E39:E40"/>
    <mergeCell ref="F39:F40"/>
    <mergeCell ref="B3:H3"/>
    <mergeCell ref="B6:H6"/>
    <mergeCell ref="B9:H9"/>
    <mergeCell ref="B21:H22"/>
    <mergeCell ref="I21:I47"/>
    <mergeCell ref="C24:H24"/>
    <mergeCell ref="C25:C26"/>
    <mergeCell ref="D25:D26"/>
    <mergeCell ref="E25:E26"/>
    <mergeCell ref="F25:F26"/>
    <mergeCell ref="G25:G26"/>
    <mergeCell ref="H25:H26"/>
    <mergeCell ref="B27:B32"/>
    <mergeCell ref="B33:B37"/>
    <mergeCell ref="B38:B40"/>
    <mergeCell ref="G38:G40"/>
  </mergeCells>
  <hyperlinks>
    <hyperlink ref="B3:H3" location="Scoring" display="GRILLE DE SCORING DES IMPACTS DES INCIDENTS"/>
    <hyperlink ref="I21:I47" location="Annexes!A1" display="RETOUR MENU          RETOUR MENU            RETOUR MENU"/>
    <hyperlink ref="B48:I48" location="Annexes!A1" display="RETOUR MENU"/>
    <hyperlink ref="I54:I65" location="Annexes!A1" display="RETOUR MENU"/>
    <hyperlink ref="B6:H6" location="Annexes!A74" display="LISTE DES PROCESSUS MÉTIER NIVEAU 1, 2 et 3"/>
    <hyperlink ref="I135:I172" location="Annexes!A1" display="RETOUR MENU"/>
    <hyperlink ref="B9:H9" location="Annexes!A158" display="LISTE DES RISQUES"/>
  </hyperlink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sheetPr codeName="Feuil11"/>
  <dimension ref="B2:J102"/>
  <sheetViews>
    <sheetView topLeftCell="A74" zoomScale="73" zoomScaleNormal="73" workbookViewId="0">
      <selection activeCell="E102" sqref="E102"/>
    </sheetView>
  </sheetViews>
  <sheetFormatPr baseColWidth="10" defaultRowHeight="15"/>
  <cols>
    <col min="1" max="1" width="11.42578125" style="143"/>
    <col min="2" max="2" width="20.7109375" style="143" customWidth="1"/>
    <col min="3" max="3" width="42.28515625" style="143" customWidth="1"/>
    <col min="4" max="8" width="40.7109375" style="143" customWidth="1"/>
    <col min="9" max="16384" width="11.42578125" style="143"/>
  </cols>
  <sheetData>
    <row r="2" spans="2:7" ht="39" customHeight="1">
      <c r="B2" s="145" t="s">
        <v>840</v>
      </c>
      <c r="D2" s="146"/>
    </row>
    <row r="3" spans="2:7">
      <c r="B3" s="147" t="s">
        <v>25</v>
      </c>
      <c r="C3" s="195" t="s">
        <v>814</v>
      </c>
      <c r="D3" s="148" t="s">
        <v>25</v>
      </c>
      <c r="E3" s="149">
        <v>1</v>
      </c>
      <c r="F3" s="148"/>
      <c r="G3" s="144"/>
    </row>
    <row r="4" spans="2:7" ht="24">
      <c r="B4" s="150" t="s">
        <v>4</v>
      </c>
      <c r="C4" s="195" t="s">
        <v>815</v>
      </c>
      <c r="D4" s="148" t="s">
        <v>4</v>
      </c>
      <c r="E4" s="149">
        <v>2</v>
      </c>
      <c r="F4" s="148"/>
      <c r="G4" s="144"/>
    </row>
    <row r="5" spans="2:7" ht="24">
      <c r="B5" s="151" t="s">
        <v>5</v>
      </c>
      <c r="C5" s="195" t="s">
        <v>816</v>
      </c>
      <c r="D5" s="148" t="s">
        <v>5</v>
      </c>
      <c r="E5" s="149">
        <v>3</v>
      </c>
      <c r="F5" s="148"/>
      <c r="G5" s="144"/>
    </row>
    <row r="6" spans="2:7" ht="24">
      <c r="B6" s="152" t="s">
        <v>6</v>
      </c>
      <c r="C6" s="195" t="s">
        <v>817</v>
      </c>
      <c r="D6" s="148" t="s">
        <v>6</v>
      </c>
      <c r="E6" s="149">
        <v>4</v>
      </c>
      <c r="F6" s="148"/>
      <c r="G6" s="144"/>
    </row>
    <row r="7" spans="2:7" ht="24">
      <c r="B7" s="153" t="s">
        <v>15</v>
      </c>
      <c r="C7" s="195" t="s">
        <v>818</v>
      </c>
      <c r="D7" s="148" t="s">
        <v>15</v>
      </c>
      <c r="E7" s="149">
        <v>5</v>
      </c>
      <c r="F7" s="148"/>
      <c r="G7" s="144"/>
    </row>
    <row r="8" spans="2:7" ht="24">
      <c r="B8" s="154" t="s">
        <v>7</v>
      </c>
      <c r="C8" s="195" t="s">
        <v>819</v>
      </c>
      <c r="D8" s="148" t="s">
        <v>7</v>
      </c>
      <c r="E8" s="149">
        <v>6</v>
      </c>
      <c r="F8" s="148"/>
      <c r="G8" s="144"/>
    </row>
    <row r="9" spans="2:7">
      <c r="F9" s="155"/>
      <c r="G9" s="144"/>
    </row>
    <row r="10" spans="2:7" ht="32.25" customHeight="1">
      <c r="B10" s="145" t="s">
        <v>841</v>
      </c>
      <c r="D10" s="146"/>
    </row>
    <row r="11" spans="2:7" ht="48">
      <c r="B11" s="147" t="s">
        <v>8</v>
      </c>
      <c r="C11" s="195" t="s">
        <v>354</v>
      </c>
      <c r="D11" s="148" t="s">
        <v>8</v>
      </c>
      <c r="E11" s="149">
        <v>1</v>
      </c>
    </row>
    <row r="12" spans="2:7" ht="48">
      <c r="B12" s="150" t="s">
        <v>9</v>
      </c>
      <c r="C12" s="195" t="s">
        <v>355</v>
      </c>
      <c r="D12" s="148" t="s">
        <v>9</v>
      </c>
      <c r="E12" s="149">
        <v>2</v>
      </c>
    </row>
    <row r="13" spans="2:7" ht="60">
      <c r="B13" s="151" t="s">
        <v>10</v>
      </c>
      <c r="C13" s="195" t="s">
        <v>356</v>
      </c>
      <c r="D13" s="148" t="s">
        <v>10</v>
      </c>
      <c r="E13" s="149">
        <v>3</v>
      </c>
    </row>
    <row r="14" spans="2:7" ht="72">
      <c r="B14" s="152" t="s">
        <v>11</v>
      </c>
      <c r="C14" s="195" t="s">
        <v>357</v>
      </c>
      <c r="D14" s="148" t="s">
        <v>11</v>
      </c>
      <c r="E14" s="149">
        <v>4</v>
      </c>
    </row>
    <row r="15" spans="2:7" ht="72">
      <c r="B15" s="153" t="s">
        <v>12</v>
      </c>
      <c r="C15" s="195" t="s">
        <v>679</v>
      </c>
      <c r="D15" s="148" t="s">
        <v>12</v>
      </c>
      <c r="E15" s="149">
        <v>5</v>
      </c>
    </row>
    <row r="16" spans="2:7" ht="24">
      <c r="B16" s="154" t="s">
        <v>13</v>
      </c>
      <c r="C16" s="195" t="s">
        <v>359</v>
      </c>
      <c r="D16" s="148" t="s">
        <v>13</v>
      </c>
      <c r="E16" s="149">
        <v>6</v>
      </c>
    </row>
    <row r="19" spans="2:5">
      <c r="B19" s="145" t="s">
        <v>854</v>
      </c>
      <c r="D19" s="146"/>
    </row>
    <row r="20" spans="2:5" ht="24">
      <c r="B20" s="147" t="s">
        <v>8</v>
      </c>
      <c r="C20" s="195" t="s">
        <v>820</v>
      </c>
      <c r="D20" s="148" t="s">
        <v>8</v>
      </c>
      <c r="E20" s="149">
        <v>1</v>
      </c>
    </row>
    <row r="21" spans="2:5" ht="24">
      <c r="B21" s="150" t="s">
        <v>9</v>
      </c>
      <c r="C21" s="195" t="s">
        <v>821</v>
      </c>
      <c r="D21" s="148" t="s">
        <v>9</v>
      </c>
      <c r="E21" s="149">
        <v>2</v>
      </c>
    </row>
    <row r="22" spans="2:5">
      <c r="B22" s="151" t="s">
        <v>10</v>
      </c>
      <c r="C22" s="195" t="s">
        <v>822</v>
      </c>
      <c r="D22" s="148" t="s">
        <v>10</v>
      </c>
      <c r="E22" s="149">
        <v>3</v>
      </c>
    </row>
    <row r="23" spans="2:5" ht="24">
      <c r="B23" s="152" t="s">
        <v>11</v>
      </c>
      <c r="C23" s="195" t="s">
        <v>823</v>
      </c>
      <c r="D23" s="148" t="s">
        <v>11</v>
      </c>
      <c r="E23" s="149">
        <v>4</v>
      </c>
    </row>
    <row r="24" spans="2:5" ht="24">
      <c r="B24" s="153" t="s">
        <v>12</v>
      </c>
      <c r="C24" s="195" t="s">
        <v>824</v>
      </c>
      <c r="D24" s="148" t="s">
        <v>12</v>
      </c>
      <c r="E24" s="149">
        <v>5</v>
      </c>
    </row>
    <row r="25" spans="2:5">
      <c r="B25" s="154" t="s">
        <v>13</v>
      </c>
      <c r="C25" s="195" t="s">
        <v>825</v>
      </c>
      <c r="D25" s="148" t="s">
        <v>13</v>
      </c>
      <c r="E25" s="149">
        <v>6</v>
      </c>
    </row>
    <row r="27" spans="2:5">
      <c r="B27" s="145" t="s">
        <v>855</v>
      </c>
      <c r="D27" s="146"/>
    </row>
    <row r="28" spans="2:5" ht="96">
      <c r="B28" s="147" t="s">
        <v>8</v>
      </c>
      <c r="C28" s="195" t="s">
        <v>856</v>
      </c>
      <c r="D28" s="148" t="s">
        <v>8</v>
      </c>
      <c r="E28" s="149">
        <v>1</v>
      </c>
    </row>
    <row r="29" spans="2:5" ht="72">
      <c r="B29" s="150" t="s">
        <v>9</v>
      </c>
      <c r="C29" s="195" t="s">
        <v>670</v>
      </c>
      <c r="D29" s="148" t="s">
        <v>9</v>
      </c>
      <c r="E29" s="149">
        <v>2</v>
      </c>
    </row>
    <row r="30" spans="2:5" ht="108">
      <c r="B30" s="151" t="s">
        <v>10</v>
      </c>
      <c r="C30" s="195" t="s">
        <v>857</v>
      </c>
      <c r="D30" s="148" t="s">
        <v>10</v>
      </c>
      <c r="E30" s="149">
        <v>3</v>
      </c>
    </row>
    <row r="31" spans="2:5" ht="115.5" customHeight="1">
      <c r="B31" s="152" t="s">
        <v>11</v>
      </c>
      <c r="C31" s="195" t="s">
        <v>859</v>
      </c>
      <c r="D31" s="148" t="s">
        <v>11</v>
      </c>
      <c r="E31" s="149">
        <v>4</v>
      </c>
    </row>
    <row r="32" spans="2:5" ht="96">
      <c r="B32" s="153" t="s">
        <v>12</v>
      </c>
      <c r="C32" s="195" t="s">
        <v>858</v>
      </c>
      <c r="D32" s="148" t="s">
        <v>12</v>
      </c>
      <c r="E32" s="149">
        <v>5</v>
      </c>
    </row>
    <row r="33" spans="2:5" ht="96">
      <c r="B33" s="154" t="s">
        <v>13</v>
      </c>
      <c r="C33" s="195" t="s">
        <v>860</v>
      </c>
      <c r="D33" s="148" t="s">
        <v>13</v>
      </c>
      <c r="E33" s="149">
        <v>6</v>
      </c>
    </row>
    <row r="36" spans="2:5">
      <c r="B36" s="145" t="s">
        <v>861</v>
      </c>
      <c r="D36" s="146"/>
    </row>
    <row r="37" spans="2:5" ht="24">
      <c r="B37" s="147" t="s">
        <v>8</v>
      </c>
      <c r="C37" s="195" t="s">
        <v>671</v>
      </c>
      <c r="D37" s="148" t="s">
        <v>8</v>
      </c>
      <c r="E37" s="149">
        <v>1</v>
      </c>
    </row>
    <row r="38" spans="2:5" ht="24">
      <c r="B38" s="150" t="s">
        <v>9</v>
      </c>
      <c r="C38" s="195" t="s">
        <v>672</v>
      </c>
      <c r="D38" s="148" t="s">
        <v>9</v>
      </c>
      <c r="E38" s="149">
        <v>2</v>
      </c>
    </row>
    <row r="39" spans="2:5" ht="48">
      <c r="B39" s="151" t="s">
        <v>10</v>
      </c>
      <c r="C39" s="195" t="s">
        <v>673</v>
      </c>
      <c r="D39" s="148" t="s">
        <v>10</v>
      </c>
      <c r="E39" s="149">
        <v>3</v>
      </c>
    </row>
    <row r="40" spans="2:5" ht="48">
      <c r="B40" s="152" t="s">
        <v>11</v>
      </c>
      <c r="C40" s="195" t="s">
        <v>674</v>
      </c>
      <c r="D40" s="148" t="s">
        <v>11</v>
      </c>
      <c r="E40" s="149">
        <v>4</v>
      </c>
    </row>
    <row r="41" spans="2:5" ht="24">
      <c r="B41" s="153" t="s">
        <v>12</v>
      </c>
      <c r="C41" s="195" t="s">
        <v>327</v>
      </c>
      <c r="D41" s="148" t="s">
        <v>12</v>
      </c>
      <c r="E41" s="149">
        <v>5</v>
      </c>
    </row>
    <row r="42" spans="2:5">
      <c r="B42" s="154" t="s">
        <v>13</v>
      </c>
      <c r="C42" s="195" t="s">
        <v>328</v>
      </c>
      <c r="D42" s="148" t="s">
        <v>13</v>
      </c>
      <c r="E42" s="149">
        <v>6</v>
      </c>
    </row>
    <row r="45" spans="2:5">
      <c r="B45" s="145" t="s">
        <v>862</v>
      </c>
      <c r="D45" s="146"/>
    </row>
    <row r="46" spans="2:5" ht="24">
      <c r="B46" s="147" t="s">
        <v>8</v>
      </c>
      <c r="C46" s="195" t="s">
        <v>334</v>
      </c>
      <c r="D46" s="148" t="s">
        <v>8</v>
      </c>
      <c r="E46" s="149">
        <v>1</v>
      </c>
    </row>
    <row r="47" spans="2:5" ht="36">
      <c r="B47" s="150" t="s">
        <v>9</v>
      </c>
      <c r="C47" s="195" t="s">
        <v>675</v>
      </c>
      <c r="D47" s="148" t="s">
        <v>9</v>
      </c>
      <c r="E47" s="149">
        <v>2</v>
      </c>
    </row>
    <row r="48" spans="2:5" ht="48">
      <c r="B48" s="151" t="s">
        <v>10</v>
      </c>
      <c r="C48" s="195" t="s">
        <v>676</v>
      </c>
      <c r="D48" s="148" t="s">
        <v>10</v>
      </c>
      <c r="E48" s="149">
        <v>3</v>
      </c>
    </row>
    <row r="49" spans="2:10" ht="72">
      <c r="B49" s="152" t="s">
        <v>11</v>
      </c>
      <c r="C49" s="195" t="s">
        <v>677</v>
      </c>
      <c r="D49" s="148" t="s">
        <v>11</v>
      </c>
      <c r="E49" s="149">
        <v>4</v>
      </c>
    </row>
    <row r="50" spans="2:10" ht="80.25" customHeight="1">
      <c r="B50" s="153" t="s">
        <v>12</v>
      </c>
      <c r="C50" s="195" t="s">
        <v>863</v>
      </c>
      <c r="D50" s="148" t="s">
        <v>12</v>
      </c>
      <c r="E50" s="149">
        <v>5</v>
      </c>
    </row>
    <row r="51" spans="2:10" ht="24">
      <c r="B51" s="154" t="s">
        <v>13</v>
      </c>
      <c r="C51" s="195" t="s">
        <v>339</v>
      </c>
      <c r="D51" s="148" t="s">
        <v>13</v>
      </c>
      <c r="E51" s="149">
        <v>6</v>
      </c>
    </row>
    <row r="55" spans="2:10">
      <c r="B55" s="145" t="s">
        <v>839</v>
      </c>
      <c r="D55" s="146"/>
    </row>
    <row r="56" spans="2:10" ht="48">
      <c r="B56" s="153" t="s">
        <v>19</v>
      </c>
      <c r="C56" s="195" t="s">
        <v>835</v>
      </c>
      <c r="D56" s="148" t="s">
        <v>19</v>
      </c>
      <c r="E56" s="149">
        <v>1</v>
      </c>
    </row>
    <row r="57" spans="2:10" ht="60">
      <c r="B57" s="152" t="s">
        <v>9</v>
      </c>
      <c r="C57" s="195" t="s">
        <v>836</v>
      </c>
      <c r="D57" s="148" t="s">
        <v>9</v>
      </c>
      <c r="E57" s="149">
        <v>2</v>
      </c>
    </row>
    <row r="58" spans="2:10" ht="60">
      <c r="B58" s="151" t="s">
        <v>17</v>
      </c>
      <c r="C58" s="195" t="s">
        <v>837</v>
      </c>
      <c r="D58" s="148" t="s">
        <v>17</v>
      </c>
      <c r="E58" s="149">
        <v>3</v>
      </c>
    </row>
    <row r="59" spans="2:10" ht="60">
      <c r="B59" s="147" t="s">
        <v>49</v>
      </c>
      <c r="C59" s="195" t="s">
        <v>838</v>
      </c>
      <c r="D59" s="148" t="s">
        <v>49</v>
      </c>
      <c r="E59" s="149">
        <v>4</v>
      </c>
    </row>
    <row r="62" spans="2:10">
      <c r="B62" s="187"/>
      <c r="C62" s="186"/>
      <c r="D62" s="186"/>
      <c r="E62" s="186"/>
      <c r="F62" s="186"/>
      <c r="G62" s="186"/>
      <c r="H62" s="186"/>
      <c r="I62" s="184"/>
      <c r="J62" s="184"/>
    </row>
    <row r="63" spans="2:10">
      <c r="B63" s="145" t="s">
        <v>842</v>
      </c>
      <c r="D63" s="146"/>
      <c r="F63" s="186"/>
      <c r="G63" s="186"/>
      <c r="H63" s="186"/>
      <c r="I63" s="184"/>
      <c r="J63" s="184"/>
    </row>
    <row r="64" spans="2:10" ht="24">
      <c r="B64" s="153" t="s">
        <v>19</v>
      </c>
      <c r="C64" s="195" t="s">
        <v>826</v>
      </c>
      <c r="D64" s="148" t="s">
        <v>19</v>
      </c>
      <c r="E64" s="149">
        <v>1</v>
      </c>
      <c r="F64" s="186"/>
      <c r="G64" s="186"/>
      <c r="H64" s="186"/>
      <c r="I64" s="184"/>
      <c r="J64" s="184"/>
    </row>
    <row r="65" spans="2:10" ht="24">
      <c r="B65" s="152" t="s">
        <v>9</v>
      </c>
      <c r="C65" s="195" t="s">
        <v>827</v>
      </c>
      <c r="D65" s="148" t="s">
        <v>9</v>
      </c>
      <c r="E65" s="149">
        <v>2</v>
      </c>
      <c r="F65" s="186"/>
      <c r="G65" s="186"/>
      <c r="H65" s="186"/>
      <c r="I65" s="184"/>
      <c r="J65" s="184"/>
    </row>
    <row r="66" spans="2:10" ht="24">
      <c r="B66" s="151" t="s">
        <v>17</v>
      </c>
      <c r="C66" s="195" t="s">
        <v>843</v>
      </c>
      <c r="D66" s="148" t="s">
        <v>17</v>
      </c>
      <c r="E66" s="149">
        <v>3</v>
      </c>
      <c r="F66" s="186"/>
      <c r="G66" s="186"/>
      <c r="H66" s="186"/>
      <c r="I66" s="184"/>
      <c r="J66" s="184"/>
    </row>
    <row r="67" spans="2:10" ht="24">
      <c r="B67" s="147" t="s">
        <v>49</v>
      </c>
      <c r="C67" s="195" t="s">
        <v>828</v>
      </c>
      <c r="D67" s="148" t="s">
        <v>49</v>
      </c>
      <c r="E67" s="149">
        <v>4</v>
      </c>
      <c r="F67" s="186"/>
      <c r="G67" s="186"/>
      <c r="H67" s="186"/>
      <c r="I67" s="184"/>
      <c r="J67" s="184"/>
    </row>
    <row r="68" spans="2:10">
      <c r="B68" s="187"/>
      <c r="C68" s="186"/>
      <c r="D68" s="186"/>
      <c r="E68" s="186"/>
      <c r="F68" s="186"/>
      <c r="G68" s="186"/>
      <c r="H68" s="186"/>
      <c r="I68" s="184"/>
      <c r="J68" s="184"/>
    </row>
    <row r="69" spans="2:10">
      <c r="B69" s="145" t="s">
        <v>844</v>
      </c>
      <c r="D69" s="146"/>
      <c r="F69" s="186"/>
      <c r="G69" s="186"/>
      <c r="H69" s="186"/>
      <c r="I69" s="184"/>
      <c r="J69" s="184"/>
    </row>
    <row r="70" spans="2:10" ht="36">
      <c r="B70" s="153" t="s">
        <v>19</v>
      </c>
      <c r="C70" s="195" t="s">
        <v>845</v>
      </c>
      <c r="D70" s="148" t="s">
        <v>19</v>
      </c>
      <c r="E70" s="149">
        <v>1</v>
      </c>
      <c r="F70" s="186"/>
      <c r="G70" s="186"/>
      <c r="H70" s="186"/>
      <c r="I70" s="184"/>
      <c r="J70" s="184"/>
    </row>
    <row r="71" spans="2:10" ht="24">
      <c r="B71" s="152" t="s">
        <v>9</v>
      </c>
      <c r="C71" s="195" t="s">
        <v>829</v>
      </c>
      <c r="D71" s="148" t="s">
        <v>9</v>
      </c>
      <c r="E71" s="149">
        <v>2</v>
      </c>
      <c r="F71" s="186"/>
      <c r="G71" s="186"/>
      <c r="H71" s="186"/>
      <c r="I71" s="184"/>
      <c r="J71" s="184"/>
    </row>
    <row r="72" spans="2:10" ht="24">
      <c r="B72" s="151" t="s">
        <v>17</v>
      </c>
      <c r="C72" s="195" t="s">
        <v>846</v>
      </c>
      <c r="D72" s="148" t="s">
        <v>17</v>
      </c>
      <c r="E72" s="149">
        <v>3</v>
      </c>
      <c r="F72" s="186"/>
      <c r="G72" s="186"/>
      <c r="H72" s="186"/>
      <c r="I72" s="184"/>
      <c r="J72" s="184"/>
    </row>
    <row r="73" spans="2:10" ht="27.75" customHeight="1">
      <c r="B73" s="147" t="s">
        <v>49</v>
      </c>
      <c r="C73" s="195" t="s">
        <v>830</v>
      </c>
      <c r="D73" s="148" t="s">
        <v>49</v>
      </c>
      <c r="E73" s="149">
        <v>4</v>
      </c>
      <c r="F73" s="186"/>
      <c r="G73" s="186"/>
      <c r="H73" s="186"/>
      <c r="I73" s="184"/>
      <c r="J73" s="184"/>
    </row>
    <row r="74" spans="2:10" ht="27.75" customHeight="1">
      <c r="B74" s="193"/>
      <c r="C74" s="192"/>
      <c r="D74" s="148"/>
      <c r="E74" s="149"/>
      <c r="F74" s="186"/>
      <c r="G74" s="186"/>
      <c r="H74" s="186"/>
      <c r="I74" s="184"/>
      <c r="J74" s="184"/>
    </row>
    <row r="75" spans="2:10" ht="27.75" customHeight="1">
      <c r="B75" s="145" t="s">
        <v>847</v>
      </c>
      <c r="D75" s="146"/>
      <c r="F75" s="186"/>
      <c r="G75" s="186"/>
      <c r="H75" s="186"/>
      <c r="I75" s="184"/>
      <c r="J75" s="184"/>
    </row>
    <row r="76" spans="2:10" ht="27.75" customHeight="1">
      <c r="B76" s="153" t="s">
        <v>19</v>
      </c>
      <c r="C76" s="194" t="s">
        <v>848</v>
      </c>
      <c r="D76" s="148" t="s">
        <v>19</v>
      </c>
      <c r="E76" s="149">
        <v>1</v>
      </c>
      <c r="F76" s="186"/>
      <c r="G76" s="186"/>
      <c r="H76" s="186"/>
      <c r="I76" s="184"/>
      <c r="J76" s="184"/>
    </row>
    <row r="77" spans="2:10" ht="48">
      <c r="B77" s="152" t="s">
        <v>9</v>
      </c>
      <c r="C77" s="194" t="s">
        <v>849</v>
      </c>
      <c r="D77" s="148" t="s">
        <v>9</v>
      </c>
      <c r="E77" s="149">
        <v>2</v>
      </c>
      <c r="F77" s="186"/>
      <c r="G77" s="186"/>
      <c r="H77" s="186"/>
      <c r="I77" s="184"/>
      <c r="J77" s="184"/>
    </row>
    <row r="78" spans="2:10" ht="36">
      <c r="B78" s="151" t="s">
        <v>17</v>
      </c>
      <c r="C78" s="194" t="s">
        <v>850</v>
      </c>
      <c r="D78" s="148" t="s">
        <v>17</v>
      </c>
      <c r="E78" s="149">
        <v>3</v>
      </c>
      <c r="F78" s="186"/>
      <c r="G78" s="186"/>
      <c r="H78" s="186"/>
      <c r="I78" s="184"/>
      <c r="J78" s="184"/>
    </row>
    <row r="79" spans="2:10" ht="39" customHeight="1">
      <c r="B79" s="147" t="s">
        <v>49</v>
      </c>
      <c r="C79" s="194" t="s">
        <v>851</v>
      </c>
      <c r="D79" s="148" t="s">
        <v>49</v>
      </c>
      <c r="E79" s="149">
        <v>4</v>
      </c>
      <c r="F79" s="186"/>
      <c r="G79" s="186"/>
      <c r="H79" s="186"/>
      <c r="I79" s="184"/>
      <c r="J79" s="184"/>
    </row>
    <row r="80" spans="2:10" ht="27.75" customHeight="1">
      <c r="B80" s="193"/>
      <c r="C80" s="192"/>
      <c r="D80" s="148"/>
      <c r="E80" s="149"/>
      <c r="F80" s="186"/>
      <c r="G80" s="186"/>
      <c r="H80" s="186"/>
      <c r="I80" s="184"/>
      <c r="J80" s="184"/>
    </row>
    <row r="81" spans="2:10" ht="27.75" customHeight="1">
      <c r="B81" s="193"/>
      <c r="C81" s="192"/>
      <c r="D81" s="148"/>
      <c r="E81" s="149"/>
      <c r="F81" s="186"/>
      <c r="G81" s="186"/>
      <c r="H81" s="186"/>
      <c r="I81" s="184"/>
      <c r="J81" s="184"/>
    </row>
    <row r="82" spans="2:10" ht="27.75" customHeight="1">
      <c r="B82" s="145" t="s">
        <v>852</v>
      </c>
      <c r="D82" s="146"/>
      <c r="F82" s="186"/>
      <c r="G82" s="186"/>
      <c r="H82" s="186"/>
      <c r="I82" s="184"/>
      <c r="J82" s="184"/>
    </row>
    <row r="83" spans="2:10" ht="36">
      <c r="B83" s="153" t="s">
        <v>19</v>
      </c>
      <c r="C83" s="194" t="s">
        <v>831</v>
      </c>
      <c r="D83" s="148" t="s">
        <v>19</v>
      </c>
      <c r="E83" s="149">
        <v>1</v>
      </c>
      <c r="F83" s="186"/>
      <c r="G83" s="186"/>
      <c r="H83" s="186"/>
      <c r="I83" s="184"/>
      <c r="J83" s="184"/>
    </row>
    <row r="84" spans="2:10" ht="36">
      <c r="B84" s="152" t="s">
        <v>9</v>
      </c>
      <c r="C84" s="194" t="s">
        <v>832</v>
      </c>
      <c r="D84" s="148" t="s">
        <v>9</v>
      </c>
      <c r="E84" s="149">
        <v>2</v>
      </c>
      <c r="F84" s="186"/>
      <c r="G84" s="186"/>
      <c r="H84" s="186"/>
      <c r="I84" s="184"/>
      <c r="J84" s="184"/>
    </row>
    <row r="85" spans="2:10" ht="24">
      <c r="B85" s="151" t="s">
        <v>17</v>
      </c>
      <c r="C85" s="194" t="s">
        <v>833</v>
      </c>
      <c r="D85" s="148" t="s">
        <v>17</v>
      </c>
      <c r="E85" s="149">
        <v>3</v>
      </c>
      <c r="F85" s="186"/>
      <c r="G85" s="186"/>
      <c r="H85" s="186"/>
      <c r="I85" s="184"/>
      <c r="J85" s="184"/>
    </row>
    <row r="86" spans="2:10" ht="24">
      <c r="B86" s="147" t="s">
        <v>49</v>
      </c>
      <c r="C86" s="194" t="s">
        <v>834</v>
      </c>
      <c r="D86" s="148" t="s">
        <v>49</v>
      </c>
      <c r="E86" s="149">
        <v>4</v>
      </c>
      <c r="F86" s="186"/>
      <c r="G86" s="186"/>
      <c r="H86" s="186"/>
      <c r="I86" s="184"/>
      <c r="J86" s="184"/>
    </row>
    <row r="87" spans="2:10" ht="27.75" customHeight="1">
      <c r="B87" s="193"/>
      <c r="C87" s="192"/>
      <c r="D87" s="148"/>
      <c r="E87" s="149"/>
      <c r="F87" s="186"/>
      <c r="G87" s="186"/>
      <c r="H87" s="186"/>
      <c r="I87" s="184"/>
      <c r="J87" s="184"/>
    </row>
    <row r="88" spans="2:10" ht="27.75" customHeight="1">
      <c r="B88" s="193"/>
      <c r="C88" s="192"/>
      <c r="D88" s="148"/>
      <c r="E88" s="149"/>
      <c r="F88" s="186"/>
      <c r="G88" s="186"/>
      <c r="H88" s="186"/>
      <c r="I88" s="184"/>
      <c r="J88" s="184"/>
    </row>
    <row r="89" spans="2:10">
      <c r="B89" s="145" t="s">
        <v>853</v>
      </c>
      <c r="D89" s="146"/>
      <c r="F89" s="185"/>
      <c r="G89" s="188"/>
      <c r="H89" s="189"/>
      <c r="I89" s="1"/>
      <c r="J89" s="1"/>
    </row>
    <row r="90" spans="2:10" ht="36">
      <c r="B90" s="153" t="s">
        <v>19</v>
      </c>
      <c r="C90" s="194" t="s">
        <v>848</v>
      </c>
      <c r="D90" s="148" t="s">
        <v>19</v>
      </c>
      <c r="E90" s="149">
        <v>1</v>
      </c>
      <c r="F90" s="183"/>
      <c r="G90" s="190"/>
      <c r="H90" s="191"/>
      <c r="I90" s="1"/>
      <c r="J90" s="1"/>
    </row>
    <row r="91" spans="2:10" ht="48">
      <c r="B91" s="152" t="s">
        <v>9</v>
      </c>
      <c r="C91" s="194" t="s">
        <v>849</v>
      </c>
      <c r="D91" s="148" t="s">
        <v>9</v>
      </c>
      <c r="E91" s="149">
        <v>2</v>
      </c>
      <c r="F91" s="183"/>
      <c r="G91" s="190"/>
      <c r="H91" s="191"/>
      <c r="I91" s="1"/>
      <c r="J91" s="1"/>
    </row>
    <row r="92" spans="2:10" ht="36">
      <c r="B92" s="151" t="s">
        <v>17</v>
      </c>
      <c r="C92" s="194" t="s">
        <v>850</v>
      </c>
      <c r="D92" s="148" t="s">
        <v>17</v>
      </c>
      <c r="E92" s="149">
        <v>3</v>
      </c>
      <c r="F92" s="184"/>
      <c r="G92" s="184"/>
      <c r="H92" s="184"/>
      <c r="I92" s="1"/>
      <c r="J92" s="1"/>
    </row>
    <row r="93" spans="2:10" ht="36">
      <c r="B93" s="147" t="s">
        <v>49</v>
      </c>
      <c r="C93" s="194" t="s">
        <v>851</v>
      </c>
      <c r="D93" s="148" t="s">
        <v>49</v>
      </c>
      <c r="E93" s="149">
        <v>4</v>
      </c>
      <c r="F93" s="184"/>
      <c r="G93" s="184"/>
      <c r="H93" s="184"/>
      <c r="I93" s="1"/>
      <c r="J93" s="1"/>
    </row>
    <row r="94" spans="2:10">
      <c r="B94" s="1"/>
      <c r="C94" s="1"/>
      <c r="D94" s="1"/>
      <c r="E94" s="1"/>
      <c r="F94" s="1"/>
      <c r="G94" s="1"/>
      <c r="H94" s="1"/>
      <c r="I94" s="1"/>
      <c r="J94" s="1"/>
    </row>
    <row r="98" spans="2:5">
      <c r="B98" s="145" t="s">
        <v>22</v>
      </c>
      <c r="D98" s="146"/>
    </row>
    <row r="99" spans="2:5" ht="36" customHeight="1">
      <c r="B99" s="147" t="s">
        <v>20</v>
      </c>
      <c r="C99" s="357" t="s">
        <v>903</v>
      </c>
      <c r="D99" s="148" t="s">
        <v>20</v>
      </c>
      <c r="E99" s="149">
        <v>1</v>
      </c>
    </row>
    <row r="100" spans="2:5" ht="48" customHeight="1">
      <c r="B100" s="151" t="s">
        <v>10</v>
      </c>
      <c r="C100" s="358"/>
      <c r="D100" s="148" t="s">
        <v>10</v>
      </c>
      <c r="E100" s="149">
        <v>2</v>
      </c>
    </row>
    <row r="101" spans="2:5" ht="36" customHeight="1">
      <c r="B101" s="152" t="s">
        <v>11</v>
      </c>
      <c r="C101" s="358"/>
      <c r="D101" s="148" t="s">
        <v>11</v>
      </c>
      <c r="E101" s="149">
        <v>3</v>
      </c>
    </row>
    <row r="102" spans="2:5" ht="36" customHeight="1">
      <c r="B102" s="153" t="s">
        <v>12</v>
      </c>
      <c r="C102" s="359"/>
      <c r="D102" s="148" t="s">
        <v>12</v>
      </c>
      <c r="E102" s="149">
        <v>4</v>
      </c>
    </row>
  </sheetData>
  <mergeCells count="1">
    <mergeCell ref="C99:C102"/>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sheetPr codeName="Feuil3">
    <tabColor rgb="FF7030A0"/>
    <pageSetUpPr fitToPage="1"/>
  </sheetPr>
  <dimension ref="A1:T13"/>
  <sheetViews>
    <sheetView showGridLines="0" topLeftCell="A4" zoomScale="70" zoomScaleNormal="70" workbookViewId="0">
      <selection activeCell="I17" sqref="I17"/>
    </sheetView>
  </sheetViews>
  <sheetFormatPr baseColWidth="10" defaultRowHeight="12.75"/>
  <cols>
    <col min="1" max="1" width="3.85546875" customWidth="1"/>
    <col min="2" max="2" width="3.5703125" customWidth="1"/>
    <col min="3" max="3" width="3" customWidth="1"/>
    <col min="4" max="4" width="5.7109375" customWidth="1"/>
    <col min="5" max="10" width="30.7109375" customWidth="1"/>
    <col min="13" max="13" width="3.5703125" customWidth="1"/>
    <col min="14" max="14" width="4" customWidth="1"/>
    <col min="15" max="15" width="2.42578125" customWidth="1"/>
    <col min="16" max="19" width="30.7109375" customWidth="1"/>
    <col min="20" max="20" width="3.85546875" customWidth="1"/>
  </cols>
  <sheetData>
    <row r="1" spans="1:20" ht="30.75" customHeight="1">
      <c r="A1" s="10"/>
      <c r="B1" s="6"/>
      <c r="C1" s="6"/>
      <c r="D1" s="6"/>
      <c r="E1" s="6"/>
      <c r="F1" s="6"/>
      <c r="G1" s="6"/>
      <c r="H1" s="6"/>
      <c r="I1" s="26"/>
      <c r="J1" s="6"/>
      <c r="K1" s="6"/>
      <c r="L1" s="6"/>
      <c r="M1" s="6"/>
      <c r="N1" s="6"/>
      <c r="O1" s="6"/>
      <c r="P1" s="6"/>
      <c r="Q1" s="6"/>
      <c r="R1" s="6"/>
      <c r="S1" s="6"/>
      <c r="T1" s="6"/>
    </row>
    <row r="2" spans="1:20" ht="24.75">
      <c r="F2" s="360" t="s">
        <v>756</v>
      </c>
      <c r="G2" s="360"/>
      <c r="H2" s="360"/>
      <c r="I2" s="360"/>
    </row>
    <row r="3" spans="1:20" ht="18">
      <c r="G3" s="47"/>
    </row>
    <row r="4" spans="1:20" ht="18">
      <c r="E4" s="5"/>
      <c r="F4" s="4"/>
      <c r="G4" s="4"/>
      <c r="H4" s="4"/>
      <c r="I4" s="4"/>
      <c r="J4" s="4"/>
      <c r="P4" s="5"/>
      <c r="Q4" s="5"/>
      <c r="R4" s="4"/>
      <c r="S4" s="4"/>
    </row>
    <row r="5" spans="1:20" ht="99.95" customHeight="1">
      <c r="B5" s="361" t="s">
        <v>3</v>
      </c>
      <c r="C5" s="17" t="s">
        <v>7</v>
      </c>
      <c r="D5" s="11">
        <v>6</v>
      </c>
      <c r="E5" s="226">
        <f ca="1">COUNTIF('Tableau des risques brut'!$C$3:$C$41,$E8&amp;"/"&amp;C$10)</f>
        <v>0</v>
      </c>
      <c r="F5" s="227">
        <f ca="1">COUNTIF('Tableau des risques brut'!$C$3:$C$41,$E8&amp;"/"&amp;D$10)</f>
        <v>0</v>
      </c>
      <c r="G5" s="227">
        <f ca="1">COUNTIF('Tableau des risques brut'!$C$3:$C$41,$E8&amp;"/"&amp;E$10)</f>
        <v>0</v>
      </c>
      <c r="H5" s="227">
        <f ca="1">COUNTIF('Tableau des risques brut'!$C$3:$C$41,$E8&amp;"/"&amp;F$10)</f>
        <v>0</v>
      </c>
      <c r="I5" s="227">
        <f ca="1">COUNTIF('Tableau des risques brut'!$C$3:$C$41,$E8&amp;"/"&amp;G$10)</f>
        <v>0</v>
      </c>
      <c r="J5" s="227">
        <f ca="1">COUNTIF('Tableau des risques brut'!$C$3:$C$41,$E8&amp;"/"&amp;H$10)</f>
        <v>0</v>
      </c>
      <c r="P5" s="360" t="s">
        <v>84</v>
      </c>
      <c r="Q5" s="360"/>
      <c r="R5" s="360"/>
      <c r="S5" s="360"/>
    </row>
    <row r="6" spans="1:20" ht="99.95" customHeight="1">
      <c r="B6" s="362"/>
      <c r="C6" s="17" t="s">
        <v>15</v>
      </c>
      <c r="D6" s="11">
        <v>5</v>
      </c>
      <c r="E6" s="226">
        <f ca="1">COUNTIF('Tableau des risques brut'!$C$3:$C$41,$E9&amp;"/"&amp;C$10)</f>
        <v>0</v>
      </c>
      <c r="F6" s="226">
        <f ca="1">COUNTIF('Tableau des risques brut'!$C$3:$C$41,$E9&amp;"/"&amp;D$10)</f>
        <v>0</v>
      </c>
      <c r="G6" s="226">
        <f ca="1">COUNTIF('Tableau des risques brut'!$C$3:$C$41,$E9&amp;"/"&amp;E$10)</f>
        <v>0</v>
      </c>
      <c r="H6" s="227">
        <f ca="1">COUNTIF('Tableau des risques brut'!$C$3:$C$41,$E9&amp;"/"&amp;F$10)</f>
        <v>0</v>
      </c>
      <c r="I6" s="227">
        <f ca="1">COUNTIF('Tableau des risques brut'!$C$3:$C$41,$E9&amp;"/"&amp;G$10)</f>
        <v>0</v>
      </c>
      <c r="J6" s="227">
        <f ca="1">COUNTIF('Tableau des risques brut'!$C$3:$C$41,$E9&amp;"/"&amp;H$10)</f>
        <v>0</v>
      </c>
    </row>
    <row r="7" spans="1:20" ht="99.95" customHeight="1">
      <c r="B7" s="362"/>
      <c r="C7" s="17" t="s">
        <v>6</v>
      </c>
      <c r="D7" s="11">
        <v>4</v>
      </c>
      <c r="E7" s="225">
        <f ca="1">COUNTIF('Tableau des risques brut'!$C$3:$C$41,$E10&amp;"/"&amp;C$10)</f>
        <v>0</v>
      </c>
      <c r="F7" s="225">
        <f ca="1">COUNTIF('Tableau des risques brut'!$C$3:$C$41,$E10&amp;"/"&amp;D$10)</f>
        <v>0</v>
      </c>
      <c r="G7" s="226">
        <f ca="1">COUNTIF('Tableau des risques brut'!$C$3:$C$41,$E10&amp;"/"&amp;E$10)</f>
        <v>0</v>
      </c>
      <c r="H7" s="226">
        <f ca="1">COUNTIF('Tableau des risques brut'!$C$3:$C$41,$E10&amp;"/"&amp;F$10)</f>
        <v>0</v>
      </c>
      <c r="I7" s="227">
        <f ca="1">COUNTIF('Tableau des risques brut'!$C$3:$C$41,$E10&amp;"/"&amp;G$10)</f>
        <v>0</v>
      </c>
      <c r="J7" s="227">
        <f ca="1">COUNTIF('Tableau des risques brut'!$C$3:$C$41,$E10&amp;"/"&amp;H$10)</f>
        <v>0</v>
      </c>
      <c r="M7" s="365" t="s">
        <v>22</v>
      </c>
      <c r="N7" s="20" t="s">
        <v>21</v>
      </c>
      <c r="P7" s="27" t="e">
        <f>(RechTous("x",CriticiteBrut13,NUMERO_RISQUE_CRIT," "))</f>
        <v>#VALUE!</v>
      </c>
      <c r="Q7" s="27" t="e">
        <f>(RechTous("x",CriticiteBrut14,NUMERO_RISQUE_CRIT,"   "))</f>
        <v>#VALUE!</v>
      </c>
      <c r="R7" s="28" t="e">
        <f>(RechTous("x",CriticiteBrut15,NUMERO_RISQUE_CRIT," "))</f>
        <v>#VALUE!</v>
      </c>
      <c r="S7" s="29" t="e">
        <f>(RechTous("x",CriticiteBrut16,NUMERO_RISQUE_CRIT," "))</f>
        <v>#VALUE!</v>
      </c>
    </row>
    <row r="8" spans="1:20" ht="99.95" customHeight="1">
      <c r="B8" s="362"/>
      <c r="C8" s="17" t="s">
        <v>5</v>
      </c>
      <c r="D8" s="11">
        <v>3</v>
      </c>
      <c r="E8" s="228">
        <f ca="1">COUNTIF('Tableau des risques brut'!$C$3:$C$41,$E11&amp;"/"&amp;C$10)</f>
        <v>0</v>
      </c>
      <c r="F8" s="225">
        <f ca="1">COUNTIF('Tableau des risques brut'!$C$3:$C$41,$E11&amp;"/"&amp;D$10)</f>
        <v>0</v>
      </c>
      <c r="G8" s="225">
        <f ca="1">COUNTIF('Tableau des risques brut'!$C$3:$C$41,$E11&amp;"/"&amp;E$10)</f>
        <v>0</v>
      </c>
      <c r="H8" s="226">
        <f ca="1">COUNTIF('Tableau des risques brut'!$C$3:$C$41,$E11&amp;"/"&amp;F$10)</f>
        <v>0</v>
      </c>
      <c r="I8" s="227">
        <f ca="1">COUNTIF('Tableau des risques brut'!$C$3:$C$41,$E11&amp;"/"&amp;G$10)</f>
        <v>0</v>
      </c>
      <c r="J8" s="227">
        <f ca="1">COUNTIF('Tableau des risques brut'!$C$3:$C$41,$E11&amp;"/"&amp;H$10)</f>
        <v>0</v>
      </c>
      <c r="M8" s="365"/>
      <c r="N8" s="18" t="s">
        <v>11</v>
      </c>
      <c r="P8" s="27" t="e">
        <f>(RechTous("x",CriticiteBrut9,NUMERO_RISQUE_CRIT," "))</f>
        <v>#VALUE!</v>
      </c>
      <c r="Q8" s="28" t="e">
        <f>(RechTous("x",CriticiteBrut10,NUMERO_RISQUE_CRIT,"  "))</f>
        <v>#VALUE!</v>
      </c>
      <c r="R8" s="30" t="e">
        <f>(RechTous("x",CriticiteBrut11,NUMERO_RISQUE_CRIT,"   "))</f>
        <v>#VALUE!</v>
      </c>
      <c r="S8" s="29" t="e">
        <f>(RechTous("x",CriticiteBrut12,NUMERO_RISQUE_CRIT," "))</f>
        <v>#VALUE!</v>
      </c>
    </row>
    <row r="9" spans="1:20" ht="99.95" customHeight="1">
      <c r="B9" s="362"/>
      <c r="C9" s="17" t="s">
        <v>4</v>
      </c>
      <c r="D9" s="11">
        <v>2</v>
      </c>
      <c r="E9" s="228">
        <f ca="1">COUNTIF('Tableau des risques brut'!$C$3:$C$41,$E12&amp;"/"&amp;C$10)</f>
        <v>0</v>
      </c>
      <c r="F9" s="228">
        <f ca="1">COUNTIF('Tableau des risques brut'!$C$3:$C$41,$E12&amp;"/"&amp;D$10)</f>
        <v>0</v>
      </c>
      <c r="G9" s="225">
        <f ca="1">COUNTIF('Tableau des risques brut'!$C$3:$C$41,$E12&amp;"/"&amp;E$10)</f>
        <v>0</v>
      </c>
      <c r="H9" s="225">
        <f ca="1">COUNTIF('Tableau des risques brut'!$C$3:$C$41,$E12&amp;"/"&amp;F$10)</f>
        <v>0</v>
      </c>
      <c r="I9" s="227">
        <f ca="1">COUNTIF('Tableau des risques brut'!$C$3:$C$41,$E12&amp;"/"&amp;G$10)</f>
        <v>0</v>
      </c>
      <c r="J9" s="227">
        <f ca="1">COUNTIF('Tableau des risques brut'!$C$3:$C$41,$E12&amp;"/"&amp;H$10)</f>
        <v>0</v>
      </c>
      <c r="M9" s="365"/>
      <c r="N9" s="18" t="s">
        <v>10</v>
      </c>
      <c r="P9" s="28" t="e">
        <f>(RechTous("x",CriticiteBrut5,NUMERO_RISQUE_CRIT," "))</f>
        <v>#VALUE!</v>
      </c>
      <c r="Q9" s="30" t="e">
        <f>(RechTous("x",CriticiteBrut6,NUMERO_RISQUE_CRIT," "))</f>
        <v>#VALUE!</v>
      </c>
      <c r="R9" s="30" t="e">
        <f>(RechTous("x",CriticiteBrut7,NUMERO_RISQUE_CRIT,"    "))</f>
        <v>#VALUE!</v>
      </c>
      <c r="S9" s="31" t="e">
        <f>(RechTous("x",CriticiteBrut8,NUMERO_RISQUE_CRIT," "))</f>
        <v>#VALUE!</v>
      </c>
    </row>
    <row r="10" spans="1:20" ht="99.95" customHeight="1">
      <c r="B10" s="363"/>
      <c r="C10" s="17" t="s">
        <v>25</v>
      </c>
      <c r="D10" s="11">
        <v>1</v>
      </c>
      <c r="E10" s="228">
        <f ca="1">COUNTIF('Tableau des risques brut'!$C$3:$C$41,$E13&amp;"/"&amp;C$10)</f>
        <v>0</v>
      </c>
      <c r="F10" s="228">
        <f ca="1">COUNTIF('Tableau des risques brut'!$C$3:$C$41,$E13&amp;"/"&amp;D$10)</f>
        <v>0</v>
      </c>
      <c r="G10" s="228">
        <f ca="1">COUNTIF('Tableau des risques brut'!$C$3:$C$41,$E13&amp;"/"&amp;E$10)</f>
        <v>0</v>
      </c>
      <c r="H10" s="225">
        <f ca="1">COUNTIF('Tableau des risques brut'!$C$3:$C$41,$E13&amp;"/"&amp;F$10)</f>
        <v>0</v>
      </c>
      <c r="I10" s="227">
        <f ca="1">COUNTIF('Tableau des risques brut'!$C$3:$C$41,$E13&amp;"/"&amp;G$10)</f>
        <v>0</v>
      </c>
      <c r="J10" s="227">
        <f ca="1">COUNTIF('Tableau des risques brut'!$C$3:$C$41,$E13&amp;"/"&amp;H$10)</f>
        <v>0</v>
      </c>
      <c r="M10" s="365"/>
      <c r="N10" s="19" t="s">
        <v>20</v>
      </c>
      <c r="P10" s="32" t="str">
        <f ca="1">(RechTous("x",CriticiteBrut1,NUMERO_RISQUE_CRIT," "))</f>
        <v/>
      </c>
      <c r="Q10" s="32" t="e">
        <f>(RechTous("x",CriticiteBrut2,NUMERO_RISQUE_CRIT," "))</f>
        <v>#VALUE!</v>
      </c>
      <c r="R10" s="31" t="e">
        <f>(RechTous("x",CriticiteBrut3,NUMERO_RISQUE_CRIT," "))</f>
        <v>#VALUE!</v>
      </c>
      <c r="S10" s="31" t="e">
        <f>(RechTous("x",CriticiteBrut4,NUMERO_RISQUE_CRIT," "))</f>
        <v>#VALUE!</v>
      </c>
    </row>
    <row r="11" spans="1:20" ht="18" customHeight="1">
      <c r="E11" s="16">
        <v>1</v>
      </c>
      <c r="F11" s="16">
        <v>2</v>
      </c>
      <c r="G11" s="16">
        <v>3</v>
      </c>
      <c r="H11" s="16">
        <v>4</v>
      </c>
      <c r="I11" s="16">
        <v>5</v>
      </c>
      <c r="J11" s="16">
        <v>6</v>
      </c>
    </row>
    <row r="12" spans="1:20" ht="18" customHeight="1">
      <c r="E12" s="364" t="s">
        <v>23</v>
      </c>
      <c r="F12" s="364"/>
      <c r="G12" s="364"/>
      <c r="H12" s="364"/>
      <c r="I12" s="364"/>
      <c r="J12" s="364"/>
      <c r="P12" s="7" t="s">
        <v>0</v>
      </c>
      <c r="Q12" s="7"/>
      <c r="R12" s="8"/>
      <c r="S12" s="8"/>
    </row>
    <row r="13" spans="1:20" ht="15.75" customHeight="1">
      <c r="E13" s="12" t="s">
        <v>8</v>
      </c>
      <c r="F13" s="12" t="s">
        <v>9</v>
      </c>
      <c r="G13" s="12" t="s">
        <v>10</v>
      </c>
      <c r="H13" s="12" t="s">
        <v>11</v>
      </c>
      <c r="I13" s="12" t="s">
        <v>12</v>
      </c>
      <c r="J13" s="12" t="s">
        <v>13</v>
      </c>
      <c r="K13" s="13"/>
      <c r="L13" s="13"/>
      <c r="M13" s="13"/>
      <c r="N13" s="13"/>
      <c r="O13" s="13"/>
      <c r="P13" s="12" t="s">
        <v>19</v>
      </c>
      <c r="Q13" s="12" t="s">
        <v>9</v>
      </c>
      <c r="R13" s="12" t="s">
        <v>17</v>
      </c>
      <c r="S13" s="12" t="s">
        <v>16</v>
      </c>
    </row>
  </sheetData>
  <mergeCells count="5">
    <mergeCell ref="P5:S5"/>
    <mergeCell ref="F2:I2"/>
    <mergeCell ref="B5:B10"/>
    <mergeCell ref="E12:J12"/>
    <mergeCell ref="M7:M10"/>
  </mergeCells>
  <phoneticPr fontId="7" type="noConversion"/>
  <pageMargins left="0.22" right="0.5" top="0.31" bottom="0.25" header="0.2" footer="0.13"/>
  <pageSetup paperSize="9" scale="44" fitToHeight="0" orientation="landscape" horizontalDpi="300" r:id="rId1"/>
  <headerFooter alignWithMargins="0">
    <oddHeader>&amp;R&amp;"Arial,Italique"&amp;6&amp;D</oddHeader>
  </headerFooter>
  <drawing r:id="rId2"/>
  <legacyDrawing r:id="rId3"/>
</worksheet>
</file>

<file path=xl/worksheets/sheet10.xml><?xml version="1.0" encoding="utf-8"?>
<worksheet xmlns="http://schemas.openxmlformats.org/spreadsheetml/2006/main" xmlns:r="http://schemas.openxmlformats.org/officeDocument/2006/relationships">
  <sheetPr codeName="Feuil4">
    <tabColor rgb="FF7030A0"/>
    <pageSetUpPr fitToPage="1"/>
  </sheetPr>
  <dimension ref="A1:T18"/>
  <sheetViews>
    <sheetView showGridLines="0" zoomScale="70" zoomScaleNormal="70" workbookViewId="0">
      <selection activeCell="H28" sqref="H28"/>
    </sheetView>
  </sheetViews>
  <sheetFormatPr baseColWidth="10" defaultRowHeight="12.75"/>
  <cols>
    <col min="1" max="1" width="3.85546875" customWidth="1"/>
    <col min="2" max="2" width="3.5703125" customWidth="1"/>
    <col min="3" max="3" width="3" customWidth="1"/>
    <col min="4" max="4" width="5.7109375" customWidth="1"/>
    <col min="5" max="10" width="30.7109375" customWidth="1"/>
    <col min="12" max="12" width="5.5703125" customWidth="1"/>
    <col min="13" max="13" width="5.28515625" customWidth="1"/>
    <col min="15" max="20" width="30.7109375" customWidth="1"/>
  </cols>
  <sheetData>
    <row r="1" spans="1:20" ht="30.75" customHeight="1">
      <c r="A1" s="10"/>
      <c r="B1" s="6"/>
      <c r="C1" s="6"/>
      <c r="D1" s="6"/>
      <c r="E1" s="366" t="s">
        <v>797</v>
      </c>
      <c r="F1" s="366"/>
      <c r="G1" s="366"/>
      <c r="H1" s="366"/>
      <c r="I1" s="366"/>
      <c r="J1" s="366"/>
      <c r="K1" s="6"/>
      <c r="L1" s="6"/>
      <c r="O1" s="366" t="s">
        <v>798</v>
      </c>
      <c r="P1" s="366"/>
      <c r="Q1" s="366"/>
      <c r="R1" s="366"/>
      <c r="S1" s="366"/>
      <c r="T1" s="366"/>
    </row>
    <row r="2" spans="1:20">
      <c r="E2" s="366"/>
      <c r="F2" s="366"/>
      <c r="G2" s="366"/>
      <c r="H2" s="366"/>
      <c r="I2" s="366"/>
      <c r="J2" s="366"/>
      <c r="O2" s="366"/>
      <c r="P2" s="366"/>
      <c r="Q2" s="366"/>
      <c r="R2" s="366"/>
      <c r="S2" s="366"/>
      <c r="T2" s="366"/>
    </row>
    <row r="3" spans="1:20" ht="18" customHeight="1">
      <c r="E3" s="366"/>
      <c r="F3" s="366"/>
      <c r="G3" s="366"/>
      <c r="H3" s="366"/>
      <c r="I3" s="366"/>
      <c r="J3" s="366"/>
      <c r="O3" s="366"/>
      <c r="P3" s="366"/>
      <c r="Q3" s="366"/>
      <c r="R3" s="366"/>
      <c r="S3" s="366"/>
      <c r="T3" s="366"/>
    </row>
    <row r="4" spans="1:20" ht="18" customHeight="1">
      <c r="E4" s="367"/>
      <c r="F4" s="367"/>
      <c r="G4" s="367"/>
      <c r="H4" s="367"/>
      <c r="I4" s="367"/>
      <c r="J4" s="367"/>
      <c r="O4" s="367"/>
      <c r="P4" s="367"/>
      <c r="Q4" s="367"/>
      <c r="R4" s="367"/>
      <c r="S4" s="367"/>
      <c r="T4" s="367"/>
    </row>
    <row r="5" spans="1:20" ht="82.5" customHeight="1">
      <c r="B5" s="361" t="s">
        <v>3</v>
      </c>
      <c r="C5" s="17" t="s">
        <v>7</v>
      </c>
      <c r="D5" s="11">
        <v>6</v>
      </c>
      <c r="E5" s="158" t="e">
        <f>RechTous("x",RisqueBrut6,NUMERO_RISQUE_CRIT,"   ")</f>
        <v>#VALUE!</v>
      </c>
      <c r="F5" s="159" t="e">
        <f>RechTous("x",RisqueBrut12,NUMERO_RISQUE_CRIT,"   ")</f>
        <v>#VALUE!</v>
      </c>
      <c r="G5" s="159" t="e">
        <f>RechTous("x",RisqueBrut18,NUMERO_RISQUE_CRIT,"   ")</f>
        <v>#VALUE!</v>
      </c>
      <c r="H5" s="159" t="e">
        <f>RechTous("x",RisqueBrut24,NUMERO_RISQUE_CRIT,"   ")</f>
        <v>#VALUE!</v>
      </c>
      <c r="I5" s="159" t="e">
        <f>RechTous("x",RisqueBrut30,NUMERO_RISQUE_CRIT,"   ")</f>
        <v>#VALUE!</v>
      </c>
      <c r="J5" s="159" t="e">
        <f>RechTous("x",RisqueBrut36,NUMERO_RISQUE_CRIT,"   ")</f>
        <v>#VALUE!</v>
      </c>
      <c r="L5" s="361" t="s">
        <v>3</v>
      </c>
      <c r="M5" s="17" t="s">
        <v>7</v>
      </c>
      <c r="N5" s="11">
        <v>6</v>
      </c>
      <c r="O5" s="158" t="e">
        <f>RechTous("x",RisqueNet6,Nom_Risk_Net,"   ")</f>
        <v>#VALUE!</v>
      </c>
      <c r="P5" s="159" t="e">
        <f>RechTous("x",RisqueNet12,Nom_Risk_Net,"   ")</f>
        <v>#VALUE!</v>
      </c>
      <c r="Q5" s="159" t="e">
        <f>RechTous("x",RisqueNet18,Nom_Risk_Net,"   ")</f>
        <v>#VALUE!</v>
      </c>
      <c r="R5" s="159" t="e">
        <f>RechTous("x",RisqueNet24,Nom_Risk_Net,"   ")</f>
        <v>#VALUE!</v>
      </c>
      <c r="S5" s="159" t="e">
        <f>RechTous("x",RisqueNet30,Nom_Risk_Net,"   ")</f>
        <v>#VALUE!</v>
      </c>
      <c r="T5" s="159" t="e">
        <f>RechTous("x",RisqueNet36,Nom_Risk_Net,"   ")</f>
        <v>#VALUE!</v>
      </c>
    </row>
    <row r="6" spans="1:20" ht="82.5" customHeight="1">
      <c r="B6" s="362"/>
      <c r="C6" s="17" t="s">
        <v>15</v>
      </c>
      <c r="D6" s="11">
        <v>5</v>
      </c>
      <c r="E6" s="158" t="e">
        <f>RechTous("x",RisqueBrut5,NUMERO_RISQUE_CRIT,"   ")</f>
        <v>#VALUE!</v>
      </c>
      <c r="F6" s="158" t="e">
        <f>RechTous("x",RisqueBrut11,NUMERO_RISQUE_CRIT,"   ")</f>
        <v>#VALUE!</v>
      </c>
      <c r="G6" s="158" t="e">
        <f>RechTous("x",RisqueBrut17,NUMERO_RISQUE_CRIT,"   ")</f>
        <v>#VALUE!</v>
      </c>
      <c r="H6" s="159" t="e">
        <f>RechTous("x",RisqueBrut23,NUMERO_RISQUE_CRIT,"   ")</f>
        <v>#VALUE!</v>
      </c>
      <c r="I6" s="159" t="e">
        <f>RechTous("x",RisqueBrut29,NUMERO_RISQUE_CRIT,"   ")</f>
        <v>#VALUE!</v>
      </c>
      <c r="J6" s="159" t="e">
        <f>RechTous("x",RisqueBrut35,NUMERO_RISQUE_CRIT,"   ")</f>
        <v>#VALUE!</v>
      </c>
      <c r="L6" s="362"/>
      <c r="M6" s="17" t="s">
        <v>15</v>
      </c>
      <c r="N6" s="11">
        <v>5</v>
      </c>
      <c r="O6" s="158" t="e">
        <f>RechTous("x",RisqueNet5,Nom_Risk_Net,"   ")</f>
        <v>#VALUE!</v>
      </c>
      <c r="P6" s="158" t="e">
        <f>RechTous("x",RisqueNet11,Nom_Risk_Net,"   ")</f>
        <v>#VALUE!</v>
      </c>
      <c r="Q6" s="158" t="e">
        <f>RechTous("x",RisqueNet17,Nom_Risk_Net,"   ")</f>
        <v>#VALUE!</v>
      </c>
      <c r="R6" s="159" t="e">
        <f>RechTous("x",RisqueNet23,Nom_Risk_Net,"   ")</f>
        <v>#VALUE!</v>
      </c>
      <c r="S6" s="159" t="e">
        <f>RechTous("x",RisqueNet29,Nom_Risk_Net,"   ")</f>
        <v>#VALUE!</v>
      </c>
      <c r="T6" s="159" t="e">
        <f>RechTous("x",RisqueNet35,Nom_Risk_Net,"   ")</f>
        <v>#VALUE!</v>
      </c>
    </row>
    <row r="7" spans="1:20" ht="82.5" customHeight="1">
      <c r="B7" s="362"/>
      <c r="C7" s="17" t="s">
        <v>6</v>
      </c>
      <c r="D7" s="11">
        <v>4</v>
      </c>
      <c r="E7" s="160" t="e">
        <f>RechTous("x",RisqueBrut4,NUMERO_RISQUE_CRIT,"   ")</f>
        <v>#VALUE!</v>
      </c>
      <c r="F7" s="160" t="e">
        <f>RechTous("x",RisqueBrut10,NUMERO_RISQUE_CRIT,"   ")</f>
        <v>#VALUE!</v>
      </c>
      <c r="G7" s="158" t="e">
        <f>RechTous("x",RisqueBrut16,NUMERO_RISQUE_CRIT,"   ")</f>
        <v>#VALUE!</v>
      </c>
      <c r="H7" s="158" t="e">
        <f>RechTous("x",RisqueBrut22,NUMERO_RISQUE_CRIT,"   ")</f>
        <v>#VALUE!</v>
      </c>
      <c r="I7" s="159" t="e">
        <f>RechTous("x",RisqueBrut28,NUMERO_RISQUE_CRIT,"   ")</f>
        <v>#VALUE!</v>
      </c>
      <c r="J7" s="159" t="e">
        <f>RechTous("x",RisqueBrut34,NUMERO_RISQUE_CRIT,"   ")</f>
        <v>#VALUE!</v>
      </c>
      <c r="L7" s="362"/>
      <c r="M7" s="17" t="s">
        <v>6</v>
      </c>
      <c r="N7" s="11">
        <v>4</v>
      </c>
      <c r="O7" s="160" t="e">
        <f>RechTous("x",RisqueNet4,Nom_Risk_Net,"   ")</f>
        <v>#VALUE!</v>
      </c>
      <c r="P7" s="160" t="e">
        <f>RechTous("x",RisqueNet10,Nom_Risk_Net,"   ")</f>
        <v>#VALUE!</v>
      </c>
      <c r="Q7" s="158" t="e">
        <f>RechTous("x",RisqueNet16,Nom_Risk_Net,"   ")</f>
        <v>#VALUE!</v>
      </c>
      <c r="R7" s="158" t="e">
        <f>RechTous("x",RisqueNet22,Nom_Risk_Net,"   ")</f>
        <v>#VALUE!</v>
      </c>
      <c r="S7" s="159" t="e">
        <f>RechTous("x",RisqueNet28,Nom_Risk_Net,"   ")</f>
        <v>#VALUE!</v>
      </c>
      <c r="T7" s="159" t="e">
        <f>RechTous("x",RisqueNet34,Nom_Risk_Net,"   ")</f>
        <v>#VALUE!</v>
      </c>
    </row>
    <row r="8" spans="1:20" ht="82.5" customHeight="1">
      <c r="B8" s="362"/>
      <c r="C8" s="17" t="s">
        <v>5</v>
      </c>
      <c r="D8" s="11">
        <v>3</v>
      </c>
      <c r="E8" s="161" t="e">
        <f>RechTous("x",RisqueBrut3,NUMERO_RISQUE_CRIT,"   ")</f>
        <v>#VALUE!</v>
      </c>
      <c r="F8" s="160" t="e">
        <f>RechTous("x",RisqueBrut9,NUMERO_RISQUE_CRIT,"   ")</f>
        <v>#VALUE!</v>
      </c>
      <c r="G8" s="160" t="e">
        <f>RechTous("x",RisqueBrut15,NUMERO_RISQUE_CRIT,"   ")</f>
        <v>#VALUE!</v>
      </c>
      <c r="H8" s="158" t="e">
        <f>RechTous("x",RisqueBrut21,NUMERO_RISQUE_CRIT,"    ")</f>
        <v>#VALUE!</v>
      </c>
      <c r="I8" s="159" t="e">
        <f>RechTous("x",RisqueBrut27,NUMERO_RISQUE_CRIT,"   ")</f>
        <v>#VALUE!</v>
      </c>
      <c r="J8" s="159" t="e">
        <f>RechTous("x",RisqueBrut33,NUMERO_RISQUE_CRIT,"   ")</f>
        <v>#VALUE!</v>
      </c>
      <c r="L8" s="362"/>
      <c r="M8" s="17" t="s">
        <v>5</v>
      </c>
      <c r="N8" s="11">
        <v>3</v>
      </c>
      <c r="O8" s="161" t="e">
        <f>RechTous("x",RisqueNet3,Nom_Risk_Net,"   ")</f>
        <v>#VALUE!</v>
      </c>
      <c r="P8" s="160" t="e">
        <f>RechTous("x",RisqueNet9,Nom_Risk_Net,"   ")</f>
        <v>#VALUE!</v>
      </c>
      <c r="Q8" s="160" t="e">
        <f>RechTous("x",RisqueNet15,Nom_Risk_Net,"   ")</f>
        <v>#VALUE!</v>
      </c>
      <c r="R8" s="158" t="e">
        <f>RechTous("x",RisqueNet21,Nom_Risk_Net,"    ")</f>
        <v>#VALUE!</v>
      </c>
      <c r="S8" s="159" t="e">
        <f>RechTous("x",RisqueNet27,Nom_Risk_Net,"   ")</f>
        <v>#VALUE!</v>
      </c>
      <c r="T8" s="159" t="e">
        <f>RechTous("x",RisqueNet33,Nom_Risk_Net,"   ")</f>
        <v>#VALUE!</v>
      </c>
    </row>
    <row r="9" spans="1:20" ht="82.5" customHeight="1">
      <c r="B9" s="362"/>
      <c r="C9" s="17" t="s">
        <v>4</v>
      </c>
      <c r="D9" s="11">
        <v>2</v>
      </c>
      <c r="E9" s="161" t="e">
        <f>RechTous("x",RisqueBrut2,NUMERO_RISQUE_CRIT,"    ")</f>
        <v>#VALUE!</v>
      </c>
      <c r="F9" s="161" t="e">
        <f>RechTous("x",RisqueBrut8,NUMERO_RISQUE_CRIT,"    ")</f>
        <v>#VALUE!</v>
      </c>
      <c r="G9" s="160" t="e">
        <f>RechTous("x",RisqueBrut14,NUMERO_RISQUE_CRIT,"   ")</f>
        <v>#VALUE!</v>
      </c>
      <c r="H9" s="160" t="e">
        <f>RechTous("x",RisqueBrut20,NUMERO_RISQUE_CRIT,"   ")</f>
        <v>#VALUE!</v>
      </c>
      <c r="I9" s="159" t="e">
        <f>RechTous("x",RisqueBrut26,NUMERO_RISQUE_CRIT,"   ")</f>
        <v>#VALUE!</v>
      </c>
      <c r="J9" s="159" t="e">
        <f>RechTous("x",RisqueBrut32,NUMERO_RISQUE_CRIT,"   ")</f>
        <v>#VALUE!</v>
      </c>
      <c r="L9" s="362"/>
      <c r="M9" s="17" t="s">
        <v>4</v>
      </c>
      <c r="N9" s="11">
        <v>2</v>
      </c>
      <c r="O9" s="161" t="e">
        <f>RechTous("x",RisqueNet2,Nom_Risk_Net,"    ")</f>
        <v>#VALUE!</v>
      </c>
      <c r="P9" s="161" t="e">
        <f>RechTous("x",RisqueNet8,Nom_Risk_Net,"     ")</f>
        <v>#VALUE!</v>
      </c>
      <c r="Q9" s="160" t="e">
        <f>RechTous("x",RisqueNet14,Nom_Risk_Net,"   ")</f>
        <v>#VALUE!</v>
      </c>
      <c r="R9" s="160" t="e">
        <f>RechTous("x",RisqueNet20,Nom_Risk_Net,"   ")</f>
        <v>#VALUE!</v>
      </c>
      <c r="S9" s="159" t="e">
        <f>RechTous("x",RisqueNet26,Nom_Risk_Net,"   ")</f>
        <v>#VALUE!</v>
      </c>
      <c r="T9" s="159" t="e">
        <f>RechTous("x",RisqueNet32,Nom_Risk_Net,"   ")</f>
        <v>#VALUE!</v>
      </c>
    </row>
    <row r="10" spans="1:20" ht="82.5" customHeight="1">
      <c r="B10" s="363"/>
      <c r="C10" s="17" t="s">
        <v>14</v>
      </c>
      <c r="D10" s="11">
        <v>1</v>
      </c>
      <c r="E10" s="161" t="str">
        <f ca="1">RechTous("x",RisqueBrut1,NUMERO_RISQUE_CRIT,"   ")</f>
        <v/>
      </c>
      <c r="F10" s="161" t="e">
        <f>RechTous("x",RisqueBrut7,NUMERO_RISQUE_CRIT,"   ")</f>
        <v>#VALUE!</v>
      </c>
      <c r="G10" s="161" t="e">
        <f>RechTous("x",RisqueBrut13,NUMERO_RISQUE_CRIT,"   ")</f>
        <v>#VALUE!</v>
      </c>
      <c r="H10" s="160" t="e">
        <f>RechTous("x",RisqueBrut19,NUMERO_RISQUE_CRIT,"   ")</f>
        <v>#VALUE!</v>
      </c>
      <c r="I10" s="159" t="e">
        <f>RechTous("x",RisqueBrut25,NUMERO_RISQUE_CRIT,"   ")</f>
        <v>#VALUE!</v>
      </c>
      <c r="J10" s="159" t="e">
        <f>RechTous("x",RisqueBrut31,NUMERO_RISQUE_CRIT,"   ")</f>
        <v>#VALUE!</v>
      </c>
      <c r="L10" s="363"/>
      <c r="M10" s="17" t="s">
        <v>14</v>
      </c>
      <c r="N10" s="11">
        <v>1</v>
      </c>
      <c r="O10" s="161" t="e">
        <f>RechTous("x",RisqueNet1,Nom_Risk_Net,"    ")</f>
        <v>#VALUE!</v>
      </c>
      <c r="P10" s="161" t="e">
        <f>RechTous("x",RisqueNet7,Nom_Risk_Net,"   ")</f>
        <v>#VALUE!</v>
      </c>
      <c r="Q10" s="161" t="e">
        <f>RechTous("x",RisqueNet13,Nom_Risk_Net,"   ")</f>
        <v>#VALUE!</v>
      </c>
      <c r="R10" s="160" t="e">
        <f>RechTous("x",RisqueNet19,Nom_Risk_Net,"   ")</f>
        <v>#VALUE!</v>
      </c>
      <c r="S10" s="159" t="e">
        <f>RechTous("x",RisqueNet25,Nom_Risk_Net,"   ")</f>
        <v>#VALUE!</v>
      </c>
      <c r="T10" s="159" t="e">
        <f>RechTous("x",RisqueNet31,Nom_Risk_Net,"   ")</f>
        <v>#VALUE!</v>
      </c>
    </row>
    <row r="11" spans="1:20" ht="18" customHeight="1">
      <c r="E11" s="16">
        <v>1</v>
      </c>
      <c r="F11" s="16">
        <v>2</v>
      </c>
      <c r="G11" s="16">
        <v>3</v>
      </c>
      <c r="H11" s="16">
        <v>4</v>
      </c>
      <c r="I11" s="16">
        <v>5</v>
      </c>
      <c r="J11" s="16">
        <v>6</v>
      </c>
      <c r="O11" s="16">
        <v>1</v>
      </c>
      <c r="P11" s="16">
        <v>2</v>
      </c>
      <c r="Q11" s="16">
        <v>3</v>
      </c>
      <c r="R11" s="16">
        <v>4</v>
      </c>
      <c r="S11" s="16">
        <v>5</v>
      </c>
      <c r="T11" s="16">
        <v>6</v>
      </c>
    </row>
    <row r="12" spans="1:20" ht="18" customHeight="1">
      <c r="E12" s="364" t="s">
        <v>23</v>
      </c>
      <c r="F12" s="364"/>
      <c r="G12" s="364"/>
      <c r="H12" s="364"/>
      <c r="I12" s="364"/>
      <c r="J12" s="364"/>
      <c r="O12" s="364" t="s">
        <v>23</v>
      </c>
      <c r="P12" s="364"/>
      <c r="Q12" s="364"/>
      <c r="R12" s="364"/>
      <c r="S12" s="364"/>
      <c r="T12" s="364"/>
    </row>
    <row r="13" spans="1:20" ht="15.75" customHeight="1">
      <c r="E13" s="12" t="s">
        <v>8</v>
      </c>
      <c r="F13" s="12" t="s">
        <v>9</v>
      </c>
      <c r="G13" s="12" t="s">
        <v>10</v>
      </c>
      <c r="H13" s="12" t="s">
        <v>11</v>
      </c>
      <c r="I13" s="12" t="s">
        <v>12</v>
      </c>
      <c r="J13" s="12" t="s">
        <v>13</v>
      </c>
      <c r="K13" s="13"/>
      <c r="O13" s="12" t="s">
        <v>8</v>
      </c>
      <c r="P13" s="12" t="s">
        <v>9</v>
      </c>
      <c r="Q13" s="12" t="s">
        <v>10</v>
      </c>
      <c r="R13" s="12" t="s">
        <v>11</v>
      </c>
      <c r="S13" s="12" t="s">
        <v>12</v>
      </c>
      <c r="T13" s="12" t="s">
        <v>13</v>
      </c>
    </row>
    <row r="16" spans="1:20" ht="18" customHeight="1">
      <c r="K16" s="14"/>
      <c r="L16" s="14"/>
    </row>
    <row r="17" spans="5:12" ht="13.5" customHeight="1">
      <c r="E17" s="9"/>
    </row>
    <row r="18" spans="5:12">
      <c r="E18" s="13"/>
      <c r="F18" s="13"/>
      <c r="G18" s="13"/>
      <c r="H18" s="13"/>
      <c r="I18" s="13"/>
      <c r="J18" s="13"/>
      <c r="K18" s="13"/>
      <c r="L18" s="13"/>
    </row>
  </sheetData>
  <mergeCells count="6">
    <mergeCell ref="O12:T12"/>
    <mergeCell ref="E1:J4"/>
    <mergeCell ref="O1:T4"/>
    <mergeCell ref="L5:L10"/>
    <mergeCell ref="B5:B10"/>
    <mergeCell ref="E12:J12"/>
  </mergeCells>
  <pageMargins left="0.22" right="0.5" top="0.31" bottom="0.25" header="0.2" footer="0.13"/>
  <pageSetup paperSize="9" scale="44" fitToHeight="0" orientation="landscape" horizontalDpi="300" r:id="rId1"/>
  <headerFooter alignWithMargins="0">
    <oddHeader>&amp;R&amp;"Arial,Italique"&amp;6&amp;D</oddHeader>
  </headerFooter>
</worksheet>
</file>

<file path=xl/worksheets/sheet11.xml><?xml version="1.0" encoding="utf-8"?>
<worksheet xmlns="http://schemas.openxmlformats.org/spreadsheetml/2006/main" xmlns:r="http://schemas.openxmlformats.org/officeDocument/2006/relationships">
  <sheetPr codeName="Feuil5">
    <tabColor rgb="FF7030A0"/>
    <pageSetUpPr fitToPage="1"/>
  </sheetPr>
  <dimension ref="A1:I13"/>
  <sheetViews>
    <sheetView showGridLines="0" zoomScale="70" zoomScaleNormal="70" workbookViewId="0">
      <selection activeCell="G25" sqref="G25"/>
    </sheetView>
  </sheetViews>
  <sheetFormatPr baseColWidth="10" defaultRowHeight="12.75"/>
  <cols>
    <col min="1" max="1" width="3.85546875" customWidth="1"/>
    <col min="2" max="2" width="3.5703125" customWidth="1"/>
    <col min="3" max="3" width="4" customWidth="1"/>
    <col min="4" max="4" width="2.42578125" customWidth="1"/>
    <col min="5" max="8" width="40.7109375" customWidth="1"/>
    <col min="9" max="9" width="3.85546875" customWidth="1"/>
  </cols>
  <sheetData>
    <row r="1" spans="1:9" ht="30.75" customHeight="1">
      <c r="A1" s="10"/>
      <c r="B1" s="6"/>
      <c r="C1" s="6"/>
      <c r="D1" s="6"/>
      <c r="E1" s="6"/>
      <c r="F1" s="6"/>
      <c r="G1" s="6"/>
      <c r="H1" s="6"/>
      <c r="I1" s="6"/>
    </row>
    <row r="4" spans="1:9" ht="18">
      <c r="E4" s="5"/>
      <c r="F4" s="5"/>
      <c r="G4" s="4"/>
      <c r="H4" s="4"/>
    </row>
    <row r="5" spans="1:9" ht="82.5" customHeight="1">
      <c r="E5" s="360" t="s">
        <v>84</v>
      </c>
      <c r="F5" s="360"/>
      <c r="G5" s="360"/>
      <c r="H5" s="360"/>
    </row>
    <row r="6" spans="1:9" ht="99.95" customHeight="1">
      <c r="B6" s="368" t="s">
        <v>22</v>
      </c>
      <c r="C6" s="163" t="s">
        <v>21</v>
      </c>
      <c r="E6" s="27" t="e">
        <f>(RechTous("x",CriticiteBrut13,NUMERO_RISQUE_CRIT," "))</f>
        <v>#VALUE!</v>
      </c>
      <c r="F6" s="27" t="e">
        <f>(RechTous("x",CriticiteBrut14,NUMERO_RISQUE_CRIT,"   "))</f>
        <v>#VALUE!</v>
      </c>
      <c r="G6" s="28" t="e">
        <f>(RechTous("x",CriticiteBrut15,NUMERO_RISQUE_CRIT,"   "))</f>
        <v>#VALUE!</v>
      </c>
      <c r="H6" s="29" t="e">
        <f>(RechTous("x",CriticiteBrut16,NUMERO_RISQUE_CRIT," "))</f>
        <v>#VALUE!</v>
      </c>
    </row>
    <row r="7" spans="1:9" ht="99.95" customHeight="1">
      <c r="B7" s="368"/>
      <c r="C7" s="164" t="s">
        <v>11</v>
      </c>
      <c r="E7" s="27" t="e">
        <f>(RechTous("x",CriticiteBrut9,NUMERO_RISQUE_CRIT," "))</f>
        <v>#VALUE!</v>
      </c>
      <c r="F7" s="28" t="e">
        <f>(RechTous("x",CriticiteBrut10,NUMERO_RISQUE_CRIT,"  "))</f>
        <v>#VALUE!</v>
      </c>
      <c r="G7" s="30" t="e">
        <f>(RechTous("x",CriticiteBrut11,NUMERO_RISQUE_CRIT,"   "))</f>
        <v>#VALUE!</v>
      </c>
      <c r="H7" s="29" t="e">
        <f>(RechTous("x",CriticiteBrut12,NUMERO_RISQUE_CRIT," "))</f>
        <v>#VALUE!</v>
      </c>
    </row>
    <row r="8" spans="1:9" ht="99.95" customHeight="1">
      <c r="B8" s="368"/>
      <c r="C8" s="164" t="s">
        <v>10</v>
      </c>
      <c r="E8" s="28" t="e">
        <f>(RechTous("x",CriticiteBrut5,NUMERO_RISQUE_CRIT," "))</f>
        <v>#VALUE!</v>
      </c>
      <c r="F8" s="30" t="e">
        <f>(RechTous("x",CriticiteBrut6,NUMERO_RISQUE_CRIT," "))</f>
        <v>#VALUE!</v>
      </c>
      <c r="G8" s="30" t="e">
        <f>(RechTous("x",CriticiteBrut7,NUMERO_RISQUE_CRIT,"    "))</f>
        <v>#VALUE!</v>
      </c>
      <c r="H8" s="31" t="e">
        <f>(RechTous("x",CriticiteBrut8,NUMERO_RISQUE_CRIT," "))</f>
        <v>#VALUE!</v>
      </c>
    </row>
    <row r="9" spans="1:9" ht="99.95" customHeight="1">
      <c r="B9" s="368"/>
      <c r="C9" s="165" t="s">
        <v>20</v>
      </c>
      <c r="E9" s="32" t="str">
        <f ca="1">(RechTous("x",CriticiteBrut1,NUMERO_RISQUE_CRIT," "))</f>
        <v/>
      </c>
      <c r="F9" s="32" t="e">
        <f>(RechTous("x",CriticiteBrut2,NUMERO_RISQUE_CRIT," "))</f>
        <v>#VALUE!</v>
      </c>
      <c r="G9" s="31" t="e">
        <f>(RechTous("x",CriticiteBrut3,NUMERO_RISQUE_CRIT," "))</f>
        <v>#VALUE!</v>
      </c>
      <c r="H9" s="31" t="e">
        <f>(RechTous("x",CriticiteBrut4,NUMERO_RISQUE_CRIT," "))</f>
        <v>#VALUE!</v>
      </c>
    </row>
    <row r="10" spans="1:9" ht="18" customHeight="1">
      <c r="E10" s="166"/>
      <c r="F10" s="166"/>
      <c r="G10" s="166"/>
      <c r="H10" s="166"/>
    </row>
    <row r="11" spans="1:9" ht="18" customHeight="1">
      <c r="E11" s="167" t="s">
        <v>0</v>
      </c>
      <c r="F11" s="167"/>
      <c r="G11" s="168"/>
      <c r="H11" s="168"/>
    </row>
    <row r="12" spans="1:9" ht="15.75" customHeight="1">
      <c r="B12" s="13"/>
      <c r="C12" s="13"/>
      <c r="D12" s="13"/>
      <c r="E12" s="169" t="s">
        <v>19</v>
      </c>
      <c r="F12" s="169" t="s">
        <v>9</v>
      </c>
      <c r="G12" s="169" t="s">
        <v>17</v>
      </c>
      <c r="H12" s="169" t="s">
        <v>16</v>
      </c>
    </row>
    <row r="13" spans="1:9" ht="14.25">
      <c r="E13" s="166"/>
      <c r="F13" s="166"/>
      <c r="G13" s="166"/>
      <c r="H13" s="166"/>
    </row>
  </sheetData>
  <mergeCells count="2">
    <mergeCell ref="E5:H5"/>
    <mergeCell ref="B6:B9"/>
  </mergeCells>
  <pageMargins left="0.22" right="0.5" top="0.31" bottom="0.25" header="0.2" footer="0.13"/>
  <pageSetup paperSize="9" scale="44" fitToHeight="0" orientation="landscape" horizontalDpi="300" r:id="rId1"/>
  <headerFooter alignWithMargins="0">
    <oddHeader>&amp;R&amp;"Arial,Italique"&amp;6&amp;D</oddHeader>
  </headerFooter>
</worksheet>
</file>

<file path=xl/worksheets/sheet12.xml><?xml version="1.0" encoding="utf-8"?>
<worksheet xmlns="http://schemas.openxmlformats.org/spreadsheetml/2006/main" xmlns:r="http://schemas.openxmlformats.org/officeDocument/2006/relationships">
  <sheetPr codeName="Feuil7"/>
  <dimension ref="A1:V16"/>
  <sheetViews>
    <sheetView topLeftCell="C1" workbookViewId="0">
      <selection activeCell="M32" sqref="M32"/>
    </sheetView>
  </sheetViews>
  <sheetFormatPr baseColWidth="10" defaultRowHeight="12.75"/>
  <cols>
    <col min="1" max="1" width="13.42578125" bestFit="1" customWidth="1"/>
    <col min="2" max="2" width="4.85546875" bestFit="1" customWidth="1"/>
    <col min="3" max="3" width="5.7109375" customWidth="1"/>
    <col min="4" max="4" width="13.140625" bestFit="1" customWidth="1"/>
    <col min="5" max="5" width="4.85546875" bestFit="1" customWidth="1"/>
    <col min="8" max="8" width="4.85546875" bestFit="1" customWidth="1"/>
    <col min="10" max="10" width="16.28515625" customWidth="1"/>
    <col min="11" max="15" width="10.42578125" bestFit="1" customWidth="1"/>
    <col min="19" max="22" width="14.28515625" customWidth="1"/>
  </cols>
  <sheetData>
    <row r="1" spans="1:22" ht="25.5">
      <c r="A1" s="211" t="s">
        <v>906</v>
      </c>
      <c r="B1" s="211" t="s">
        <v>907</v>
      </c>
      <c r="C1" s="211"/>
      <c r="D1" s="211" t="s">
        <v>3</v>
      </c>
      <c r="E1" s="211" t="s">
        <v>907</v>
      </c>
      <c r="G1" s="211" t="s">
        <v>911</v>
      </c>
      <c r="H1" s="211" t="s">
        <v>907</v>
      </c>
      <c r="J1" s="221" t="s">
        <v>0</v>
      </c>
      <c r="K1" s="211" t="s">
        <v>907</v>
      </c>
    </row>
    <row r="2" spans="1:22">
      <c r="A2" s="211" t="s">
        <v>8</v>
      </c>
      <c r="B2" s="211">
        <v>1</v>
      </c>
      <c r="C2" s="211"/>
      <c r="D2" s="211" t="s">
        <v>25</v>
      </c>
      <c r="E2" s="211">
        <v>1</v>
      </c>
      <c r="G2" s="211" t="s">
        <v>20</v>
      </c>
      <c r="H2">
        <v>1</v>
      </c>
      <c r="J2" t="s">
        <v>19</v>
      </c>
      <c r="K2">
        <v>1</v>
      </c>
    </row>
    <row r="3" spans="1:22">
      <c r="A3" s="211" t="s">
        <v>9</v>
      </c>
      <c r="B3" s="211">
        <v>2</v>
      </c>
      <c r="C3" s="211"/>
      <c r="D3" t="s">
        <v>4</v>
      </c>
      <c r="E3" s="211">
        <v>2</v>
      </c>
      <c r="G3" s="211" t="s">
        <v>10</v>
      </c>
      <c r="H3">
        <v>2</v>
      </c>
      <c r="J3" t="s">
        <v>9</v>
      </c>
      <c r="K3">
        <v>2</v>
      </c>
    </row>
    <row r="4" spans="1:22">
      <c r="A4" s="211" t="s">
        <v>10</v>
      </c>
      <c r="B4" s="211">
        <v>3</v>
      </c>
      <c r="C4" s="211"/>
      <c r="D4" t="s">
        <v>5</v>
      </c>
      <c r="E4" s="211">
        <v>3</v>
      </c>
      <c r="G4" s="211" t="s">
        <v>11</v>
      </c>
      <c r="H4">
        <v>3</v>
      </c>
      <c r="J4" t="s">
        <v>18</v>
      </c>
      <c r="K4">
        <v>3</v>
      </c>
    </row>
    <row r="5" spans="1:22">
      <c r="A5" s="211" t="s">
        <v>11</v>
      </c>
      <c r="B5" s="211">
        <v>4</v>
      </c>
      <c r="C5" s="211"/>
      <c r="D5" t="s">
        <v>6</v>
      </c>
      <c r="E5" s="211">
        <v>4</v>
      </c>
      <c r="G5" s="211" t="s">
        <v>21</v>
      </c>
      <c r="H5">
        <v>4</v>
      </c>
      <c r="J5" s="211" t="s">
        <v>49</v>
      </c>
      <c r="K5">
        <v>4</v>
      </c>
    </row>
    <row r="6" spans="1:22">
      <c r="A6" s="211" t="s">
        <v>12</v>
      </c>
      <c r="B6" s="211">
        <v>5</v>
      </c>
      <c r="C6" s="211"/>
      <c r="D6" t="s">
        <v>15</v>
      </c>
      <c r="E6" s="211">
        <v>5</v>
      </c>
    </row>
    <row r="7" spans="1:22">
      <c r="A7" s="211" t="s">
        <v>13</v>
      </c>
      <c r="B7" s="211">
        <v>6</v>
      </c>
      <c r="C7" s="211"/>
      <c r="D7" t="s">
        <v>7</v>
      </c>
      <c r="E7" s="211">
        <v>6</v>
      </c>
    </row>
    <row r="9" spans="1:22" ht="30" customHeight="1">
      <c r="G9" s="369" t="s">
        <v>908</v>
      </c>
      <c r="H9" s="11">
        <v>6</v>
      </c>
      <c r="I9" s="36" t="s">
        <v>11</v>
      </c>
      <c r="J9" s="37" t="s">
        <v>21</v>
      </c>
      <c r="K9" s="37" t="s">
        <v>21</v>
      </c>
      <c r="L9" s="37" t="s">
        <v>21</v>
      </c>
      <c r="M9" s="37" t="s">
        <v>21</v>
      </c>
      <c r="N9" s="37" t="s">
        <v>21</v>
      </c>
    </row>
    <row r="10" spans="1:22" ht="30" customHeight="1">
      <c r="G10" s="370"/>
      <c r="H10" s="11">
        <v>5</v>
      </c>
      <c r="I10" s="36" t="s">
        <v>11</v>
      </c>
      <c r="J10" s="36" t="s">
        <v>11</v>
      </c>
      <c r="K10" s="36" t="s">
        <v>11</v>
      </c>
      <c r="L10" s="37" t="s">
        <v>21</v>
      </c>
      <c r="M10" s="37" t="s">
        <v>21</v>
      </c>
      <c r="N10" s="37" t="s">
        <v>21</v>
      </c>
      <c r="P10" s="372" t="s">
        <v>910</v>
      </c>
      <c r="Q10" s="220" t="s">
        <v>21</v>
      </c>
      <c r="S10" s="213" t="s">
        <v>97</v>
      </c>
      <c r="T10" s="213" t="s">
        <v>97</v>
      </c>
      <c r="U10" s="214" t="s">
        <v>94</v>
      </c>
      <c r="V10" s="215" t="s">
        <v>96</v>
      </c>
    </row>
    <row r="11" spans="1:22" ht="30" customHeight="1">
      <c r="G11" s="370"/>
      <c r="H11" s="11">
        <v>4</v>
      </c>
      <c r="I11" s="35" t="s">
        <v>10</v>
      </c>
      <c r="J11" s="35" t="s">
        <v>10</v>
      </c>
      <c r="K11" s="36" t="s">
        <v>11</v>
      </c>
      <c r="L11" s="36" t="s">
        <v>11</v>
      </c>
      <c r="M11" s="37" t="s">
        <v>21</v>
      </c>
      <c r="N11" s="37" t="s">
        <v>21</v>
      </c>
      <c r="P11" s="365"/>
      <c r="Q11" s="217" t="s">
        <v>11</v>
      </c>
      <c r="S11" s="213" t="s">
        <v>97</v>
      </c>
      <c r="T11" s="214" t="s">
        <v>94</v>
      </c>
      <c r="U11" s="160" t="s">
        <v>93</v>
      </c>
      <c r="V11" s="215" t="s">
        <v>96</v>
      </c>
    </row>
    <row r="12" spans="1:22" ht="30" customHeight="1">
      <c r="G12" s="370"/>
      <c r="H12" s="11">
        <v>3</v>
      </c>
      <c r="I12" s="34" t="s">
        <v>20</v>
      </c>
      <c r="J12" s="35" t="s">
        <v>10</v>
      </c>
      <c r="K12" s="35" t="s">
        <v>10</v>
      </c>
      <c r="L12" s="36" t="s">
        <v>11</v>
      </c>
      <c r="M12" s="37" t="s">
        <v>21</v>
      </c>
      <c r="N12" s="37" t="s">
        <v>21</v>
      </c>
      <c r="P12" s="365"/>
      <c r="Q12" s="217" t="s">
        <v>10</v>
      </c>
      <c r="S12" s="214" t="s">
        <v>94</v>
      </c>
      <c r="T12" s="160" t="s">
        <v>93</v>
      </c>
      <c r="U12" s="160" t="s">
        <v>93</v>
      </c>
      <c r="V12" s="161" t="s">
        <v>95</v>
      </c>
    </row>
    <row r="13" spans="1:22" ht="30" customHeight="1">
      <c r="G13" s="370"/>
      <c r="H13" s="11">
        <v>2</v>
      </c>
      <c r="I13" s="34" t="s">
        <v>20</v>
      </c>
      <c r="J13" s="34" t="s">
        <v>20</v>
      </c>
      <c r="K13" s="35" t="s">
        <v>10</v>
      </c>
      <c r="L13" s="35" t="s">
        <v>10</v>
      </c>
      <c r="M13" s="37" t="s">
        <v>21</v>
      </c>
      <c r="N13" s="37" t="s">
        <v>21</v>
      </c>
      <c r="P13" s="365"/>
      <c r="Q13" s="218" t="s">
        <v>20</v>
      </c>
      <c r="S13" s="216" t="s">
        <v>92</v>
      </c>
      <c r="T13" s="216" t="s">
        <v>92</v>
      </c>
      <c r="U13" s="161" t="s">
        <v>95</v>
      </c>
      <c r="V13" s="161" t="s">
        <v>95</v>
      </c>
    </row>
    <row r="14" spans="1:22" ht="30" customHeight="1">
      <c r="G14" s="371"/>
      <c r="H14" s="11">
        <v>1</v>
      </c>
      <c r="I14" s="34" t="s">
        <v>20</v>
      </c>
      <c r="J14" s="34" t="s">
        <v>20</v>
      </c>
      <c r="K14" s="34" t="s">
        <v>20</v>
      </c>
      <c r="L14" s="35" t="s">
        <v>10</v>
      </c>
      <c r="M14" s="37" t="s">
        <v>21</v>
      </c>
      <c r="N14" s="37" t="s">
        <v>21</v>
      </c>
      <c r="P14" s="219"/>
    </row>
    <row r="15" spans="1:22">
      <c r="I15" s="16">
        <v>1</v>
      </c>
      <c r="J15" s="16">
        <v>2</v>
      </c>
      <c r="K15" s="16">
        <v>3</v>
      </c>
      <c r="L15" s="16">
        <v>4</v>
      </c>
      <c r="M15" s="16">
        <v>5</v>
      </c>
      <c r="N15" s="16">
        <v>6</v>
      </c>
      <c r="P15" s="219"/>
      <c r="S15" s="7" t="s">
        <v>0</v>
      </c>
      <c r="T15" s="7"/>
      <c r="U15" s="8"/>
      <c r="V15" s="8"/>
    </row>
    <row r="16" spans="1:22">
      <c r="I16" s="364" t="s">
        <v>23</v>
      </c>
      <c r="J16" s="364"/>
      <c r="K16" s="364"/>
      <c r="L16" s="364"/>
      <c r="M16" s="364"/>
      <c r="N16" s="364"/>
      <c r="P16" s="13"/>
      <c r="Q16" s="13"/>
      <c r="R16" s="13"/>
      <c r="S16" s="12" t="s">
        <v>19</v>
      </c>
      <c r="T16" s="12" t="s">
        <v>9</v>
      </c>
      <c r="U16" s="12" t="s">
        <v>17</v>
      </c>
      <c r="V16" s="12" t="s">
        <v>49</v>
      </c>
    </row>
  </sheetData>
  <mergeCells count="3">
    <mergeCell ref="I16:N16"/>
    <mergeCell ref="G9:G14"/>
    <mergeCell ref="P10:P13"/>
  </mergeCells>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2:W46"/>
  <sheetViews>
    <sheetView topLeftCell="A13" workbookViewId="0">
      <selection activeCell="L24" sqref="L24:M24"/>
    </sheetView>
  </sheetViews>
  <sheetFormatPr baseColWidth="10" defaultRowHeight="15"/>
  <cols>
    <col min="1" max="1" width="4.140625" style="229" customWidth="1"/>
    <col min="2" max="2" width="7.7109375" style="229" customWidth="1"/>
    <col min="3" max="3" width="11.42578125" style="229"/>
    <col min="4" max="4" width="13.42578125" style="229" customWidth="1"/>
    <col min="5" max="5" width="3.28515625" style="229" customWidth="1"/>
    <col min="6" max="11" width="15" style="229" customWidth="1"/>
    <col min="12" max="16384" width="11.42578125" style="229"/>
  </cols>
  <sheetData>
    <row r="2" spans="1:23">
      <c r="C2" s="373" t="s">
        <v>913</v>
      </c>
      <c r="D2" s="374"/>
      <c r="E2" s="374"/>
      <c r="F2" s="374"/>
      <c r="G2" s="374"/>
      <c r="H2" s="374"/>
      <c r="I2" s="374"/>
      <c r="J2" s="374"/>
      <c r="K2" s="375"/>
    </row>
    <row r="3" spans="1:23">
      <c r="C3" s="376"/>
      <c r="D3" s="377"/>
      <c r="E3" s="377"/>
      <c r="F3" s="377"/>
      <c r="G3" s="377"/>
      <c r="H3" s="377"/>
      <c r="I3" s="377"/>
      <c r="J3" s="377"/>
      <c r="K3" s="378"/>
    </row>
    <row r="4" spans="1:23" ht="30" customHeight="1">
      <c r="C4" s="379" t="s">
        <v>914</v>
      </c>
      <c r="D4" s="230" t="s">
        <v>7</v>
      </c>
      <c r="E4" s="231">
        <v>6</v>
      </c>
      <c r="F4" s="232"/>
      <c r="G4" s="233"/>
      <c r="H4" s="233"/>
      <c r="I4" s="233"/>
      <c r="J4" s="233"/>
      <c r="K4" s="233"/>
    </row>
    <row r="5" spans="1:23" ht="30" customHeight="1">
      <c r="C5" s="380"/>
      <c r="D5" s="234" t="s">
        <v>15</v>
      </c>
      <c r="E5" s="231">
        <v>5</v>
      </c>
      <c r="F5" s="232"/>
      <c r="G5" s="232"/>
      <c r="H5" s="232"/>
      <c r="I5" s="233"/>
      <c r="J5" s="233"/>
      <c r="K5" s="233"/>
    </row>
    <row r="6" spans="1:23" ht="30" customHeight="1">
      <c r="C6" s="380"/>
      <c r="D6" s="235" t="s">
        <v>6</v>
      </c>
      <c r="E6" s="231">
        <v>4</v>
      </c>
      <c r="F6" s="236"/>
      <c r="G6" s="236"/>
      <c r="H6" s="232"/>
      <c r="I6" s="232"/>
      <c r="J6" s="233"/>
      <c r="K6" s="233"/>
    </row>
    <row r="7" spans="1:23" ht="30" customHeight="1">
      <c r="C7" s="380"/>
      <c r="D7" s="237" t="s">
        <v>5</v>
      </c>
      <c r="E7" s="231">
        <v>3</v>
      </c>
      <c r="F7" s="238"/>
      <c r="G7" s="236"/>
      <c r="H7" s="236"/>
      <c r="I7" s="232"/>
      <c r="J7" s="233"/>
      <c r="K7" s="233"/>
    </row>
    <row r="8" spans="1:23" ht="30" customHeight="1">
      <c r="C8" s="380"/>
      <c r="D8" s="239" t="s">
        <v>4</v>
      </c>
      <c r="E8" s="231">
        <v>2</v>
      </c>
      <c r="F8" s="238"/>
      <c r="G8" s="238"/>
      <c r="H8" s="236"/>
      <c r="I8" s="236"/>
      <c r="J8" s="233"/>
      <c r="K8" s="233"/>
      <c r="T8" s="240"/>
    </row>
    <row r="9" spans="1:23" ht="30" customHeight="1">
      <c r="C9" s="380"/>
      <c r="D9" s="241" t="s">
        <v>25</v>
      </c>
      <c r="E9" s="231">
        <v>1</v>
      </c>
      <c r="F9" s="238"/>
      <c r="G9" s="238"/>
      <c r="H9" s="238"/>
      <c r="I9" s="236"/>
      <c r="J9" s="233"/>
      <c r="K9" s="233"/>
      <c r="T9" s="242"/>
      <c r="U9" s="243"/>
      <c r="V9" s="243"/>
      <c r="W9" s="243"/>
    </row>
    <row r="10" spans="1:23">
      <c r="F10" s="231">
        <v>1</v>
      </c>
      <c r="G10" s="231">
        <v>2</v>
      </c>
      <c r="H10" s="231">
        <v>3</v>
      </c>
      <c r="I10" s="231">
        <v>4</v>
      </c>
      <c r="J10" s="231">
        <v>5</v>
      </c>
      <c r="K10" s="231">
        <v>6</v>
      </c>
      <c r="T10" s="244"/>
    </row>
    <row r="11" spans="1:23" ht="30" customHeight="1">
      <c r="A11" s="243"/>
      <c r="B11" s="243"/>
      <c r="C11" s="243"/>
      <c r="D11" s="243"/>
      <c r="E11" s="243"/>
      <c r="F11" s="241" t="s">
        <v>8</v>
      </c>
      <c r="G11" s="239" t="s">
        <v>9</v>
      </c>
      <c r="H11" s="237" t="s">
        <v>10</v>
      </c>
      <c r="I11" s="235" t="s">
        <v>11</v>
      </c>
      <c r="J11" s="234" t="s">
        <v>12</v>
      </c>
      <c r="K11" s="230" t="s">
        <v>13</v>
      </c>
      <c r="L11" s="243"/>
      <c r="M11" s="243"/>
    </row>
    <row r="12" spans="1:23">
      <c r="F12" s="381" t="s">
        <v>915</v>
      </c>
      <c r="G12" s="382"/>
      <c r="H12" s="382"/>
      <c r="I12" s="382"/>
      <c r="J12" s="382"/>
      <c r="K12" s="383"/>
    </row>
    <row r="13" spans="1:23">
      <c r="P13" s="245"/>
      <c r="Q13" s="246"/>
    </row>
    <row r="14" spans="1:23" ht="34.5" customHeight="1">
      <c r="A14" s="384" t="s">
        <v>916</v>
      </c>
      <c r="B14" s="384"/>
      <c r="C14" s="384"/>
      <c r="D14" s="385" t="s">
        <v>20</v>
      </c>
      <c r="E14" s="385"/>
      <c r="F14" s="386" t="s">
        <v>10</v>
      </c>
      <c r="G14" s="386"/>
      <c r="H14" s="387" t="s">
        <v>254</v>
      </c>
      <c r="I14" s="387"/>
      <c r="J14" s="388" t="s">
        <v>917</v>
      </c>
      <c r="K14" s="388"/>
      <c r="Q14" s="246"/>
    </row>
    <row r="15" spans="1:23" ht="86.25" customHeight="1">
      <c r="A15" s="247"/>
      <c r="B15" s="247"/>
      <c r="C15" s="247"/>
      <c r="D15" s="398" t="s">
        <v>918</v>
      </c>
      <c r="E15" s="398"/>
      <c r="F15" s="399" t="s">
        <v>919</v>
      </c>
      <c r="G15" s="399"/>
      <c r="H15" s="399" t="s">
        <v>920</v>
      </c>
      <c r="I15" s="399"/>
      <c r="J15" s="399" t="s">
        <v>921</v>
      </c>
      <c r="K15" s="399"/>
      <c r="L15" s="247"/>
      <c r="M15" s="247"/>
      <c r="N15" s="247"/>
      <c r="O15" s="247"/>
      <c r="P15" s="247"/>
      <c r="Q15" s="247"/>
      <c r="R15" s="247"/>
      <c r="S15" s="247"/>
      <c r="T15" s="247"/>
      <c r="U15" s="247"/>
      <c r="V15" s="247"/>
      <c r="W15" s="247"/>
    </row>
    <row r="16" spans="1:23">
      <c r="A16" s="247"/>
      <c r="B16" s="247"/>
      <c r="C16" s="247"/>
      <c r="D16" s="248"/>
      <c r="E16" s="248"/>
      <c r="F16" s="249"/>
      <c r="G16" s="249"/>
      <c r="H16" s="249"/>
      <c r="I16" s="249"/>
      <c r="J16" s="249"/>
      <c r="K16" s="249"/>
      <c r="L16" s="247"/>
      <c r="M16" s="247"/>
      <c r="N16" s="247"/>
      <c r="O16" s="247"/>
      <c r="P16" s="247"/>
      <c r="Q16" s="247"/>
      <c r="R16" s="247"/>
      <c r="S16" s="247"/>
      <c r="T16" s="247"/>
      <c r="U16" s="247"/>
      <c r="V16" s="247"/>
      <c r="W16" s="247"/>
    </row>
    <row r="17" spans="1:23">
      <c r="A17" s="247"/>
      <c r="B17" s="247"/>
      <c r="C17" s="247"/>
      <c r="D17" s="248"/>
      <c r="E17" s="248"/>
      <c r="F17" s="249"/>
      <c r="G17" s="249"/>
      <c r="H17" s="249"/>
      <c r="I17" s="249"/>
      <c r="J17" s="249"/>
      <c r="K17" s="249"/>
      <c r="L17" s="247"/>
      <c r="M17" s="247"/>
      <c r="N17" s="247"/>
      <c r="O17" s="247"/>
      <c r="P17" s="247"/>
      <c r="Q17" s="247"/>
      <c r="R17" s="247"/>
      <c r="S17" s="247"/>
      <c r="T17" s="247"/>
      <c r="U17" s="247"/>
      <c r="V17" s="247"/>
      <c r="W17" s="247"/>
    </row>
    <row r="19" spans="1:23">
      <c r="C19" s="400" t="s">
        <v>922</v>
      </c>
      <c r="D19" s="400"/>
      <c r="E19" s="400"/>
      <c r="F19" s="400"/>
      <c r="G19" s="400"/>
      <c r="H19" s="400"/>
      <c r="I19" s="400"/>
      <c r="J19" s="400"/>
      <c r="K19" s="400"/>
      <c r="L19" s="400"/>
      <c r="M19" s="400"/>
    </row>
    <row r="20" spans="1:23">
      <c r="C20" s="400"/>
      <c r="D20" s="400"/>
      <c r="E20" s="400"/>
      <c r="F20" s="400"/>
      <c r="G20" s="400"/>
      <c r="H20" s="400"/>
      <c r="I20" s="400"/>
      <c r="J20" s="400"/>
      <c r="K20" s="400"/>
      <c r="L20" s="400"/>
      <c r="M20" s="400"/>
    </row>
    <row r="21" spans="1:23" ht="30" customHeight="1">
      <c r="C21" s="389" t="s">
        <v>923</v>
      </c>
      <c r="D21" s="234" t="s">
        <v>917</v>
      </c>
      <c r="E21" s="231">
        <v>4</v>
      </c>
      <c r="F21" s="392"/>
      <c r="G21" s="392"/>
      <c r="H21" s="392"/>
      <c r="I21" s="392"/>
      <c r="J21" s="393"/>
      <c r="K21" s="393"/>
      <c r="L21" s="394"/>
      <c r="M21" s="394"/>
    </row>
    <row r="22" spans="1:23" ht="30" customHeight="1">
      <c r="C22" s="390"/>
      <c r="D22" s="250" t="s">
        <v>6</v>
      </c>
      <c r="E22" s="231">
        <v>3</v>
      </c>
      <c r="F22" s="392"/>
      <c r="G22" s="392"/>
      <c r="H22" s="393"/>
      <c r="I22" s="393"/>
      <c r="J22" s="395"/>
      <c r="K22" s="395"/>
      <c r="L22" s="394"/>
      <c r="M22" s="394"/>
    </row>
    <row r="23" spans="1:23" ht="30" customHeight="1">
      <c r="A23" s="243"/>
      <c r="B23" s="243"/>
      <c r="C23" s="390"/>
      <c r="D23" s="237" t="s">
        <v>5</v>
      </c>
      <c r="E23" s="231">
        <v>2</v>
      </c>
      <c r="F23" s="393"/>
      <c r="G23" s="393"/>
      <c r="H23" s="395"/>
      <c r="I23" s="395"/>
      <c r="J23" s="395"/>
      <c r="K23" s="395"/>
      <c r="L23" s="396"/>
      <c r="M23" s="396"/>
      <c r="N23" s="243"/>
      <c r="O23" s="243"/>
      <c r="P23" s="243"/>
    </row>
    <row r="24" spans="1:23" ht="30" customHeight="1">
      <c r="C24" s="391"/>
      <c r="D24" s="241" t="s">
        <v>924</v>
      </c>
      <c r="E24" s="231">
        <v>1</v>
      </c>
      <c r="F24" s="397"/>
      <c r="G24" s="397"/>
      <c r="H24" s="397"/>
      <c r="I24" s="397"/>
      <c r="J24" s="396"/>
      <c r="K24" s="396"/>
      <c r="L24" s="396"/>
      <c r="M24" s="396"/>
    </row>
    <row r="25" spans="1:23">
      <c r="D25" s="243"/>
      <c r="F25" s="401">
        <v>1</v>
      </c>
      <c r="G25" s="401"/>
      <c r="H25" s="401">
        <v>2</v>
      </c>
      <c r="I25" s="401"/>
      <c r="J25" s="401">
        <v>3</v>
      </c>
      <c r="K25" s="401"/>
      <c r="L25" s="401">
        <v>4</v>
      </c>
      <c r="M25" s="401"/>
    </row>
    <row r="26" spans="1:23" ht="30" customHeight="1">
      <c r="C26" s="243"/>
      <c r="D26" s="243"/>
      <c r="F26" s="388" t="s">
        <v>925</v>
      </c>
      <c r="G26" s="388"/>
      <c r="H26" s="408" t="s">
        <v>9</v>
      </c>
      <c r="I26" s="408"/>
      <c r="J26" s="386" t="s">
        <v>17</v>
      </c>
      <c r="K26" s="386"/>
      <c r="L26" s="385" t="s">
        <v>49</v>
      </c>
      <c r="M26" s="385"/>
    </row>
    <row r="27" spans="1:23">
      <c r="D27" s="243"/>
      <c r="F27" s="409" t="s">
        <v>926</v>
      </c>
      <c r="G27" s="409"/>
      <c r="H27" s="409"/>
      <c r="I27" s="409"/>
      <c r="J27" s="409"/>
      <c r="K27" s="409"/>
      <c r="L27" s="409"/>
      <c r="M27" s="409"/>
    </row>
    <row r="30" spans="1:23" ht="52.9" customHeight="1">
      <c r="A30" s="384" t="s">
        <v>927</v>
      </c>
      <c r="B30" s="384"/>
      <c r="C30" s="384"/>
      <c r="D30" s="402" t="s">
        <v>928</v>
      </c>
      <c r="E30" s="402"/>
      <c r="F30" s="402"/>
      <c r="G30" s="403" t="s">
        <v>929</v>
      </c>
      <c r="H30" s="403"/>
      <c r="I30" s="404" t="s">
        <v>930</v>
      </c>
      <c r="J30" s="404"/>
      <c r="K30" s="405" t="s">
        <v>931</v>
      </c>
      <c r="L30" s="405"/>
      <c r="M30" s="406" t="s">
        <v>932</v>
      </c>
      <c r="N30" s="406"/>
      <c r="O30" s="407" t="s">
        <v>933</v>
      </c>
      <c r="P30" s="407"/>
    </row>
    <row r="40" spans="6:6">
      <c r="F40" s="244"/>
    </row>
    <row r="41" spans="6:6">
      <c r="F41" s="244"/>
    </row>
    <row r="42" spans="6:6">
      <c r="F42" s="251"/>
    </row>
    <row r="43" spans="6:6">
      <c r="F43" s="251"/>
    </row>
    <row r="44" spans="6:6">
      <c r="F44" s="251"/>
    </row>
    <row r="45" spans="6:6">
      <c r="F45" s="251"/>
    </row>
    <row r="46" spans="6:6">
      <c r="F46" s="244"/>
    </row>
  </sheetData>
  <mergeCells count="46">
    <mergeCell ref="M30:N30"/>
    <mergeCell ref="O30:P30"/>
    <mergeCell ref="F26:G26"/>
    <mergeCell ref="H26:I26"/>
    <mergeCell ref="J26:K26"/>
    <mergeCell ref="L26:M26"/>
    <mergeCell ref="F27:M27"/>
    <mergeCell ref="A30:C30"/>
    <mergeCell ref="D30:F30"/>
    <mergeCell ref="G30:H30"/>
    <mergeCell ref="I30:J30"/>
    <mergeCell ref="K30:L30"/>
    <mergeCell ref="L24:M24"/>
    <mergeCell ref="F25:G25"/>
    <mergeCell ref="H25:I25"/>
    <mergeCell ref="J25:K25"/>
    <mergeCell ref="L25:M25"/>
    <mergeCell ref="D15:E15"/>
    <mergeCell ref="F15:G15"/>
    <mergeCell ref="H15:I15"/>
    <mergeCell ref="J15:K15"/>
    <mergeCell ref="C19:M20"/>
    <mergeCell ref="C21:C24"/>
    <mergeCell ref="F21:G21"/>
    <mergeCell ref="H21:I21"/>
    <mergeCell ref="J21:K21"/>
    <mergeCell ref="L21:M21"/>
    <mergeCell ref="F22:G22"/>
    <mergeCell ref="H22:I22"/>
    <mergeCell ref="J22:K22"/>
    <mergeCell ref="L22:M22"/>
    <mergeCell ref="F23:G23"/>
    <mergeCell ref="H23:I23"/>
    <mergeCell ref="J23:K23"/>
    <mergeCell ref="L23:M23"/>
    <mergeCell ref="F24:G24"/>
    <mergeCell ref="H24:I24"/>
    <mergeCell ref="J24:K24"/>
    <mergeCell ref="C2:K3"/>
    <mergeCell ref="C4:C9"/>
    <mergeCell ref="F12:K12"/>
    <mergeCell ref="A14:C14"/>
    <mergeCell ref="D14:E14"/>
    <mergeCell ref="F14:G14"/>
    <mergeCell ref="H14:I14"/>
    <mergeCell ref="J14:K1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13</vt:i4>
      </vt:variant>
      <vt:variant>
        <vt:lpstr>Plages nommées</vt:lpstr>
      </vt:variant>
      <vt:variant>
        <vt:i4>86</vt:i4>
      </vt:variant>
    </vt:vector>
  </HeadingPairs>
  <TitlesOfParts>
    <vt:vector size="99" baseType="lpstr">
      <vt:lpstr>Paramètres Cotation</vt:lpstr>
      <vt:lpstr>Conso</vt:lpstr>
      <vt:lpstr>Risk N°1</vt:lpstr>
      <vt:lpstr>Paramètres</vt:lpstr>
      <vt:lpstr>Tableau des risques brut</vt:lpstr>
      <vt:lpstr>Tableau des risques net</vt:lpstr>
      <vt:lpstr>Annexes</vt:lpstr>
      <vt:lpstr>Scoring </vt:lpstr>
      <vt:lpstr>Cartographie des risques global</vt:lpstr>
      <vt:lpstr>Cartographies séparées BrutNet</vt:lpstr>
      <vt:lpstr>Criticité</vt:lpstr>
      <vt:lpstr>Notes</vt:lpstr>
      <vt:lpstr>Carto aide</vt:lpstr>
      <vt:lpstr>'Cartographies séparées BrutNet'!_</vt:lpstr>
      <vt:lpstr>_</vt:lpstr>
      <vt:lpstr>ADP</vt:lpstr>
      <vt:lpstr>Autres</vt:lpstr>
      <vt:lpstr>Choix</vt:lpstr>
      <vt:lpstr>Choix_2</vt:lpstr>
      <vt:lpstr>Annexes!Classeur1_1</vt:lpstr>
      <vt:lpstr>Client_Image_Réputation</vt:lpstr>
      <vt:lpstr>Conformité_Réglementaire</vt:lpstr>
      <vt:lpstr>Conséquence</vt:lpstr>
      <vt:lpstr>Cotation_DMR</vt:lpstr>
      <vt:lpstr>Cotation_DMR2</vt:lpstr>
      <vt:lpstr>Cotation_Gravité_Brute</vt:lpstr>
      <vt:lpstr>Cotation_Gravité_Brute2</vt:lpstr>
      <vt:lpstr>criticité</vt:lpstr>
      <vt:lpstr>'Tableau des risques net'!CriticiteBrut1</vt:lpstr>
      <vt:lpstr>CriticiteBrut1</vt:lpstr>
      <vt:lpstr>csqrisk</vt:lpstr>
      <vt:lpstr>Direction_Action_Sociale_Culturelle.</vt:lpstr>
      <vt:lpstr>Direction_du_Cabinet.</vt:lpstr>
      <vt:lpstr>Direction_Finance_Risques.</vt:lpstr>
      <vt:lpstr>Direction_Instances_Juridique_Institutionnel.</vt:lpstr>
      <vt:lpstr>Direction_Relation_Adhérent.</vt:lpstr>
      <vt:lpstr>Direction_Relation_Adhérent.Act</vt:lpstr>
      <vt:lpstr>Direction_Relation_Adhérent.Ctrl</vt:lpstr>
      <vt:lpstr>Direction_Relation_Adhérent.PM</vt:lpstr>
      <vt:lpstr>Direction_Relation_Adhérent.PO</vt:lpstr>
      <vt:lpstr>Direction_Relation_Adhérent.Risk</vt:lpstr>
      <vt:lpstr>Direction_Relation_Clients.</vt:lpstr>
      <vt:lpstr>Direction_Relation_Prestations_Clients.</vt:lpstr>
      <vt:lpstr>Direction_Relation_Prestations_Clients.Act</vt:lpstr>
      <vt:lpstr>Direction_Relation_Prestations_Clients.Ctrl</vt:lpstr>
      <vt:lpstr>Direction_Relation_Prestations_Clients.PM</vt:lpstr>
      <vt:lpstr>Direction_Relation_Prestations_Clients.PO</vt:lpstr>
      <vt:lpstr>Direction_Relation_Prestations_Clients.Risk</vt:lpstr>
      <vt:lpstr>Direction_Réseau_Clients_Marketing_Communication.</vt:lpstr>
      <vt:lpstr>Direction_Ressources_Humaines.</vt:lpstr>
      <vt:lpstr>Direction_SI_Moyens__Généraux.</vt:lpstr>
      <vt:lpstr>Direction_Technique_Stratégie_Assurentielle.</vt:lpstr>
      <vt:lpstr>Directions</vt:lpstr>
      <vt:lpstr>DMR</vt:lpstr>
      <vt:lpstr>DMR_Homme</vt:lpstr>
      <vt:lpstr>DMR_Procedure</vt:lpstr>
      <vt:lpstr>DMR_Reglementaire</vt:lpstr>
      <vt:lpstr>DMR_SI</vt:lpstr>
      <vt:lpstr>Domaine</vt:lpstr>
      <vt:lpstr>Externes</vt:lpstr>
      <vt:lpstr>Facteurs</vt:lpstr>
      <vt:lpstr>Financier</vt:lpstr>
      <vt:lpstr>Imp</vt:lpstr>
      <vt:lpstr>Impact_Brut</vt:lpstr>
      <vt:lpstr>Impact_Brut2</vt:lpstr>
      <vt:lpstr>Impacts_Clients</vt:lpstr>
      <vt:lpstr>Impacts_Conformité</vt:lpstr>
      <vt:lpstr>Impacts_Financiers</vt:lpstr>
      <vt:lpstr>Impacts_Stratégie</vt:lpstr>
      <vt:lpstr>Impp</vt:lpstr>
      <vt:lpstr>'Tableau des risques brut'!Impression_des_titres</vt:lpstr>
      <vt:lpstr>'Tableau des risques net'!Impression_des_titres</vt:lpstr>
      <vt:lpstr>Nature_perte</vt:lpstr>
      <vt:lpstr>'Tableau des risques net'!NUMERO_RISQUE_BRUT</vt:lpstr>
      <vt:lpstr>NUMERO_RISQUE_BRUT</vt:lpstr>
      <vt:lpstr>'Tableau des risques net'!NUMERO_RISQUE_CRIT</vt:lpstr>
      <vt:lpstr>NUMERO_RISQUE_CRIT</vt:lpstr>
      <vt:lpstr>origine_de_détection</vt:lpstr>
      <vt:lpstr>Pilotage</vt:lpstr>
      <vt:lpstr>Prévoyance</vt:lpstr>
      <vt:lpstr>Priorité</vt:lpstr>
      <vt:lpstr>Proba</vt:lpstr>
      <vt:lpstr>Proba_Brut</vt:lpstr>
      <vt:lpstr>Proba_Brut2</vt:lpstr>
      <vt:lpstr>Processus_Procédure</vt:lpstr>
      <vt:lpstr>RB</vt:lpstr>
      <vt:lpstr>Ressources_Humaines</vt:lpstr>
      <vt:lpstr>Retraite</vt:lpstr>
      <vt:lpstr>'Tableau des risques net'!Risk_Nom_Criticite</vt:lpstr>
      <vt:lpstr>Risk_Nom_Criticite</vt:lpstr>
      <vt:lpstr>'Tableau des risques net'!RisqueBrut1</vt:lpstr>
      <vt:lpstr>RisqueBrut1</vt:lpstr>
      <vt:lpstr>Scoring</vt:lpstr>
      <vt:lpstr>SI</vt:lpstr>
      <vt:lpstr>Stratégique</vt:lpstr>
      <vt:lpstr>Toutes</vt:lpstr>
      <vt:lpstr>'Cartographie des risques global'!Zone_d_impression</vt:lpstr>
      <vt:lpstr>'Cartographies séparées BrutNet'!Zone_d_impression</vt:lpstr>
      <vt:lpstr>Criticité!Zone_d_impression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Arnaud Gomiero</dc:creator>
  <cp:lastModifiedBy>AG</cp:lastModifiedBy>
  <cp:lastPrinted>2018-03-06T14:08:02Z</cp:lastPrinted>
  <dcterms:created xsi:type="dcterms:W3CDTF">2012-06-01T15:46:45Z</dcterms:created>
  <dcterms:modified xsi:type="dcterms:W3CDTF">2018-07-12T11:14:10Z</dcterms:modified>
</cp:coreProperties>
</file>