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pstvl.local\pstvl$\REDIRECTIONS\p.mathecowitsch\Downloads\"/>
    </mc:Choice>
  </mc:AlternateContent>
  <xr:revisionPtr revIDLastSave="0" documentId="13_ncr:1_{C08FB5DA-7665-4DB7-8307-F0CCAD126005}" xr6:coauthVersionLast="47" xr6:coauthVersionMax="47" xr10:uidLastSave="{00000000-0000-0000-0000-000000000000}"/>
  <bookViews>
    <workbookView xWindow="-120" yWindow="-120" windowWidth="29040" windowHeight="15720" xr2:uid="{B1EA0354-E4C2-4FE3-86D8-8A3B3AE2B256}"/>
  </bookViews>
  <sheets>
    <sheet name="TDB" sheetId="1" r:id="rId1"/>
    <sheet name="SUIVI CLIENT 1x" sheetId="2" r:id="rId2"/>
    <sheet name="SUIVI CLIENT 3x" sheetId="10" r:id="rId3"/>
    <sheet name="SUIVI CLIENT 12x" sheetId="8" r:id="rId4"/>
    <sheet name="Données" sheetId="6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9" i="1" l="1"/>
  <c r="B8" i="1"/>
  <c r="B7" i="1"/>
  <c r="B6" i="1"/>
  <c r="B5" i="1"/>
  <c r="C4" i="1"/>
  <c r="D4" i="1"/>
  <c r="E4" i="1"/>
  <c r="F4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AG4" i="1"/>
  <c r="AH4" i="1"/>
  <c r="D3" i="1"/>
  <c r="E3" i="1"/>
  <c r="F3" i="1"/>
  <c r="G3" i="1"/>
  <c r="H3" i="1"/>
  <c r="I3" i="1"/>
  <c r="J3" i="1"/>
  <c r="K3" i="1"/>
  <c r="L3" i="1"/>
  <c r="M3" i="1"/>
  <c r="N3" i="1"/>
  <c r="O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AD3" i="1"/>
  <c r="AE3" i="1"/>
  <c r="AF3" i="1"/>
  <c r="AG3" i="1"/>
  <c r="AH3" i="1"/>
  <c r="C3" i="1"/>
  <c r="AI1" i="10"/>
  <c r="AH1" i="10"/>
  <c r="AG1" i="10"/>
  <c r="AF1" i="10"/>
  <c r="AE1" i="10"/>
  <c r="AD1" i="10"/>
  <c r="AC1" i="10"/>
  <c r="AB1" i="10"/>
  <c r="AA1" i="10"/>
  <c r="Z1" i="10"/>
  <c r="Y1" i="10"/>
  <c r="X1" i="10"/>
  <c r="W1" i="10"/>
  <c r="V1" i="10"/>
  <c r="U1" i="10"/>
  <c r="T1" i="10"/>
  <c r="S1" i="10"/>
  <c r="R1" i="10"/>
  <c r="Q1" i="10"/>
  <c r="P1" i="10"/>
  <c r="O1" i="10"/>
  <c r="N1" i="10"/>
  <c r="M1" i="10"/>
  <c r="L1" i="10"/>
  <c r="K1" i="10"/>
  <c r="J1" i="10"/>
  <c r="I1" i="10"/>
  <c r="H1" i="10"/>
  <c r="G1" i="10"/>
  <c r="F1" i="10"/>
  <c r="E1" i="10"/>
  <c r="F1" i="8"/>
  <c r="G1" i="8"/>
  <c r="H1" i="8"/>
  <c r="I1" i="8"/>
  <c r="J1" i="8"/>
  <c r="K1" i="8"/>
  <c r="L1" i="8"/>
  <c r="M1" i="8"/>
  <c r="N1" i="8"/>
  <c r="O1" i="8"/>
  <c r="P1" i="8"/>
  <c r="Q1" i="8"/>
  <c r="R1" i="8"/>
  <c r="S1" i="8"/>
  <c r="T1" i="8"/>
  <c r="U1" i="8"/>
  <c r="V1" i="8"/>
  <c r="W1" i="8"/>
  <c r="X1" i="8"/>
  <c r="Y1" i="8"/>
  <c r="Z1" i="8"/>
  <c r="AA1" i="8"/>
  <c r="AB1" i="8"/>
  <c r="AC1" i="8"/>
  <c r="AD1" i="8"/>
  <c r="AE1" i="8"/>
  <c r="AF1" i="8"/>
  <c r="AG1" i="8"/>
  <c r="AH1" i="8"/>
  <c r="AI1" i="8"/>
  <c r="E1" i="8"/>
  <c r="F1" i="2"/>
  <c r="G1" i="2"/>
  <c r="H1" i="2"/>
  <c r="I1" i="2"/>
  <c r="J1" i="2"/>
  <c r="K1" i="2"/>
  <c r="L1" i="2"/>
  <c r="M1" i="2"/>
  <c r="N1" i="2"/>
  <c r="O1" i="2"/>
  <c r="P1" i="2"/>
  <c r="Q1" i="2"/>
  <c r="R1" i="2"/>
  <c r="S1" i="2"/>
  <c r="T1" i="2"/>
  <c r="U1" i="2"/>
  <c r="V1" i="2"/>
  <c r="W1" i="2"/>
  <c r="X1" i="2"/>
  <c r="Y1" i="2"/>
  <c r="Z1" i="2"/>
  <c r="AA1" i="2"/>
  <c r="AB1" i="2"/>
  <c r="AC1" i="2"/>
  <c r="AD1" i="2"/>
  <c r="AE1" i="2"/>
  <c r="AF1" i="2"/>
  <c r="AG1" i="2"/>
  <c r="AH1" i="2"/>
  <c r="AI1" i="2"/>
  <c r="E1" i="2"/>
  <c r="D7" i="1"/>
  <c r="E7" i="1"/>
  <c r="F7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D8" i="1"/>
  <c r="E8" i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D9" i="1"/>
  <c r="E9" i="1"/>
  <c r="F9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C9" i="1"/>
  <c r="C8" i="1"/>
  <c r="C7" i="1"/>
  <c r="D5" i="1"/>
  <c r="E5" i="1"/>
  <c r="F5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U5" i="1"/>
  <c r="V5" i="1"/>
  <c r="W5" i="1"/>
  <c r="X5" i="1"/>
  <c r="Y5" i="1"/>
  <c r="Z5" i="1"/>
  <c r="AA5" i="1"/>
  <c r="AB5" i="1"/>
  <c r="AC5" i="1"/>
  <c r="AD5" i="1"/>
  <c r="AE5" i="1"/>
  <c r="AF5" i="1"/>
  <c r="AG5" i="1"/>
  <c r="AH5" i="1"/>
  <c r="D6" i="1"/>
  <c r="E6" i="1"/>
  <c r="F6" i="1"/>
  <c r="G6" i="1"/>
  <c r="H6" i="1"/>
  <c r="I6" i="1"/>
  <c r="J6" i="1"/>
  <c r="K6" i="1"/>
  <c r="L6" i="1"/>
  <c r="M6" i="1"/>
  <c r="N6" i="1"/>
  <c r="O6" i="1"/>
  <c r="P6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AG6" i="1"/>
  <c r="AH6" i="1"/>
  <c r="C6" i="1"/>
  <c r="C5" i="1"/>
  <c r="B4" i="1" l="1"/>
</calcChain>
</file>

<file path=xl/sharedStrings.xml><?xml version="1.0" encoding="utf-8"?>
<sst xmlns="http://schemas.openxmlformats.org/spreadsheetml/2006/main" count="163" uniqueCount="62">
  <si>
    <t>Nature</t>
  </si>
  <si>
    <t>Global</t>
  </si>
  <si>
    <t>janv-23</t>
  </si>
  <si>
    <t>févr-23</t>
  </si>
  <si>
    <t>mars-23</t>
  </si>
  <si>
    <t>avr-23</t>
  </si>
  <si>
    <t>mai-23</t>
  </si>
  <si>
    <t>juin-23</t>
  </si>
  <si>
    <t>juil-23</t>
  </si>
  <si>
    <t>août-23</t>
  </si>
  <si>
    <t>sept-23</t>
  </si>
  <si>
    <t>oct-23</t>
  </si>
  <si>
    <t>nov-23</t>
  </si>
  <si>
    <t>déc-23</t>
  </si>
  <si>
    <t>janv-24</t>
  </si>
  <si>
    <t>févr-24</t>
  </si>
  <si>
    <t>mars-24</t>
  </si>
  <si>
    <t>avr-24</t>
  </si>
  <si>
    <t>mai-24</t>
  </si>
  <si>
    <t>juin-24</t>
  </si>
  <si>
    <t>juil-24</t>
  </si>
  <si>
    <t>août-24</t>
  </si>
  <si>
    <t>sept-24</t>
  </si>
  <si>
    <t>oct-24</t>
  </si>
  <si>
    <t>nov-24</t>
  </si>
  <si>
    <t>déc-24</t>
  </si>
  <si>
    <t>janv-25</t>
  </si>
  <si>
    <t>fev-25</t>
  </si>
  <si>
    <t>mars-25</t>
  </si>
  <si>
    <t>avr-25</t>
  </si>
  <si>
    <t>mai-25</t>
  </si>
  <si>
    <t>juin-25</t>
  </si>
  <si>
    <t>juil-25</t>
  </si>
  <si>
    <t>août-25</t>
  </si>
  <si>
    <t>Nb clients 1</t>
  </si>
  <si>
    <t>Nb clients 3</t>
  </si>
  <si>
    <t>Nb clients12</t>
  </si>
  <si>
    <t>CA Clients 1</t>
  </si>
  <si>
    <t>CA Clients 3</t>
  </si>
  <si>
    <t>CA Clients 12</t>
  </si>
  <si>
    <t>Payment</t>
  </si>
  <si>
    <t>Member</t>
  </si>
  <si>
    <t>Starting date</t>
  </si>
  <si>
    <t>Mensualité</t>
  </si>
  <si>
    <t>XXX</t>
  </si>
  <si>
    <t>AAA</t>
  </si>
  <si>
    <t>KKK</t>
  </si>
  <si>
    <t>GGG</t>
  </si>
  <si>
    <t>EEE</t>
  </si>
  <si>
    <t>YYY</t>
  </si>
  <si>
    <t>CCC</t>
  </si>
  <si>
    <t>Colonne1</t>
  </si>
  <si>
    <t>ZZZ</t>
  </si>
  <si>
    <t>BBB</t>
  </si>
  <si>
    <t>DDD</t>
  </si>
  <si>
    <t>HHH</t>
  </si>
  <si>
    <t>FFF</t>
  </si>
  <si>
    <t>Programme</t>
  </si>
  <si>
    <t>Nb traites</t>
  </si>
  <si>
    <t>(77 x 5 avant avril 2023)</t>
  </si>
  <si>
    <t>OOO</t>
  </si>
  <si>
    <t>CA Mensuel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</si>
</sst>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4" formatCode="_-* #,##0.00\ &quot;€&quot;_-;\-* #,##0.00\ &quot;€&quot;_-;_-* &quot;-&quot;??\ &quot;€&quot;_-;_-@_-"/>
    <numFmt numFmtId="164" formatCode="_-[$$-409]* #,##0_ ;_-[$$-409]* \-#,##0\ ;_-[$$-409]* &quot;-&quot;??_ ;_-@_ 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17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1" xfId="0" applyBorder="1"/>
    <xf numFmtId="44" fontId="0" fillId="0" borderId="1" xfId="1" applyFont="1" applyBorder="1"/>
    <xf numFmtId="0" fontId="0" fillId="0" borderId="2" xfId="0" applyBorder="1" applyAlignment="1">
      <alignment horizontal="center" vertical="center"/>
    </xf>
    <xf numFmtId="17" fontId="0" fillId="0" borderId="2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0" fillId="0" borderId="0" xfId="1" applyNumberFormat="1" applyFont="1" applyAlignment="1">
      <alignment horizontal="center" vertical="center"/>
    </xf>
    <xf numFmtId="1" fontId="0" fillId="2" borderId="1" xfId="1" applyNumberFormat="1" applyFont="1" applyFill="1" applyBorder="1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</cellXfs>
  <cellStyles count="2">
    <cellStyle name="Monétaire" xfId="1" builtinId="4"/>
    <cellStyle name="Normal" xfId="0" builtinId="0"/>
  </cellStyles>
  <dxfs count="119">
    <dxf>
      <numFmt numFmtId="164" formatCode="_-[$$-409]* #,##0_ ;_-[$$-409]* \-#,##0\ ;_-[$$-409]* &quot;-&quot;??_ ;_-@_ 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_-[$$-409]* #,##0_ ;_-[$$-409]* \-#,##0\ ;_-[$$-409]* &quot;-&quot;??_ ;_-@_ 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numFmt numFmtId="22" formatCode="mmm\-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1" defaultTableStyle="TableStyleMedium2" defaultPivotStyle="PivotStyleLight16">
    <tableStyle name="Invisible" pivot="0" table="0" count="0" xr9:uid="{C849FDA4-618E-4DA3-BF89-0AA0F454B933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581D662-0958-4FD9-B2EC-A54412B6CC52}" name="Tableau2" displayName="Tableau2" ref="A2:AH9" totalsRowShown="0" headerRowDxfId="118" headerRowBorderDxfId="117" tableBorderDxfId="116">
  <autoFilter ref="A2:AH9" xr:uid="{1581D662-0958-4FD9-B2EC-A54412B6CC52}"/>
  <tableColumns count="34">
    <tableColumn id="1" xr3:uid="{9CE6772B-390A-45EF-80A2-4F758A2377FA}" name="Nature"/>
    <tableColumn id="2" xr3:uid="{097855A7-2B75-41F8-BB7E-247DC6E97CED}" name="Global" dataDxfId="115" dataCellStyle="Monétaire"/>
    <tableColumn id="4" xr3:uid="{9C5ADC50-FAA1-4695-905B-9E58373DA7E9}" name="janv-23"/>
    <tableColumn id="5" xr3:uid="{D7D5AF9D-CCC0-4046-855A-023A78696079}" name="févr-23"/>
    <tableColumn id="6" xr3:uid="{4C49589B-695C-420C-AE40-AE3F7B3D8BF4}" name="mars-23"/>
    <tableColumn id="7" xr3:uid="{4702C365-566A-43F8-9819-67D81B424EF6}" name="avr-23"/>
    <tableColumn id="8" xr3:uid="{C5E5E924-8C10-4A08-BAA1-4A84EC780FBB}" name="mai-23"/>
    <tableColumn id="9" xr3:uid="{CBC0F7FA-3E45-4977-B033-F8D6270323B9}" name="juin-23"/>
    <tableColumn id="10" xr3:uid="{98F0B5B2-A9B5-49E3-B28E-D17DCDD60D94}" name="juil-23"/>
    <tableColumn id="11" xr3:uid="{9075D490-5BBF-45E6-947F-C5D227BA9D14}" name="août-23"/>
    <tableColumn id="12" xr3:uid="{80DF5659-4DB0-44B7-8CCB-699FC051B623}" name="sept-23"/>
    <tableColumn id="13" xr3:uid="{4D15C040-AF71-4F37-AB4A-7CE8156D4C68}" name="oct-23"/>
    <tableColumn id="14" xr3:uid="{0C226C55-B8A5-4EA4-838F-19D43534AC14}" name="nov-23"/>
    <tableColumn id="15" xr3:uid="{E73A5BDA-D5EF-4D24-9390-EDCE31AA1E7E}" name="déc-23"/>
    <tableColumn id="16" xr3:uid="{AE2472E4-1C6E-49FE-AA39-C92D69DB853C}" name="janv-24"/>
    <tableColumn id="17" xr3:uid="{8B4AA0C6-AFC1-449C-A100-E51FD8CB8C32}" name="févr-24"/>
    <tableColumn id="18" xr3:uid="{5EF2F28F-541C-4743-81A7-857BC65DAADD}" name="mars-24"/>
    <tableColumn id="19" xr3:uid="{A69B3D49-1B10-4032-81EE-9E416D23E8D8}" name="avr-24"/>
    <tableColumn id="20" xr3:uid="{7587C088-FD2B-4277-BB2E-4E7B7CC77C22}" name="mai-24"/>
    <tableColumn id="21" xr3:uid="{BE88AFB4-E47D-4D06-ADAD-C1232C8F6BCA}" name="juin-24"/>
    <tableColumn id="22" xr3:uid="{A5509BAF-B3C1-4D31-9DAB-4E7333B7B8FF}" name="juil-24"/>
    <tableColumn id="23" xr3:uid="{28FE9311-AE4E-4B0B-B261-40CA84D9B233}" name="août-24"/>
    <tableColumn id="24" xr3:uid="{6FF63C57-A9FD-41A1-8120-4F26F220AE1D}" name="sept-24"/>
    <tableColumn id="25" xr3:uid="{5BFF6C43-A2F3-411C-8083-605690593DB9}" name="oct-24"/>
    <tableColumn id="26" xr3:uid="{76DA8078-ADD2-4966-9880-30A7E4F73D30}" name="nov-24"/>
    <tableColumn id="27" xr3:uid="{BE265A87-0B63-4356-B6F9-11182272BC92}" name="déc-24"/>
    <tableColumn id="28" xr3:uid="{C0C4FAAF-A94A-48D4-B9A7-BAF301FD8999}" name="janv-25"/>
    <tableColumn id="29" xr3:uid="{26068DC0-55CB-437A-9F3A-1F2AF616F7B8}" name="fev-25"/>
    <tableColumn id="30" xr3:uid="{286DCAD4-B04A-4C84-A3BC-2557AE383391}" name="mars-25"/>
    <tableColumn id="31" xr3:uid="{8D3C078B-30DF-4D9A-AC5B-222CA19FA9D1}" name="avr-25"/>
    <tableColumn id="32" xr3:uid="{17E5A7AE-32D9-41E9-A8F1-E4119B4B004D}" name="mai-25"/>
    <tableColumn id="33" xr3:uid="{3F9452D3-1158-4CEA-9B27-5B1D540EB6A1}" name="juin-25"/>
    <tableColumn id="34" xr3:uid="{452BEC24-0EB5-4EEC-96CC-9836D80B050A}" name="juil-25"/>
    <tableColumn id="35" xr3:uid="{C06F3FBE-720D-483D-B71B-3B7EFA767B73}" name="août-25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F265224-25D4-497E-9076-A4D517E323E9}" name="Tableau1" displayName="Tableau1" ref="A2:AI5" totalsRowShown="0" headerRowDxfId="114" dataDxfId="113">
  <autoFilter ref="A2:AI5" xr:uid="{0F265224-25D4-497E-9076-A4D517E323E9}"/>
  <sortState xmlns:xlrd2="http://schemas.microsoft.com/office/spreadsheetml/2017/richdata2" ref="A3:AI5">
    <sortCondition ref="A2:A5"/>
  </sortState>
  <tableColumns count="35">
    <tableColumn id="1" xr3:uid="{2F1770BC-4794-4DC0-AF44-9FBB00B09488}" name="Payment" dataDxfId="112"/>
    <tableColumn id="2" xr3:uid="{4E5E7559-8A09-4705-8A8C-7EE6EBEB8551}" name="Member" dataDxfId="111"/>
    <tableColumn id="5" xr3:uid="{1C796905-0024-41E8-B4FB-A6C4737C5CE6}" name="Starting date" dataDxfId="110"/>
    <tableColumn id="30" xr3:uid="{C0FCF23D-1A20-4B98-99CC-146826C9013A}" name="Mensualité" dataDxfId="109">
      <calculatedColumnFormula array="1">_xlfn.IFS(A3=1,"850",A3=3,"350",A3=12,"97")</calculatedColumnFormula>
    </tableColumn>
    <tableColumn id="6" xr3:uid="{D203E4E1-E242-46C4-8C3C-D1684D9EEC4C}" name="janv-23" dataDxfId="108"/>
    <tableColumn id="7" xr3:uid="{E83EBC86-1F83-417C-91F3-42DB6F0C1456}" name="févr-23" dataDxfId="107"/>
    <tableColumn id="8" xr3:uid="{52305DB4-BEDC-4C5C-9476-805F6AB17991}" name="mars-23" dataDxfId="106"/>
    <tableColumn id="9" xr3:uid="{20445FB7-DDC9-46B2-8D5A-929369C994E6}" name="avr-23" dataDxfId="105"/>
    <tableColumn id="10" xr3:uid="{72909AC8-1CE0-4188-B9C0-8DCD24FE8DF0}" name="mai-23" dataDxfId="104"/>
    <tableColumn id="11" xr3:uid="{56DCD89C-47B1-46B4-9E93-487D7BF12F99}" name="juin-23" dataDxfId="103"/>
    <tableColumn id="12" xr3:uid="{9C6DA821-C68C-42AE-A216-5EA1C9E83BF6}" name="juil-23" dataDxfId="102"/>
    <tableColumn id="13" xr3:uid="{6D7C6C62-4FF5-4A59-8EBC-E2936BA8080F}" name="août-23" dataDxfId="101"/>
    <tableColumn id="14" xr3:uid="{6564167C-027E-40E9-A9A7-5212AFA18459}" name="sept-23" dataDxfId="100"/>
    <tableColumn id="15" xr3:uid="{969E2F0A-0DD8-4DCE-A872-3CEEDD3A2748}" name="oct-23" dataDxfId="99"/>
    <tableColumn id="16" xr3:uid="{EE13D022-84A5-47F4-8790-063A4BBE4347}" name="nov-23" dataDxfId="98"/>
    <tableColumn id="17" xr3:uid="{6B220038-EFCA-40A4-A778-EBD56F1CC6D1}" name="déc-23" dataDxfId="97"/>
    <tableColumn id="18" xr3:uid="{D8C7C7A3-8A4F-4528-86D5-1931C05B5808}" name="janv-24" dataDxfId="96"/>
    <tableColumn id="19" xr3:uid="{C0EE3FE0-ACC4-469A-8AE2-294AE072FA37}" name="févr-24" dataDxfId="95"/>
    <tableColumn id="20" xr3:uid="{00984951-8234-4B94-85AA-470D6BA2B7C5}" name="mars-24" dataDxfId="94"/>
    <tableColumn id="21" xr3:uid="{DA890C1D-F096-47F5-9617-1C19FF6A551B}" name="avr-24" dataDxfId="93"/>
    <tableColumn id="22" xr3:uid="{482D6817-1114-4202-8074-2C7CC61AD721}" name="mai-24" dataDxfId="92"/>
    <tableColumn id="23" xr3:uid="{BB0227FB-5593-42D3-AD7B-C7F823365DBF}" name="juin-24" dataDxfId="91"/>
    <tableColumn id="24" xr3:uid="{FD9B2823-EADD-44EF-B4BE-5E9F0ECC89D4}" name="juil-24" dataDxfId="90"/>
    <tableColumn id="25" xr3:uid="{B93BC5F9-C4F6-44A3-AA22-F280908060E9}" name="août-24" dataDxfId="89"/>
    <tableColumn id="26" xr3:uid="{BBCC5E0E-8B9C-4FC9-A38A-46B4F9581C51}" name="sept-24" dataDxfId="88"/>
    <tableColumn id="27" xr3:uid="{382D91F0-2AA2-464A-9995-6B7809F340A5}" name="oct-24" dataDxfId="87"/>
    <tableColumn id="28" xr3:uid="{45343956-FE57-4483-95FC-A7110BE096AD}" name="nov-24" dataDxfId="86"/>
    <tableColumn id="29" xr3:uid="{2E7F86E4-EB6F-4701-A10C-769300735D92}" name="déc-24" dataDxfId="85"/>
    <tableColumn id="32" xr3:uid="{C4CD7CBF-6BEF-49B7-BDF1-D8FCB15A7A9F}" name="janv-25" dataDxfId="84"/>
    <tableColumn id="33" xr3:uid="{EFC6F4FB-5DD0-470B-B965-AB7DAB3E8D8F}" name="fev-25" dataDxfId="83"/>
    <tableColumn id="34" xr3:uid="{CFFD9294-27EA-417D-B9DA-B48CDB30997D}" name="mars-25" dataDxfId="82"/>
    <tableColumn id="35" xr3:uid="{DC99E41C-41E1-471F-9921-AE025FC3D251}" name="avr-25" dataDxfId="81"/>
    <tableColumn id="36" xr3:uid="{C7F06750-5E63-4828-AC59-DDF74577D6F5}" name="mai-25" dataDxfId="80"/>
    <tableColumn id="37" xr3:uid="{CD46C568-308A-4AC8-8666-C23909C17F63}" name="juin-25" dataDxfId="79"/>
    <tableColumn id="38" xr3:uid="{23616935-5B5E-48C3-AD78-93D5E6F984A0}" name="juil-25" dataDxfId="78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4D2DC861-BE5E-4E4A-BBEE-7FF953CB6C05}" name="Tableau148" displayName="Tableau148" ref="A2:AI6" totalsRowShown="0" headerRowDxfId="75" dataDxfId="74">
  <autoFilter ref="A2:AI6" xr:uid="{0F265224-25D4-497E-9076-A4D517E323E9}"/>
  <sortState xmlns:xlrd2="http://schemas.microsoft.com/office/spreadsheetml/2017/richdata2" ref="A3:AI6">
    <sortCondition ref="A2:A6"/>
  </sortState>
  <tableColumns count="35">
    <tableColumn id="1" xr3:uid="{C9C5D483-8ED5-42BD-A279-BE835CCAB73B}" name="Payment" dataDxfId="73"/>
    <tableColumn id="2" xr3:uid="{C4507973-FFEB-4598-889F-6FA5BD33DD41}" name="Member" dataDxfId="72"/>
    <tableColumn id="5" xr3:uid="{ED2EA203-42D5-43E6-98A4-B304DE12709D}" name="Starting date" dataDxfId="71"/>
    <tableColumn id="30" xr3:uid="{AEE99D38-06CD-4AF5-AA25-E64F7181B961}" name="Mensualité" dataDxfId="70" dataCellStyle="Monétaire">
      <calculatedColumnFormula array="1">_xlfn.IFS(A3=1,"850",A3=3,"350",A3=12,"97")</calculatedColumnFormula>
    </tableColumn>
    <tableColumn id="6" xr3:uid="{B9026B8D-C628-47FF-B18E-E4D05936C1A5}" name="janv-23" dataDxfId="69"/>
    <tableColumn id="7" xr3:uid="{FF0C6718-0FFD-4AB2-8111-BA491681D484}" name="févr-23" dataDxfId="68"/>
    <tableColumn id="8" xr3:uid="{8D0A24B2-0989-4C0E-8C20-C5CB14941399}" name="mars-23" dataDxfId="67"/>
    <tableColumn id="9" xr3:uid="{AC51D84C-1837-4A28-BF36-9F146FD7A951}" name="avr-23" dataDxfId="66"/>
    <tableColumn id="10" xr3:uid="{7143EC28-1098-43BB-A26A-456A848EF918}" name="mai-23" dataDxfId="65"/>
    <tableColumn id="11" xr3:uid="{C6D16DE5-802D-442F-9D2D-5676484E678D}" name="juin-23" dataDxfId="64"/>
    <tableColumn id="12" xr3:uid="{5BF555F4-9FE1-4AC2-8A83-B8AADB414F0C}" name="juil-23" dataDxfId="63"/>
    <tableColumn id="13" xr3:uid="{36CB88D3-3502-45C1-B68B-97765CD82AD3}" name="août-23" dataDxfId="62"/>
    <tableColumn id="14" xr3:uid="{923CCC62-0D03-4006-8398-5197B00BA06D}" name="sept-23" dataDxfId="61"/>
    <tableColumn id="15" xr3:uid="{0CB0967C-8C1F-4E14-9F40-3D277159AA1C}" name="oct-23" dataDxfId="60"/>
    <tableColumn id="16" xr3:uid="{0754E7BB-B2BE-4FEC-84BE-31CB6DFBFA88}" name="nov-23" dataDxfId="59"/>
    <tableColumn id="17" xr3:uid="{0AA554BC-09EA-4813-8955-853E7BCD7CF9}" name="déc-23" dataDxfId="58"/>
    <tableColumn id="18" xr3:uid="{A309362E-BCCE-4727-885F-678C466E70ED}" name="janv-24" dataDxfId="57"/>
    <tableColumn id="19" xr3:uid="{95F6E341-4C2C-45D7-AFC4-EF95A3C2FABA}" name="févr-24" dataDxfId="56"/>
    <tableColumn id="20" xr3:uid="{2246680C-CDF5-45E9-8684-36E4DF9F3CE9}" name="mars-24" dataDxfId="55"/>
    <tableColumn id="21" xr3:uid="{7FEB6D63-23E6-4FA3-8EAE-9A0E0052E4B6}" name="avr-24" dataDxfId="54"/>
    <tableColumn id="22" xr3:uid="{20E8C737-D46D-422B-9EF2-834F9EE98795}" name="mai-24" dataDxfId="53"/>
    <tableColumn id="23" xr3:uid="{88723F47-FEA2-44E5-A723-0B0FFC1048B5}" name="juin-24" dataDxfId="52"/>
    <tableColumn id="24" xr3:uid="{B4EAB05E-F90C-426F-BC68-2CAA3DA85208}" name="juil-24" dataDxfId="51"/>
    <tableColumn id="25" xr3:uid="{8775381B-ED9C-439C-8A55-EF56B57DD876}" name="août-24" dataDxfId="50"/>
    <tableColumn id="26" xr3:uid="{E876A921-C4A0-4D13-A6DF-EC8CB7EB28A6}" name="sept-24" dataDxfId="49"/>
    <tableColumn id="27" xr3:uid="{797F1143-55BD-4B94-B549-7445313EBC0A}" name="oct-24" dataDxfId="48"/>
    <tableColumn id="28" xr3:uid="{ACA26EA2-3471-4ED8-B305-4C0BC49200D4}" name="nov-24" dataDxfId="47"/>
    <tableColumn id="29" xr3:uid="{C1565CA1-2F89-4188-AE57-EDDF762E2F0E}" name="déc-24" dataDxfId="46"/>
    <tableColumn id="32" xr3:uid="{16711E2A-6738-4703-9C8D-4AC05021B503}" name="janv-25" dataDxfId="45"/>
    <tableColumn id="33" xr3:uid="{57EBBDD7-8FFD-4D8C-867E-168BC2C4E4B4}" name="fev-25" dataDxfId="44"/>
    <tableColumn id="34" xr3:uid="{F810C70C-6024-481A-93E2-A5C01CBBE57B}" name="mars-25" dataDxfId="43"/>
    <tableColumn id="35" xr3:uid="{384B7830-D1D9-457F-B339-46DA891A421B}" name="avr-25" dataDxfId="42"/>
    <tableColumn id="36" xr3:uid="{5FA1612A-33F3-409B-BFD7-DB0794C22563}" name="mai-25" dataDxfId="41"/>
    <tableColumn id="37" xr3:uid="{D3058567-BA38-40E6-902F-E6235B9ED170}" name="juin-25" dataDxfId="40"/>
    <tableColumn id="38" xr3:uid="{1BC060FF-B52B-4CDC-85D3-2D76FE8177A2}" name="juil-25" dataDxfId="39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965F4C5-DE0A-4D4C-B41D-5366B0B95BF5}" name="Tableau14" displayName="Tableau14" ref="A2:AI8" totalsRowShown="0" headerRowDxfId="77" dataDxfId="1">
  <autoFilter ref="A2:AI8" xr:uid="{0F265224-25D4-497E-9076-A4D517E323E9}"/>
  <sortState xmlns:xlrd2="http://schemas.microsoft.com/office/spreadsheetml/2017/richdata2" ref="A3:AI6">
    <sortCondition ref="A2:A6"/>
  </sortState>
  <tableColumns count="35">
    <tableColumn id="1" xr3:uid="{5F03491C-144E-45CA-9AB8-A9ED802D1D7A}" name="Payment" dataDxfId="34"/>
    <tableColumn id="2" xr3:uid="{082E8CBE-8D2E-442C-B24A-53569B9BA03C}" name="Member" dataDxfId="33"/>
    <tableColumn id="5" xr3:uid="{7ABB7E2F-0A84-4AC3-9FF7-C86539F02543}" name="Starting date" dataDxfId="32"/>
    <tableColumn id="30" xr3:uid="{BBADA98B-AEEA-4BA6-BC0C-61378BDD4255}" name="Mensualité" dataDxfId="0" dataCellStyle="Monétaire"/>
    <tableColumn id="6" xr3:uid="{DE48AACD-1B70-4051-AA1C-E6AF5A113005}" name="janv-23" dataDxfId="76"/>
    <tableColumn id="7" xr3:uid="{642B973E-8093-4521-AA43-E9330C9B86C2}" name="févr-23" dataDxfId="31"/>
    <tableColumn id="8" xr3:uid="{9F06D38A-448B-4FC1-A5A0-9FDBC7B25C47}" name="mars-23" dataDxfId="30"/>
    <tableColumn id="9" xr3:uid="{5039218C-ABE0-46D2-AA4F-21444730902B}" name="avr-23" dataDxfId="29"/>
    <tableColumn id="10" xr3:uid="{313E3040-0FE7-4E8E-A570-3429139F9974}" name="mai-23" dataDxfId="28"/>
    <tableColumn id="11" xr3:uid="{4C1A79A8-CFEC-4CCF-93ED-A4D815A430C9}" name="juin-23" dataDxfId="27"/>
    <tableColumn id="12" xr3:uid="{2AF911EF-D193-43EA-9940-1F348A11AD6F}" name="juil-23" dataDxfId="26"/>
    <tableColumn id="13" xr3:uid="{C90D2A9C-E212-4FA7-9DA6-52B2963DC52E}" name="août-23" dataDxfId="25"/>
    <tableColumn id="14" xr3:uid="{068D4A77-AA0A-42B8-82F3-957FBA962ABD}" name="sept-23" dataDxfId="24"/>
    <tableColumn id="15" xr3:uid="{BD652B8E-69A2-48CF-970B-D1A6D20FE96C}" name="oct-23" dataDxfId="23"/>
    <tableColumn id="16" xr3:uid="{D7CCA748-326D-444B-BD00-7A4A0CF2432C}" name="nov-23" dataDxfId="22"/>
    <tableColumn id="17" xr3:uid="{F6562C8D-EDBB-4000-A3A6-DD6260113D71}" name="déc-23" dataDxfId="21"/>
    <tableColumn id="18" xr3:uid="{5D0DD867-2DD9-4F41-83F9-0256F9B9C525}" name="janv-24" dataDxfId="20"/>
    <tableColumn id="19" xr3:uid="{2AE75A1D-EA82-4A10-B563-CF4773EC7022}" name="févr-24" dataDxfId="19"/>
    <tableColumn id="20" xr3:uid="{568643D8-D9E1-4899-92BD-658C48B1E680}" name="mars-24" dataDxfId="18"/>
    <tableColumn id="21" xr3:uid="{587ECEF4-D55B-4D65-800E-9D84AF9FF691}" name="avr-24" dataDxfId="17"/>
    <tableColumn id="22" xr3:uid="{0A96C04B-E152-4A13-80DE-0EEC4B563E2A}" name="mai-24" dataDxfId="16"/>
    <tableColumn id="23" xr3:uid="{455FD184-8FD9-40CC-BC36-30993E7F4500}" name="juin-24" dataDxfId="15"/>
    <tableColumn id="24" xr3:uid="{ED8CC4E0-4A9A-4D2B-8D0A-AE0D8773D407}" name="juil-24" dataDxfId="14"/>
    <tableColumn id="25" xr3:uid="{DF56ED84-C329-4C46-B895-771835D13CDD}" name="août-24" dataDxfId="13"/>
    <tableColumn id="26" xr3:uid="{E931CDCE-2727-4C2B-B7B4-43F06E12A7D3}" name="sept-24" dataDxfId="12"/>
    <tableColumn id="27" xr3:uid="{F0162773-CCB0-45A7-8CB2-9FE0959FAC08}" name="oct-24" dataDxfId="11"/>
    <tableColumn id="28" xr3:uid="{F1AEB5C9-CE4D-459B-B22B-E20389AE689A}" name="nov-24" dataDxfId="10"/>
    <tableColumn id="29" xr3:uid="{2013DD57-212B-4AD8-8D1D-2C4B3B3F5CDE}" name="déc-24" dataDxfId="9"/>
    <tableColumn id="32" xr3:uid="{B9094451-CF38-4484-9F11-70916C66C7BD}" name="janv-25" dataDxfId="8"/>
    <tableColumn id="33" xr3:uid="{319DA8C4-081C-4427-A8DF-921046BBB2C0}" name="fev-25" dataDxfId="7"/>
    <tableColumn id="34" xr3:uid="{4FC28EFD-6DE2-44A0-B3B3-B6FF41A70E8A}" name="mars-25" dataDxfId="6"/>
    <tableColumn id="35" xr3:uid="{9B2362A5-BB56-4263-827C-49FA93B4B274}" name="avr-25" dataDxfId="5"/>
    <tableColumn id="36" xr3:uid="{57D2AD1A-F9A9-4EDB-8238-6246EA934A0C}" name="mai-25" dataDxfId="4"/>
    <tableColumn id="37" xr3:uid="{208A9BB1-B01E-4956-BA8F-051D99057B69}" name="juin-25" dataDxfId="3"/>
    <tableColumn id="38" xr3:uid="{A2303F87-F093-4CB5-B1E9-53C60B68FAB9}" name="juil-25" dataDxfId="2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9806C99-FDD2-411B-AC1C-DFCFDC641364}" name="Tableau5" displayName="Tableau5" ref="G1:G6" totalsRowShown="0">
  <autoFilter ref="G1:G6" xr:uid="{D9806C99-FDD2-411B-AC1C-DFCFDC641364}"/>
  <sortState xmlns:xlrd2="http://schemas.microsoft.com/office/spreadsheetml/2017/richdata2" ref="G2:G6">
    <sortCondition descending="1" ref="G1:G6"/>
  </sortState>
  <tableColumns count="1">
    <tableColumn id="1" xr3:uid="{E34A2F42-3AF6-4276-A1BF-55B985E4EA28}" name="Colonne1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E67E2C8-EBD5-4841-8DF8-0CA2173AB3BB}" name="Tableau6" displayName="Tableau6" ref="E1:E4" totalsRowShown="0">
  <autoFilter ref="E1:E4" xr:uid="{7E67E2C8-EBD5-4841-8DF8-0CA2173AB3BB}"/>
  <tableColumns count="1">
    <tableColumn id="1" xr3:uid="{7B349EAF-A630-4B46-B631-DF18C6D105BE}" name="Nb traites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62BA84-13BB-4196-82A1-6FBC0F22ECED}">
  <dimension ref="A2:AH9"/>
  <sheetViews>
    <sheetView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10" sqref="B10"/>
    </sheetView>
  </sheetViews>
  <sheetFormatPr baseColWidth="10" defaultColWidth="11.42578125" defaultRowHeight="15" x14ac:dyDescent="0.25"/>
  <cols>
    <col min="1" max="1" width="18.28515625" bestFit="1" customWidth="1"/>
    <col min="2" max="2" width="9.28515625" style="2" bestFit="1" customWidth="1"/>
  </cols>
  <sheetData>
    <row r="2" spans="1:34" s="2" customFormat="1" x14ac:dyDescent="0.25">
      <c r="A2" s="9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0" t="s">
        <v>6</v>
      </c>
      <c r="H2" s="10" t="s">
        <v>7</v>
      </c>
      <c r="I2" s="10" t="s">
        <v>8</v>
      </c>
      <c r="J2" s="10" t="s">
        <v>9</v>
      </c>
      <c r="K2" s="10" t="s">
        <v>10</v>
      </c>
      <c r="L2" s="10" t="s">
        <v>11</v>
      </c>
      <c r="M2" s="10" t="s">
        <v>12</v>
      </c>
      <c r="N2" s="10" t="s">
        <v>13</v>
      </c>
      <c r="O2" s="10" t="s">
        <v>14</v>
      </c>
      <c r="P2" s="10" t="s">
        <v>15</v>
      </c>
      <c r="Q2" s="10" t="s">
        <v>16</v>
      </c>
      <c r="R2" s="10" t="s">
        <v>17</v>
      </c>
      <c r="S2" s="10" t="s">
        <v>18</v>
      </c>
      <c r="T2" s="10" t="s">
        <v>19</v>
      </c>
      <c r="U2" s="10" t="s">
        <v>20</v>
      </c>
      <c r="V2" s="10" t="s">
        <v>21</v>
      </c>
      <c r="W2" s="10" t="s">
        <v>22</v>
      </c>
      <c r="X2" s="10" t="s">
        <v>23</v>
      </c>
      <c r="Y2" s="10" t="s">
        <v>24</v>
      </c>
      <c r="Z2" s="10" t="s">
        <v>25</v>
      </c>
      <c r="AA2" s="10" t="s">
        <v>26</v>
      </c>
      <c r="AB2" s="9" t="s">
        <v>27</v>
      </c>
      <c r="AC2" s="10" t="s">
        <v>28</v>
      </c>
      <c r="AD2" s="10" t="s">
        <v>29</v>
      </c>
      <c r="AE2" s="10" t="s">
        <v>30</v>
      </c>
      <c r="AF2" s="10" t="s">
        <v>31</v>
      </c>
      <c r="AG2" s="10" t="s">
        <v>32</v>
      </c>
      <c r="AH2" s="10" t="s">
        <v>33</v>
      </c>
    </row>
    <row r="3" spans="1:34" x14ac:dyDescent="0.25">
      <c r="A3" s="7" t="s">
        <v>61</v>
      </c>
      <c r="B3" s="16"/>
      <c r="C3" s="8">
        <f>SUM('SUIVI CLIENT 1x'!E1,'SUIVI CLIENT 3x'!E1,'SUIVI CLIENT 12x'!E1)</f>
        <v>77</v>
      </c>
      <c r="D3" s="8">
        <f>SUM('SUIVI CLIENT 1x'!F1,'SUIVI CLIENT 3x'!F1,'SUIVI CLIENT 12x'!F1)</f>
        <v>77</v>
      </c>
      <c r="E3" s="8">
        <f>SUM('SUIVI CLIENT 1x'!G1,'SUIVI CLIENT 3x'!G1,'SUIVI CLIENT 12x'!G1)</f>
        <v>77</v>
      </c>
      <c r="F3" s="8">
        <f>SUM('SUIVI CLIENT 1x'!H1,'SUIVI CLIENT 3x'!H1,'SUIVI CLIENT 12x'!H1)</f>
        <v>77</v>
      </c>
      <c r="G3" s="8">
        <f>SUM('SUIVI CLIENT 1x'!I1,'SUIVI CLIENT 3x'!I1,'SUIVI CLIENT 12x'!I1)</f>
        <v>0</v>
      </c>
      <c r="H3" s="8">
        <f>SUM('SUIVI CLIENT 1x'!J1,'SUIVI CLIENT 3x'!J1,'SUIVI CLIENT 12x'!J1)</f>
        <v>0</v>
      </c>
      <c r="I3" s="8">
        <f>SUM('SUIVI CLIENT 1x'!K1,'SUIVI CLIENT 3x'!K1,'SUIVI CLIENT 12x'!K1)</f>
        <v>0</v>
      </c>
      <c r="J3" s="8">
        <f>SUM('SUIVI CLIENT 1x'!L1,'SUIVI CLIENT 3x'!L1,'SUIVI CLIENT 12x'!L1)</f>
        <v>447</v>
      </c>
      <c r="K3" s="8">
        <f>SUM('SUIVI CLIENT 1x'!M1,'SUIVI CLIENT 3x'!M1,'SUIVI CLIENT 12x'!M1)</f>
        <v>447</v>
      </c>
      <c r="L3" s="8">
        <f>SUM('SUIVI CLIENT 1x'!N1,'SUIVI CLIENT 3x'!N1,'SUIVI CLIENT 12x'!N1)</f>
        <v>544</v>
      </c>
      <c r="M3" s="8">
        <f>SUM('SUIVI CLIENT 1x'!O1,'SUIVI CLIENT 3x'!O1,'SUIVI CLIENT 12x'!O1)</f>
        <v>194</v>
      </c>
      <c r="N3" s="8">
        <f>SUM('SUIVI CLIENT 1x'!P1,'SUIVI CLIENT 3x'!P1,'SUIVI CLIENT 12x'!P1)</f>
        <v>291</v>
      </c>
      <c r="O3" s="8">
        <f>SUM('SUIVI CLIENT 1x'!Q1,'SUIVI CLIENT 3x'!Q1,'SUIVI CLIENT 12x'!Q1)</f>
        <v>1141</v>
      </c>
      <c r="P3" s="8">
        <f>SUM('SUIVI CLIENT 1x'!R1,'SUIVI CLIENT 3x'!R1,'SUIVI CLIENT 12x'!R1)</f>
        <v>738</v>
      </c>
      <c r="Q3" s="8">
        <f>SUM('SUIVI CLIENT 1x'!S1,'SUIVI CLIENT 3x'!S1,'SUIVI CLIENT 12x'!S1)</f>
        <v>1438</v>
      </c>
      <c r="R3" s="8">
        <f>SUM('SUIVI CLIENT 1x'!T1,'SUIVI CLIENT 3x'!T1,'SUIVI CLIENT 12x'!T1)</f>
        <v>1438</v>
      </c>
      <c r="S3" s="8">
        <f>SUM('SUIVI CLIENT 1x'!U1,'SUIVI CLIENT 3x'!U1,'SUIVI CLIENT 12x'!U1)</f>
        <v>1185</v>
      </c>
      <c r="T3" s="8">
        <f>SUM('SUIVI CLIENT 1x'!V1,'SUIVI CLIENT 3x'!V1,'SUIVI CLIENT 12x'!V1)</f>
        <v>485</v>
      </c>
      <c r="U3" s="8">
        <f>SUM('SUIVI CLIENT 1x'!W1,'SUIVI CLIENT 3x'!W1,'SUIVI CLIENT 12x'!W1)</f>
        <v>485</v>
      </c>
      <c r="V3" s="8">
        <f>SUM('SUIVI CLIENT 1x'!X1,'SUIVI CLIENT 3x'!X1,'SUIVI CLIENT 12x'!X1)</f>
        <v>1238</v>
      </c>
      <c r="W3" s="8">
        <f>SUM('SUIVI CLIENT 1x'!Y1,'SUIVI CLIENT 3x'!Y1,'SUIVI CLIENT 12x'!Y1)</f>
        <v>388</v>
      </c>
      <c r="X3" s="8">
        <f>SUM('SUIVI CLIENT 1x'!Z1,'SUIVI CLIENT 3x'!Z1,'SUIVI CLIENT 12x'!Z1)</f>
        <v>291</v>
      </c>
      <c r="Y3" s="8">
        <f>SUM('SUIVI CLIENT 1x'!AA1,'SUIVI CLIENT 3x'!AA1,'SUIVI CLIENT 12x'!AA1)</f>
        <v>291</v>
      </c>
      <c r="Z3" s="8">
        <f>SUM('SUIVI CLIENT 1x'!AB1,'SUIVI CLIENT 3x'!AB1,'SUIVI CLIENT 12x'!AB1)</f>
        <v>194</v>
      </c>
      <c r="AA3" s="8">
        <f>SUM('SUIVI CLIENT 1x'!AC1,'SUIVI CLIENT 3x'!AC1,'SUIVI CLIENT 12x'!AC1)</f>
        <v>194</v>
      </c>
      <c r="AB3" s="8">
        <f>SUM('SUIVI CLIENT 1x'!AD1,'SUIVI CLIENT 3x'!AD1,'SUIVI CLIENT 12x'!AD1)</f>
        <v>97</v>
      </c>
      <c r="AC3" s="8">
        <f>SUM('SUIVI CLIENT 1x'!AE1,'SUIVI CLIENT 3x'!AE1,'SUIVI CLIENT 12x'!AE1)</f>
        <v>97</v>
      </c>
      <c r="AD3" s="8">
        <f>SUM('SUIVI CLIENT 1x'!AF1,'SUIVI CLIENT 3x'!AF1,'SUIVI CLIENT 12x'!AF1)</f>
        <v>97</v>
      </c>
      <c r="AE3" s="8">
        <f>SUM('SUIVI CLIENT 1x'!AG1,'SUIVI CLIENT 3x'!AG1,'SUIVI CLIENT 12x'!AG1)</f>
        <v>850</v>
      </c>
      <c r="AF3" s="8">
        <f>SUM('SUIVI CLIENT 1x'!AH1,'SUIVI CLIENT 3x'!AH1,'SUIVI CLIENT 12x'!AH1)</f>
        <v>0</v>
      </c>
      <c r="AG3" s="8">
        <f>SUM('SUIVI CLIENT 1x'!AI1,'SUIVI CLIENT 3x'!AI1,'SUIVI CLIENT 12x'!AI1)</f>
        <v>0</v>
      </c>
      <c r="AH3" s="8">
        <f>SUM('SUIVI CLIENT 1x'!AJ1,'SUIVI CLIENT 3x'!AJ1,'SUIVI CLIENT 12x'!AJ1)</f>
        <v>0</v>
      </c>
    </row>
    <row r="4" spans="1:34" x14ac:dyDescent="0.25">
      <c r="A4" t="s">
        <v>34</v>
      </c>
      <c r="B4" s="14">
        <f>COUNTIF('SUIVI CLIENT 1x'!A:A,"1")</f>
        <v>3</v>
      </c>
      <c r="C4">
        <f>'SUIVI CLIENT 1x'!E1</f>
        <v>0</v>
      </c>
      <c r="D4">
        <f>COUNTIF(Tableau1[févr-23],"850")</f>
        <v>0</v>
      </c>
      <c r="E4">
        <f>COUNTIF(Tableau1[mars-23],"850")</f>
        <v>0</v>
      </c>
      <c r="F4">
        <f>COUNTIF(Tableau1[avr-23],"850")</f>
        <v>0</v>
      </c>
      <c r="G4">
        <f>COUNTIF(Tableau1[mai-23],"850")</f>
        <v>0</v>
      </c>
      <c r="H4">
        <f>COUNTIF(Tableau1[juin-23],"850")</f>
        <v>0</v>
      </c>
      <c r="I4">
        <f>COUNTIF(Tableau1[juil-23],"850")</f>
        <v>0</v>
      </c>
      <c r="J4">
        <f>COUNTIF(Tableau1[août-23],"850")</f>
        <v>0</v>
      </c>
      <c r="K4">
        <f>COUNTIF(Tableau1[sept-23],"850")</f>
        <v>0</v>
      </c>
      <c r="L4">
        <f>COUNTIF(Tableau1[oct-23],"850")</f>
        <v>0</v>
      </c>
      <c r="M4">
        <f>COUNTIF(Tableau1[nov-23],"850")</f>
        <v>0</v>
      </c>
      <c r="N4">
        <f>COUNTIF(Tableau1[déc-23],"850")</f>
        <v>0</v>
      </c>
      <c r="O4">
        <f>COUNTIF(Tableau1[janv-24],"850")</f>
        <v>1</v>
      </c>
      <c r="P4">
        <f>COUNTIF(Tableau1[févr-24],"850")</f>
        <v>0</v>
      </c>
      <c r="Q4">
        <f>COUNTIF(Tableau1[mars-24],"850")</f>
        <v>0</v>
      </c>
      <c r="R4">
        <f>COUNTIF(Tableau1[avr-24],"850")</f>
        <v>0</v>
      </c>
      <c r="S4">
        <f>COUNTIF(Tableau1[mai-24],"850")</f>
        <v>0</v>
      </c>
      <c r="T4">
        <f>COUNTIF(Tableau1[juin-24],"850")</f>
        <v>0</v>
      </c>
      <c r="U4">
        <f>COUNTIF(Tableau1[juil-24],"850")</f>
        <v>0</v>
      </c>
      <c r="V4">
        <f>COUNTIF(Tableau1[août-24],"850")</f>
        <v>1</v>
      </c>
      <c r="W4">
        <f>COUNTIF(Tableau1[sept-24],"850")</f>
        <v>0</v>
      </c>
      <c r="X4">
        <f>COUNTIF(Tableau1[oct-24],"850")</f>
        <v>0</v>
      </c>
      <c r="Y4">
        <f>COUNTIF(Tableau1[nov-24],"850")</f>
        <v>0</v>
      </c>
      <c r="Z4">
        <f>COUNTIF(Tableau1[déc-24],"850")</f>
        <v>0</v>
      </c>
      <c r="AA4">
        <f>COUNTIF(Tableau1[janv-25],"850")</f>
        <v>0</v>
      </c>
      <c r="AB4">
        <f>COUNTIF(Tableau1[fev-25],"850")</f>
        <v>0</v>
      </c>
      <c r="AC4">
        <f>COUNTIF(Tableau1[mars-25],"850")</f>
        <v>0</v>
      </c>
      <c r="AD4">
        <f>COUNTIF(Tableau1[avr-25],"850")</f>
        <v>0</v>
      </c>
      <c r="AE4">
        <f>COUNTIF(Tableau1[mai-25],"850")</f>
        <v>1</v>
      </c>
      <c r="AF4">
        <f>COUNTIF(Tableau1[juin-25],"850")</f>
        <v>0</v>
      </c>
      <c r="AG4">
        <f>COUNTIF(Tableau1[juil-25],"850")</f>
        <v>0</v>
      </c>
      <c r="AH4">
        <f>COUNTIF(Tableau1[Payment],"850")</f>
        <v>0</v>
      </c>
    </row>
    <row r="5" spans="1:34" x14ac:dyDescent="0.25">
      <c r="A5" t="s">
        <v>35</v>
      </c>
      <c r="B5" s="14">
        <f>COUNTIF(Tableau148[Payment],"3")</f>
        <v>4</v>
      </c>
      <c r="C5">
        <f>COUNTIF(Tableau1[janv-23],"350")</f>
        <v>0</v>
      </c>
      <c r="D5">
        <f>COUNTIF(Tableau1[févr-23],"350")</f>
        <v>0</v>
      </c>
      <c r="E5">
        <f>COUNTIF(Tableau1[mars-23],"350")</f>
        <v>0</v>
      </c>
      <c r="F5">
        <f>COUNTIF(Tableau1[avr-23],"350")</f>
        <v>0</v>
      </c>
      <c r="G5">
        <f>COUNTIF(Tableau1[mai-23],"350")</f>
        <v>0</v>
      </c>
      <c r="H5">
        <f>COUNTIF(Tableau1[juin-23],"350")</f>
        <v>0</v>
      </c>
      <c r="I5">
        <f>COUNTIF(Tableau1[juil-23],"350")</f>
        <v>0</v>
      </c>
      <c r="J5">
        <f>COUNTIF(Tableau1[août-23],"350")</f>
        <v>0</v>
      </c>
      <c r="K5">
        <f>COUNTIF(Tableau1[sept-23],"350")</f>
        <v>0</v>
      </c>
      <c r="L5">
        <f>COUNTIF(Tableau1[oct-23],"350")</f>
        <v>0</v>
      </c>
      <c r="M5">
        <f>COUNTIF(Tableau1[nov-23],"350")</f>
        <v>0</v>
      </c>
      <c r="N5">
        <f>COUNTIF(Tableau1[déc-23],"350")</f>
        <v>0</v>
      </c>
      <c r="O5">
        <f>COUNTIF(Tableau1[janv-24],"350")</f>
        <v>0</v>
      </c>
      <c r="P5">
        <f>COUNTIF(Tableau1[févr-24],"350")</f>
        <v>0</v>
      </c>
      <c r="Q5">
        <f>COUNTIF(Tableau1[mars-24],"350")</f>
        <v>0</v>
      </c>
      <c r="R5">
        <f>COUNTIF(Tableau1[avr-24],"350")</f>
        <v>0</v>
      </c>
      <c r="S5">
        <f>COUNTIF(Tableau1[mai-24],"350")</f>
        <v>0</v>
      </c>
      <c r="T5">
        <f>COUNTIF(Tableau1[juin-24],"350")</f>
        <v>0</v>
      </c>
      <c r="U5">
        <f>COUNTIF(Tableau1[juil-24],"350")</f>
        <v>0</v>
      </c>
      <c r="V5">
        <f>COUNTIF(Tableau1[août-24],"350")</f>
        <v>0</v>
      </c>
      <c r="W5">
        <f>COUNTIF(Tableau1[sept-24],"350")</f>
        <v>0</v>
      </c>
      <c r="X5">
        <f>COUNTIF(Tableau1[oct-24],"350")</f>
        <v>0</v>
      </c>
      <c r="Y5">
        <f>COUNTIF(Tableau1[nov-24],"350")</f>
        <v>0</v>
      </c>
      <c r="Z5">
        <f>COUNTIF(Tableau1[déc-24],"350")</f>
        <v>0</v>
      </c>
      <c r="AA5">
        <f>COUNTIF(Tableau1[janv-25],"350")</f>
        <v>0</v>
      </c>
      <c r="AB5">
        <f>COUNTIF(Tableau1[fev-25],"350")</f>
        <v>0</v>
      </c>
      <c r="AC5">
        <f>COUNTIF(Tableau1[mars-25],"350")</f>
        <v>0</v>
      </c>
      <c r="AD5">
        <f>COUNTIF(Tableau1[avr-25],"350")</f>
        <v>0</v>
      </c>
      <c r="AE5">
        <f>COUNTIF(Tableau1[mai-25],"350")</f>
        <v>0</v>
      </c>
      <c r="AF5">
        <f>COUNTIF(Tableau1[juin-25],"350")</f>
        <v>0</v>
      </c>
      <c r="AG5">
        <f>COUNTIF(Tableau1[juil-25],"350")</f>
        <v>0</v>
      </c>
      <c r="AH5">
        <f>COUNTIF(Tableau1[Payment],"350")</f>
        <v>0</v>
      </c>
    </row>
    <row r="6" spans="1:34" x14ac:dyDescent="0.25">
      <c r="A6" t="s">
        <v>36</v>
      </c>
      <c r="B6" s="14">
        <f>COUNTIF(Tableau14[Payment],"12")</f>
        <v>6</v>
      </c>
      <c r="C6">
        <f>COUNTIF(Tableau1[janv-23],"850")</f>
        <v>0</v>
      </c>
      <c r="D6">
        <f>COUNTIF(Tableau1[févr-23],"850")</f>
        <v>0</v>
      </c>
      <c r="E6">
        <f>COUNTIF(Tableau1[mars-23],"850")</f>
        <v>0</v>
      </c>
      <c r="F6">
        <f>COUNTIF(Tableau1[avr-23],"850")</f>
        <v>0</v>
      </c>
      <c r="G6">
        <f>COUNTIF(Tableau1[mai-23],"850")</f>
        <v>0</v>
      </c>
      <c r="H6">
        <f>COUNTIF(Tableau1[juin-23],"850")</f>
        <v>0</v>
      </c>
      <c r="I6">
        <f>COUNTIF(Tableau1[juil-23],"850")</f>
        <v>0</v>
      </c>
      <c r="J6">
        <f>COUNTIF(Tableau1[août-23],"850")</f>
        <v>0</v>
      </c>
      <c r="K6">
        <f>COUNTIF(Tableau1[sept-23],"850")</f>
        <v>0</v>
      </c>
      <c r="L6">
        <f>COUNTIF(Tableau1[oct-23],"850")</f>
        <v>0</v>
      </c>
      <c r="M6">
        <f>COUNTIF(Tableau1[nov-23],"850")</f>
        <v>0</v>
      </c>
      <c r="N6">
        <f>COUNTIF(Tableau1[déc-23],"850")</f>
        <v>0</v>
      </c>
      <c r="O6">
        <f>COUNTIF(Tableau1[janv-24],"850")</f>
        <v>1</v>
      </c>
      <c r="P6">
        <f>COUNTIF(Tableau1[févr-24],"850")</f>
        <v>0</v>
      </c>
      <c r="Q6">
        <f>COUNTIF(Tableau1[mars-24],"850")</f>
        <v>0</v>
      </c>
      <c r="R6">
        <f>COUNTIF(Tableau1[avr-24],"850")</f>
        <v>0</v>
      </c>
      <c r="S6">
        <f>COUNTIF(Tableau1[mai-24],"850")</f>
        <v>0</v>
      </c>
      <c r="T6">
        <f>COUNTIF(Tableau1[juin-24],"850")</f>
        <v>0</v>
      </c>
      <c r="U6">
        <f>COUNTIF(Tableau1[juil-24],"850")</f>
        <v>0</v>
      </c>
      <c r="V6">
        <f>COUNTIF(Tableau1[août-24],"850")</f>
        <v>1</v>
      </c>
      <c r="W6">
        <f>COUNTIF(Tableau1[sept-24],"850")</f>
        <v>0</v>
      </c>
      <c r="X6">
        <f>COUNTIF(Tableau1[oct-24],"850")</f>
        <v>0</v>
      </c>
      <c r="Y6">
        <f>COUNTIF(Tableau1[nov-24],"850")</f>
        <v>0</v>
      </c>
      <c r="Z6">
        <f>COUNTIF(Tableau1[déc-24],"850")</f>
        <v>0</v>
      </c>
      <c r="AA6">
        <f>COUNTIF(Tableau1[janv-25],"850")</f>
        <v>0</v>
      </c>
      <c r="AB6">
        <f>COUNTIF(Tableau1[fev-25],"850")</f>
        <v>0</v>
      </c>
      <c r="AC6">
        <f>COUNTIF(Tableau1[mars-25],"850")</f>
        <v>0</v>
      </c>
      <c r="AD6">
        <f>COUNTIF(Tableau1[avr-25],"850")</f>
        <v>0</v>
      </c>
      <c r="AE6">
        <f>COUNTIF(Tableau1[mai-25],"850")</f>
        <v>1</v>
      </c>
      <c r="AF6">
        <f>COUNTIF(Tableau1[juin-25],"850")</f>
        <v>0</v>
      </c>
      <c r="AG6">
        <f>COUNTIF(Tableau1[juil-25],"850")</f>
        <v>0</v>
      </c>
      <c r="AH6">
        <f>COUNTIF(Tableau1[Payment],"850")</f>
        <v>0</v>
      </c>
    </row>
    <row r="7" spans="1:34" x14ac:dyDescent="0.25">
      <c r="A7" t="s">
        <v>37</v>
      </c>
      <c r="B7" s="15">
        <f>SUM('SUIVI CLIENT 1x'!E1:AI1)</f>
        <v>2550</v>
      </c>
      <c r="C7">
        <f>SUMIF(Tableau1[janv-23],"97")</f>
        <v>0</v>
      </c>
      <c r="D7">
        <f>SUMIF(Tableau1[févr-23],"97")</f>
        <v>0</v>
      </c>
      <c r="E7">
        <f>SUMIF(Tableau1[mars-23],"97")</f>
        <v>0</v>
      </c>
      <c r="F7">
        <f>SUMIF(Tableau1[avr-23],"97")</f>
        <v>0</v>
      </c>
      <c r="G7">
        <f>SUMIF(Tableau1[mai-23],"97")</f>
        <v>0</v>
      </c>
      <c r="H7">
        <f>SUMIF(Tableau1[juin-23],"97")</f>
        <v>0</v>
      </c>
      <c r="I7">
        <f>SUMIF(Tableau1[juil-23],"97")</f>
        <v>0</v>
      </c>
      <c r="J7">
        <f>SUMIF(Tableau1[août-23],"97")</f>
        <v>0</v>
      </c>
      <c r="K7">
        <f>SUMIF(Tableau1[sept-23],"97")</f>
        <v>0</v>
      </c>
      <c r="L7">
        <f>SUMIF(Tableau1[oct-23],"97")</f>
        <v>0</v>
      </c>
      <c r="M7">
        <f>SUMIF(Tableau1[nov-23],"97")</f>
        <v>0</v>
      </c>
      <c r="N7">
        <f>SUMIF(Tableau1[déc-23],"97")</f>
        <v>0</v>
      </c>
      <c r="O7">
        <f>SUMIF(Tableau1[janv-24],"97")</f>
        <v>0</v>
      </c>
      <c r="P7">
        <f>SUMIF(Tableau1[févr-24],"97")</f>
        <v>0</v>
      </c>
      <c r="Q7">
        <f>SUMIF(Tableau1[mars-24],"97")</f>
        <v>0</v>
      </c>
      <c r="R7">
        <f>SUMIF(Tableau1[avr-24],"97")</f>
        <v>0</v>
      </c>
      <c r="S7">
        <f>SUMIF(Tableau1[mai-24],"97")</f>
        <v>0</v>
      </c>
      <c r="T7">
        <f>SUMIF(Tableau1[juin-24],"97")</f>
        <v>0</v>
      </c>
      <c r="U7">
        <f>SUMIF(Tableau1[juil-24],"97")</f>
        <v>0</v>
      </c>
      <c r="V7">
        <f>SUMIF(Tableau1[août-24],"97")</f>
        <v>0</v>
      </c>
      <c r="W7">
        <f>SUMIF(Tableau1[sept-24],"97")</f>
        <v>0</v>
      </c>
      <c r="X7">
        <f>SUMIF(Tableau1[oct-24],"97")</f>
        <v>0</v>
      </c>
      <c r="Y7">
        <f>SUMIF(Tableau1[nov-24],"97")</f>
        <v>0</v>
      </c>
      <c r="Z7">
        <f>SUMIF(Tableau1[déc-24],"97")</f>
        <v>0</v>
      </c>
      <c r="AA7">
        <f>SUMIF(Tableau1[janv-25],"97")</f>
        <v>0</v>
      </c>
      <c r="AB7">
        <f>SUMIF(Tableau1[fev-25],"97")</f>
        <v>0</v>
      </c>
      <c r="AC7">
        <f>SUMIF(Tableau1[mars-25],"97")</f>
        <v>0</v>
      </c>
      <c r="AD7">
        <f>SUMIF(Tableau1[avr-25],"97")</f>
        <v>0</v>
      </c>
      <c r="AE7">
        <f>SUMIF(Tableau1[mai-25],"97")</f>
        <v>0</v>
      </c>
      <c r="AF7">
        <f>SUMIF(Tableau1[juin-25],"97")</f>
        <v>0</v>
      </c>
      <c r="AG7">
        <f>SUMIF(Tableau1[juil-25],"97")</f>
        <v>0</v>
      </c>
      <c r="AH7">
        <f>SUMIF(Tableau1[Payment],"97")</f>
        <v>0</v>
      </c>
    </row>
    <row r="8" spans="1:34" x14ac:dyDescent="0.25">
      <c r="A8" t="s">
        <v>38</v>
      </c>
      <c r="B8" s="15">
        <f>SUM('SUIVI CLIENT 3x'!E1:AI1)</f>
        <v>4200</v>
      </c>
      <c r="C8">
        <f>SUMIF(Tableau1[janv-23],"350")</f>
        <v>0</v>
      </c>
      <c r="D8">
        <f>SUMIF(Tableau1[févr-23],"350")</f>
        <v>0</v>
      </c>
      <c r="E8">
        <f>SUMIF(Tableau1[mars-23],"350")</f>
        <v>0</v>
      </c>
      <c r="F8">
        <f>SUMIF(Tableau1[avr-23],"350")</f>
        <v>0</v>
      </c>
      <c r="G8">
        <f>SUMIF(Tableau1[mai-23],"350")</f>
        <v>0</v>
      </c>
      <c r="H8">
        <f>SUMIF(Tableau1[juin-23],"350")</f>
        <v>0</v>
      </c>
      <c r="I8">
        <f>SUMIF(Tableau1[juil-23],"350")</f>
        <v>0</v>
      </c>
      <c r="J8">
        <f>SUMIF(Tableau1[août-23],"350")</f>
        <v>0</v>
      </c>
      <c r="K8">
        <f>SUMIF(Tableau1[sept-23],"350")</f>
        <v>0</v>
      </c>
      <c r="L8">
        <f>SUMIF(Tableau1[oct-23],"350")</f>
        <v>0</v>
      </c>
      <c r="M8">
        <f>SUMIF(Tableau1[nov-23],"350")</f>
        <v>0</v>
      </c>
      <c r="N8">
        <f>SUMIF(Tableau1[déc-23],"350")</f>
        <v>0</v>
      </c>
      <c r="O8">
        <f>SUMIF(Tableau1[janv-24],"350")</f>
        <v>0</v>
      </c>
      <c r="P8">
        <f>SUMIF(Tableau1[févr-24],"350")</f>
        <v>0</v>
      </c>
      <c r="Q8">
        <f>SUMIF(Tableau1[mars-24],"350")</f>
        <v>0</v>
      </c>
      <c r="R8">
        <f>SUMIF(Tableau1[avr-24],"350")</f>
        <v>0</v>
      </c>
      <c r="S8">
        <f>SUMIF(Tableau1[mai-24],"350")</f>
        <v>0</v>
      </c>
      <c r="T8">
        <f>SUMIF(Tableau1[juin-24],"350")</f>
        <v>0</v>
      </c>
      <c r="U8">
        <f>SUMIF(Tableau1[juil-24],"350")</f>
        <v>0</v>
      </c>
      <c r="V8">
        <f>SUMIF(Tableau1[août-24],"350")</f>
        <v>0</v>
      </c>
      <c r="W8">
        <f>SUMIF(Tableau1[sept-24],"350")</f>
        <v>0</v>
      </c>
      <c r="X8">
        <f>SUMIF(Tableau1[oct-24],"350")</f>
        <v>0</v>
      </c>
      <c r="Y8">
        <f>SUMIF(Tableau1[nov-24],"350")</f>
        <v>0</v>
      </c>
      <c r="Z8">
        <f>SUMIF(Tableau1[déc-24],"350")</f>
        <v>0</v>
      </c>
      <c r="AA8">
        <f>SUMIF(Tableau1[janv-25],"350")</f>
        <v>0</v>
      </c>
      <c r="AB8">
        <f>SUMIF(Tableau1[fev-25],"350")</f>
        <v>0</v>
      </c>
      <c r="AC8">
        <f>SUMIF(Tableau1[mars-25],"350")</f>
        <v>0</v>
      </c>
      <c r="AD8">
        <f>SUMIF(Tableau1[avr-25],"350")</f>
        <v>0</v>
      </c>
      <c r="AE8">
        <f>SUMIF(Tableau1[mai-25],"350")</f>
        <v>0</v>
      </c>
      <c r="AF8">
        <f>SUMIF(Tableau1[juin-25],"350")</f>
        <v>0</v>
      </c>
      <c r="AG8">
        <f>SUMIF(Tableau1[juil-25],"350")</f>
        <v>0</v>
      </c>
      <c r="AH8">
        <f>SUMIF(Tableau1[Payment],"350")</f>
        <v>0</v>
      </c>
    </row>
    <row r="9" spans="1:34" x14ac:dyDescent="0.25">
      <c r="A9" t="s">
        <v>39</v>
      </c>
      <c r="B9" s="15">
        <f>SUM('SUIVI CLIENT 12x'!E1:AI1)</f>
        <v>6128</v>
      </c>
      <c r="C9">
        <f>SUMIF(Tableau1[janv-23],"850")</f>
        <v>0</v>
      </c>
      <c r="D9">
        <f>SUMIF(Tableau1[févr-23],"850")</f>
        <v>0</v>
      </c>
      <c r="E9">
        <f>SUMIF(Tableau1[mars-23],"850")</f>
        <v>0</v>
      </c>
      <c r="F9">
        <f>SUMIF(Tableau1[avr-23],"850")</f>
        <v>0</v>
      </c>
      <c r="G9">
        <f>SUMIF(Tableau1[mai-23],"850")</f>
        <v>0</v>
      </c>
      <c r="H9">
        <f>SUMIF(Tableau1[juin-23],"850")</f>
        <v>0</v>
      </c>
      <c r="I9">
        <f>SUMIF(Tableau1[juil-23],"850")</f>
        <v>0</v>
      </c>
      <c r="J9">
        <f>SUMIF(Tableau1[août-23],"850")</f>
        <v>0</v>
      </c>
      <c r="K9">
        <f>SUMIF(Tableau1[sept-23],"850")</f>
        <v>0</v>
      </c>
      <c r="L9">
        <f>SUMIF(Tableau1[oct-23],"850")</f>
        <v>0</v>
      </c>
      <c r="M9">
        <f>SUMIF(Tableau1[nov-23],"850")</f>
        <v>0</v>
      </c>
      <c r="N9">
        <f>SUMIF(Tableau1[déc-23],"850")</f>
        <v>0</v>
      </c>
      <c r="O9">
        <f>SUMIF(Tableau1[janv-24],"850")</f>
        <v>850</v>
      </c>
      <c r="P9">
        <f>SUMIF(Tableau1[févr-24],"850")</f>
        <v>0</v>
      </c>
      <c r="Q9">
        <f>SUMIF(Tableau1[mars-24],"850")</f>
        <v>0</v>
      </c>
      <c r="R9">
        <f>SUMIF(Tableau1[avr-24],"850")</f>
        <v>0</v>
      </c>
      <c r="S9">
        <f>SUMIF(Tableau1[mai-24],"850")</f>
        <v>0</v>
      </c>
      <c r="T9">
        <f>SUMIF(Tableau1[juin-24],"850")</f>
        <v>0</v>
      </c>
      <c r="U9">
        <f>SUMIF(Tableau1[juil-24],"850")</f>
        <v>0</v>
      </c>
      <c r="V9">
        <f>SUMIF(Tableau1[août-24],"850")</f>
        <v>850</v>
      </c>
      <c r="W9">
        <f>SUMIF(Tableau1[sept-24],"850")</f>
        <v>0</v>
      </c>
      <c r="X9">
        <f>SUMIF(Tableau1[oct-24],"850")</f>
        <v>0</v>
      </c>
      <c r="Y9">
        <f>SUMIF(Tableau1[nov-24],"850")</f>
        <v>0</v>
      </c>
      <c r="Z9">
        <f>SUMIF(Tableau1[déc-24],"850")</f>
        <v>0</v>
      </c>
      <c r="AA9">
        <f>SUMIF(Tableau1[janv-25],"850")</f>
        <v>0</v>
      </c>
      <c r="AB9">
        <f>SUMIF(Tableau1[fev-25],"850")</f>
        <v>0</v>
      </c>
      <c r="AC9">
        <f>SUMIF(Tableau1[mars-25],"850")</f>
        <v>0</v>
      </c>
      <c r="AD9">
        <f>SUMIF(Tableau1[avr-25],"850")</f>
        <v>0</v>
      </c>
      <c r="AE9">
        <f>SUMIF(Tableau1[mai-25],"850")</f>
        <v>850</v>
      </c>
      <c r="AF9">
        <f>SUMIF(Tableau1[juin-25],"850")</f>
        <v>0</v>
      </c>
      <c r="AG9">
        <f>SUMIF(Tableau1[juil-25],"850")</f>
        <v>0</v>
      </c>
      <c r="AH9">
        <f>SUMIF(Tableau1[Payment],"850")</f>
        <v>0</v>
      </c>
    </row>
  </sheetData>
  <phoneticPr fontId="2" type="noConversion"/>
  <conditionalFormatting sqref="C3:AH9">
    <cfRule type="cellIs" dxfId="38" priority="1" operator="greaterThan">
      <formula>0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DBED24-32BA-4AE7-85E5-04F70D3A8873}">
  <dimension ref="A1:AI5"/>
  <sheetViews>
    <sheetView workbookViewId="0">
      <pane xSplit="3" ySplit="2" topLeftCell="R3" activePane="bottomRight" state="frozen"/>
      <selection pane="topRight" activeCell="D1" sqref="D1"/>
      <selection pane="bottomLeft" activeCell="A2" sqref="A2"/>
      <selection pane="bottomRight" sqref="A1:XFD1"/>
    </sheetView>
  </sheetViews>
  <sheetFormatPr baseColWidth="10" defaultColWidth="11.5703125" defaultRowHeight="15" x14ac:dyDescent="0.25"/>
  <cols>
    <col min="1" max="1" width="13" style="2" bestFit="1" customWidth="1"/>
    <col min="2" max="2" width="12.7109375" style="2" bestFit="1" customWidth="1"/>
    <col min="3" max="3" width="16.28515625" style="2" bestFit="1" customWidth="1"/>
    <col min="4" max="4" width="14.7109375" style="2" bestFit="1" customWidth="1"/>
    <col min="5" max="5" width="11.7109375" style="2" bestFit="1" customWidth="1"/>
    <col min="6" max="6" width="11.42578125" style="2" bestFit="1" customWidth="1"/>
    <col min="7" max="7" width="12.28515625" style="2" bestFit="1" customWidth="1"/>
    <col min="8" max="8" width="10.7109375" style="2" bestFit="1" customWidth="1"/>
    <col min="9" max="10" width="11.28515625" style="2" bestFit="1" customWidth="1"/>
    <col min="11" max="11" width="10.7109375" style="2" bestFit="1" customWidth="1"/>
    <col min="12" max="12" width="12" style="2" bestFit="1" customWidth="1"/>
    <col min="13" max="13" width="11.7109375" style="2" bestFit="1" customWidth="1"/>
    <col min="14" max="14" width="10.7109375" style="2" bestFit="1" customWidth="1"/>
    <col min="15" max="15" width="11.28515625" style="2" bestFit="1" customWidth="1"/>
    <col min="16" max="16" width="11.140625" style="2" bestFit="1" customWidth="1"/>
    <col min="17" max="17" width="11.7109375" style="2" bestFit="1" customWidth="1"/>
    <col min="18" max="18" width="11.42578125" style="2" bestFit="1" customWidth="1"/>
    <col min="19" max="19" width="12.28515625" style="2" bestFit="1" customWidth="1"/>
    <col min="20" max="20" width="10.7109375" style="2" bestFit="1" customWidth="1"/>
    <col min="21" max="22" width="11.28515625" style="2" bestFit="1" customWidth="1"/>
    <col min="23" max="23" width="10.7109375" style="2" bestFit="1" customWidth="1"/>
    <col min="24" max="24" width="12" style="2" bestFit="1" customWidth="1"/>
    <col min="25" max="25" width="11.7109375" style="2" bestFit="1" customWidth="1"/>
    <col min="26" max="26" width="10.7109375" style="2" bestFit="1" customWidth="1"/>
    <col min="27" max="27" width="11.28515625" style="2" bestFit="1" customWidth="1"/>
    <col min="28" max="28" width="11.140625" style="2" bestFit="1" customWidth="1"/>
    <col min="29" max="29" width="11.7109375" style="2" bestFit="1" customWidth="1"/>
    <col min="30" max="30" width="10.7109375" style="2" bestFit="1" customWidth="1"/>
    <col min="31" max="31" width="12.28515625" style="2" bestFit="1" customWidth="1"/>
    <col min="32" max="32" width="10.7109375" style="2" bestFit="1" customWidth="1"/>
    <col min="33" max="34" width="11.28515625" style="2" bestFit="1" customWidth="1"/>
    <col min="35" max="35" width="10.7109375" style="2" bestFit="1" customWidth="1"/>
    <col min="36" max="16384" width="11.5703125" style="2"/>
  </cols>
  <sheetData>
    <row r="1" spans="1:35" s="19" customFormat="1" x14ac:dyDescent="0.25">
      <c r="E1" s="19">
        <f>SUM(Tableau1[janv-23])</f>
        <v>0</v>
      </c>
      <c r="F1" s="19">
        <f>SUM(Tableau1[févr-23])</f>
        <v>0</v>
      </c>
      <c r="G1" s="19">
        <f>SUM(Tableau1[mars-23])</f>
        <v>0</v>
      </c>
      <c r="H1" s="19">
        <f>SUM(Tableau1[avr-23])</f>
        <v>0</v>
      </c>
      <c r="I1" s="19">
        <f>SUM(Tableau1[mai-23])</f>
        <v>0</v>
      </c>
      <c r="J1" s="19">
        <f>SUM(Tableau1[juin-23])</f>
        <v>0</v>
      </c>
      <c r="K1" s="19">
        <f>SUM(Tableau1[juil-23])</f>
        <v>0</v>
      </c>
      <c r="L1" s="19">
        <f>SUM(Tableau1[août-23])</f>
        <v>0</v>
      </c>
      <c r="M1" s="19">
        <f>SUM(Tableau1[sept-23])</f>
        <v>0</v>
      </c>
      <c r="N1" s="19">
        <f>SUM(Tableau1[oct-23])</f>
        <v>0</v>
      </c>
      <c r="O1" s="19">
        <f>SUM(Tableau1[nov-23])</f>
        <v>0</v>
      </c>
      <c r="P1" s="19">
        <f>SUM(Tableau1[déc-23])</f>
        <v>0</v>
      </c>
      <c r="Q1" s="19">
        <f>SUM(Tableau1[janv-24])</f>
        <v>850</v>
      </c>
      <c r="R1" s="19">
        <f>SUM(Tableau1[févr-24])</f>
        <v>0</v>
      </c>
      <c r="S1" s="19">
        <f>SUM(Tableau1[mars-24])</f>
        <v>0</v>
      </c>
      <c r="T1" s="19">
        <f>SUM(Tableau1[avr-24])</f>
        <v>0</v>
      </c>
      <c r="U1" s="19">
        <f>SUM(Tableau1[mai-24])</f>
        <v>0</v>
      </c>
      <c r="V1" s="19">
        <f>SUM(Tableau1[juin-24])</f>
        <v>0</v>
      </c>
      <c r="W1" s="19">
        <f>SUM(Tableau1[juil-24])</f>
        <v>0</v>
      </c>
      <c r="X1" s="19">
        <f>SUM(Tableau1[août-24])</f>
        <v>850</v>
      </c>
      <c r="Y1" s="19">
        <f>SUM(Tableau1[sept-24])</f>
        <v>0</v>
      </c>
      <c r="Z1" s="19">
        <f>SUM(Tableau1[oct-24])</f>
        <v>0</v>
      </c>
      <c r="AA1" s="19">
        <f>SUM(Tableau1[nov-24])</f>
        <v>0</v>
      </c>
      <c r="AB1" s="19">
        <f>SUM(Tableau1[déc-24])</f>
        <v>0</v>
      </c>
      <c r="AC1" s="19">
        <f>SUM(Tableau1[janv-25])</f>
        <v>0</v>
      </c>
      <c r="AD1" s="19">
        <f>SUM(Tableau1[fev-25])</f>
        <v>0</v>
      </c>
      <c r="AE1" s="19">
        <f>SUM(Tableau1[mars-25])</f>
        <v>0</v>
      </c>
      <c r="AF1" s="19">
        <f>SUM(Tableau1[avr-25])</f>
        <v>0</v>
      </c>
      <c r="AG1" s="19">
        <f>SUM(Tableau1[mai-25])</f>
        <v>850</v>
      </c>
      <c r="AH1" s="19">
        <f>SUM(Tableau1[juin-25])</f>
        <v>0</v>
      </c>
      <c r="AI1" s="19">
        <f>SUM(Tableau1[juil-25])</f>
        <v>0</v>
      </c>
    </row>
    <row r="2" spans="1:35" x14ac:dyDescent="0.25">
      <c r="A2" s="2" t="s">
        <v>40</v>
      </c>
      <c r="B2" s="2" t="s">
        <v>41</v>
      </c>
      <c r="C2" s="2" t="s">
        <v>42</v>
      </c>
      <c r="D2" s="2" t="s">
        <v>43</v>
      </c>
      <c r="E2" s="3" t="s">
        <v>2</v>
      </c>
      <c r="F2" s="3" t="s">
        <v>3</v>
      </c>
      <c r="G2" s="3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3" t="s">
        <v>10</v>
      </c>
      <c r="N2" s="3" t="s">
        <v>11</v>
      </c>
      <c r="O2" s="3" t="s">
        <v>12</v>
      </c>
      <c r="P2" s="3" t="s">
        <v>13</v>
      </c>
      <c r="Q2" s="3" t="s">
        <v>14</v>
      </c>
      <c r="R2" s="3" t="s">
        <v>15</v>
      </c>
      <c r="S2" s="3" t="s">
        <v>16</v>
      </c>
      <c r="T2" s="3" t="s">
        <v>17</v>
      </c>
      <c r="U2" s="3" t="s">
        <v>18</v>
      </c>
      <c r="V2" s="3" t="s">
        <v>19</v>
      </c>
      <c r="W2" s="3" t="s">
        <v>20</v>
      </c>
      <c r="X2" s="3" t="s">
        <v>21</v>
      </c>
      <c r="Y2" s="3" t="s">
        <v>22</v>
      </c>
      <c r="Z2" s="3" t="s">
        <v>23</v>
      </c>
      <c r="AA2" s="3" t="s">
        <v>24</v>
      </c>
      <c r="AB2" s="3" t="s">
        <v>25</v>
      </c>
      <c r="AC2" s="3" t="s">
        <v>26</v>
      </c>
      <c r="AD2" s="2" t="s">
        <v>27</v>
      </c>
      <c r="AE2" s="3" t="s">
        <v>28</v>
      </c>
      <c r="AF2" s="3" t="s">
        <v>29</v>
      </c>
      <c r="AG2" s="3" t="s">
        <v>30</v>
      </c>
      <c r="AH2" s="3" t="s">
        <v>31</v>
      </c>
      <c r="AI2" s="3" t="s">
        <v>32</v>
      </c>
    </row>
    <row r="3" spans="1:35" x14ac:dyDescent="0.25">
      <c r="A3" s="4">
        <v>1</v>
      </c>
      <c r="B3" s="4" t="s">
        <v>44</v>
      </c>
      <c r="C3" s="5">
        <v>45301</v>
      </c>
      <c r="D3" s="11">
        <v>850</v>
      </c>
      <c r="E3" s="6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>
        <v>850</v>
      </c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</row>
    <row r="4" spans="1:35" x14ac:dyDescent="0.25">
      <c r="A4" s="4">
        <v>1</v>
      </c>
      <c r="B4" s="4" t="s">
        <v>45</v>
      </c>
      <c r="C4" s="5">
        <v>45513</v>
      </c>
      <c r="D4" s="11">
        <v>850</v>
      </c>
      <c r="E4" s="6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>
        <v>850</v>
      </c>
      <c r="Y4" s="4"/>
      <c r="Z4" s="4"/>
      <c r="AA4" s="4"/>
      <c r="AB4" s="4"/>
      <c r="AC4" s="4"/>
      <c r="AD4" s="4"/>
      <c r="AE4" s="4"/>
      <c r="AF4" s="4"/>
      <c r="AG4" s="4"/>
      <c r="AH4" s="4"/>
      <c r="AI4" s="4"/>
    </row>
    <row r="5" spans="1:35" x14ac:dyDescent="0.25">
      <c r="A5" s="4">
        <v>1</v>
      </c>
      <c r="B5" s="4" t="s">
        <v>46</v>
      </c>
      <c r="C5" s="5">
        <v>45427</v>
      </c>
      <c r="D5" s="11">
        <v>850</v>
      </c>
      <c r="E5" s="6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>
        <v>850</v>
      </c>
      <c r="AH5" s="4"/>
      <c r="AI5" s="4"/>
    </row>
  </sheetData>
  <phoneticPr fontId="2" type="noConversion"/>
  <conditionalFormatting sqref="E1:AI1">
    <cfRule type="cellIs" dxfId="37" priority="1" operator="greaterThan">
      <formula>0</formula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DEDE232E-A882-4187-88D0-6883D644823F}">
          <x14:formula1>
            <xm:f>Données!$A$1:$A$3</xm:f>
          </x14:formula1>
          <xm:sqref>A3:A5</xm:sqref>
        </x14:dataValidation>
        <x14:dataValidation type="list" allowBlank="1" showInputMessage="1" showErrorMessage="1" xr:uid="{255EC8B2-8F82-4E85-8995-DD7599FC2C98}">
          <x14:formula1>
            <xm:f>Données!$G:$G</xm:f>
          </x14:formula1>
          <xm:sqref>D1:D1048576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CA9AC-6FA7-4EB2-BC70-9F61B4D08875}">
  <dimension ref="A1:AI6"/>
  <sheetViews>
    <sheetView workbookViewId="0">
      <pane xSplit="3" ySplit="2" topLeftCell="R3" activePane="bottomRight" state="frozen"/>
      <selection pane="topRight" activeCell="E12" sqref="E12"/>
      <selection pane="bottomLeft" activeCell="E12" sqref="E12"/>
      <selection pane="bottomRight" sqref="A1:XFD1"/>
    </sheetView>
  </sheetViews>
  <sheetFormatPr baseColWidth="10" defaultColWidth="11.5703125" defaultRowHeight="15" x14ac:dyDescent="0.25"/>
  <cols>
    <col min="1" max="1" width="13" style="2" bestFit="1" customWidth="1"/>
    <col min="2" max="2" width="12.7109375" style="2" bestFit="1" customWidth="1"/>
    <col min="3" max="3" width="16.28515625" style="2" bestFit="1" customWidth="1"/>
    <col min="4" max="4" width="14.7109375" style="12" bestFit="1" customWidth="1"/>
    <col min="5" max="5" width="11.7109375" style="2" bestFit="1" customWidth="1"/>
    <col min="6" max="6" width="11.42578125" style="2" bestFit="1" customWidth="1"/>
    <col min="7" max="7" width="12.28515625" style="2" bestFit="1" customWidth="1"/>
    <col min="8" max="8" width="10.7109375" style="2" bestFit="1" customWidth="1"/>
    <col min="9" max="10" width="11.28515625" style="2" bestFit="1" customWidth="1"/>
    <col min="11" max="11" width="10.7109375" style="2" bestFit="1" customWidth="1"/>
    <col min="12" max="12" width="12" style="2" bestFit="1" customWidth="1"/>
    <col min="13" max="13" width="11.7109375" style="2" bestFit="1" customWidth="1"/>
    <col min="14" max="14" width="10.7109375" style="2" bestFit="1" customWidth="1"/>
    <col min="15" max="15" width="11.28515625" style="2" bestFit="1" customWidth="1"/>
    <col min="16" max="16" width="11.140625" style="2" bestFit="1" customWidth="1"/>
    <col min="17" max="17" width="11.7109375" style="2" bestFit="1" customWidth="1"/>
    <col min="18" max="18" width="11.42578125" style="2" bestFit="1" customWidth="1"/>
    <col min="19" max="19" width="12.28515625" style="2" bestFit="1" customWidth="1"/>
    <col min="20" max="20" width="10.7109375" style="2" bestFit="1" customWidth="1"/>
    <col min="21" max="22" width="11.28515625" style="2" bestFit="1" customWidth="1"/>
    <col min="23" max="23" width="10.7109375" style="2" bestFit="1" customWidth="1"/>
    <col min="24" max="24" width="12" style="2" bestFit="1" customWidth="1"/>
    <col min="25" max="25" width="11.7109375" style="2" bestFit="1" customWidth="1"/>
    <col min="26" max="26" width="10.7109375" style="2" bestFit="1" customWidth="1"/>
    <col min="27" max="27" width="11.28515625" style="2" bestFit="1" customWidth="1"/>
    <col min="28" max="28" width="11.140625" style="2" bestFit="1" customWidth="1"/>
    <col min="29" max="29" width="11.7109375" style="2" bestFit="1" customWidth="1"/>
    <col min="30" max="30" width="10.7109375" style="2" bestFit="1" customWidth="1"/>
    <col min="31" max="31" width="12.28515625" style="2" bestFit="1" customWidth="1"/>
    <col min="32" max="32" width="10.7109375" style="2" bestFit="1" customWidth="1"/>
    <col min="33" max="34" width="11.28515625" style="2" bestFit="1" customWidth="1"/>
    <col min="35" max="35" width="10.7109375" style="2" bestFit="1" customWidth="1"/>
    <col min="36" max="16384" width="11.5703125" style="2"/>
  </cols>
  <sheetData>
    <row r="1" spans="1:35" s="19" customFormat="1" x14ac:dyDescent="0.25">
      <c r="E1" s="19">
        <f>SUM(Tableau148[janv-23])</f>
        <v>0</v>
      </c>
      <c r="F1" s="19">
        <f>SUM(Tableau148[févr-23])</f>
        <v>0</v>
      </c>
      <c r="G1" s="19">
        <f>SUM(Tableau148[mars-23])</f>
        <v>0</v>
      </c>
      <c r="H1" s="19">
        <f>SUM(Tableau148[avr-23])</f>
        <v>0</v>
      </c>
      <c r="I1" s="19">
        <f>SUM(Tableau148[mai-23])</f>
        <v>0</v>
      </c>
      <c r="J1" s="19">
        <f>SUM(Tableau148[juin-23])</f>
        <v>0</v>
      </c>
      <c r="K1" s="19">
        <f>SUM(Tableau148[juil-23])</f>
        <v>0</v>
      </c>
      <c r="L1" s="19">
        <f>SUM(Tableau148[août-23])</f>
        <v>350</v>
      </c>
      <c r="M1" s="19">
        <f>SUM(Tableau148[sept-23])</f>
        <v>350</v>
      </c>
      <c r="N1" s="19">
        <f>SUM(Tableau148[oct-23])</f>
        <v>350</v>
      </c>
      <c r="O1" s="19">
        <f>SUM(Tableau148[nov-23])</f>
        <v>0</v>
      </c>
      <c r="P1" s="19">
        <f>SUM(Tableau148[déc-23])</f>
        <v>0</v>
      </c>
      <c r="Q1" s="19">
        <f>SUM(Tableau148[janv-24])</f>
        <v>0</v>
      </c>
      <c r="R1" s="19">
        <f>SUM(Tableau148[févr-24])</f>
        <v>350</v>
      </c>
      <c r="S1" s="19">
        <f>SUM(Tableau148[mars-24])</f>
        <v>1050</v>
      </c>
      <c r="T1" s="19">
        <f>SUM(Tableau148[avr-24])</f>
        <v>1050</v>
      </c>
      <c r="U1" s="19">
        <f>SUM(Tableau148[mai-24])</f>
        <v>700</v>
      </c>
      <c r="V1" s="19">
        <f>SUM(Tableau148[juin-24])</f>
        <v>0</v>
      </c>
      <c r="W1" s="19">
        <f>SUM(Tableau148[juil-24])</f>
        <v>0</v>
      </c>
      <c r="X1" s="19">
        <f>SUM(Tableau148[août-24])</f>
        <v>0</v>
      </c>
      <c r="Y1" s="19">
        <f>SUM(Tableau148[sept-24])</f>
        <v>0</v>
      </c>
      <c r="Z1" s="19">
        <f>SUM(Tableau148[oct-24])</f>
        <v>0</v>
      </c>
      <c r="AA1" s="19">
        <f>SUM(Tableau148[nov-24])</f>
        <v>0</v>
      </c>
      <c r="AB1" s="19">
        <f>SUM(Tableau148[déc-24])</f>
        <v>0</v>
      </c>
      <c r="AC1" s="19">
        <f>SUM(Tableau148[janv-25])</f>
        <v>0</v>
      </c>
      <c r="AD1" s="19">
        <f>SUM(Tableau148[fev-25])</f>
        <v>0</v>
      </c>
      <c r="AE1" s="19">
        <f>SUM(Tableau148[mars-25])</f>
        <v>0</v>
      </c>
      <c r="AF1" s="19">
        <f>SUM(Tableau148[avr-25])</f>
        <v>0</v>
      </c>
      <c r="AG1" s="19">
        <f>SUM(Tableau148[mai-25])</f>
        <v>0</v>
      </c>
      <c r="AH1" s="19">
        <f>SUM(Tableau148[juin-25])</f>
        <v>0</v>
      </c>
      <c r="AI1" s="19">
        <f>SUM(Tableau148[juil-25])</f>
        <v>0</v>
      </c>
    </row>
    <row r="2" spans="1:35" x14ac:dyDescent="0.25">
      <c r="A2" s="2" t="s">
        <v>40</v>
      </c>
      <c r="B2" s="2" t="s">
        <v>41</v>
      </c>
      <c r="C2" s="2" t="s">
        <v>42</v>
      </c>
      <c r="D2" s="12" t="s">
        <v>43</v>
      </c>
      <c r="E2" s="3" t="s">
        <v>2</v>
      </c>
      <c r="F2" s="3" t="s">
        <v>3</v>
      </c>
      <c r="G2" s="3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3" t="s">
        <v>10</v>
      </c>
      <c r="N2" s="3" t="s">
        <v>11</v>
      </c>
      <c r="O2" s="3" t="s">
        <v>12</v>
      </c>
      <c r="P2" s="3" t="s">
        <v>13</v>
      </c>
      <c r="Q2" s="3" t="s">
        <v>14</v>
      </c>
      <c r="R2" s="3" t="s">
        <v>15</v>
      </c>
      <c r="S2" s="3" t="s">
        <v>16</v>
      </c>
      <c r="T2" s="3" t="s">
        <v>17</v>
      </c>
      <c r="U2" s="3" t="s">
        <v>18</v>
      </c>
      <c r="V2" s="3" t="s">
        <v>19</v>
      </c>
      <c r="W2" s="3" t="s">
        <v>20</v>
      </c>
      <c r="X2" s="3" t="s">
        <v>21</v>
      </c>
      <c r="Y2" s="3" t="s">
        <v>22</v>
      </c>
      <c r="Z2" s="3" t="s">
        <v>23</v>
      </c>
      <c r="AA2" s="3" t="s">
        <v>24</v>
      </c>
      <c r="AB2" s="3" t="s">
        <v>25</v>
      </c>
      <c r="AC2" s="3" t="s">
        <v>26</v>
      </c>
      <c r="AD2" s="2" t="s">
        <v>27</v>
      </c>
      <c r="AE2" s="3" t="s">
        <v>28</v>
      </c>
      <c r="AF2" s="3" t="s">
        <v>29</v>
      </c>
      <c r="AG2" s="3" t="s">
        <v>30</v>
      </c>
      <c r="AH2" s="3" t="s">
        <v>31</v>
      </c>
      <c r="AI2" s="3" t="s">
        <v>32</v>
      </c>
    </row>
    <row r="3" spans="1:35" x14ac:dyDescent="0.25">
      <c r="A3" s="4">
        <v>3</v>
      </c>
      <c r="B3" s="4" t="s">
        <v>47</v>
      </c>
      <c r="C3" s="5">
        <v>45146</v>
      </c>
      <c r="D3" s="13">
        <v>350</v>
      </c>
      <c r="E3" s="6"/>
      <c r="F3" s="4"/>
      <c r="G3" s="4"/>
      <c r="H3" s="4"/>
      <c r="I3" s="4"/>
      <c r="J3" s="4"/>
      <c r="K3" s="4"/>
      <c r="L3" s="4">
        <v>350</v>
      </c>
      <c r="M3" s="4">
        <v>350</v>
      </c>
      <c r="N3" s="4">
        <v>350</v>
      </c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</row>
    <row r="4" spans="1:35" x14ac:dyDescent="0.25">
      <c r="A4" s="4">
        <v>3</v>
      </c>
      <c r="B4" s="4" t="s">
        <v>48</v>
      </c>
      <c r="C4" s="5">
        <v>45346</v>
      </c>
      <c r="D4" s="13">
        <v>350</v>
      </c>
      <c r="E4" s="6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>
        <v>350</v>
      </c>
      <c r="S4" s="4">
        <v>350</v>
      </c>
      <c r="T4" s="4">
        <v>350</v>
      </c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</row>
    <row r="5" spans="1:35" x14ac:dyDescent="0.25">
      <c r="A5" s="4">
        <v>3</v>
      </c>
      <c r="B5" s="4" t="s">
        <v>49</v>
      </c>
      <c r="C5" s="5">
        <v>45369</v>
      </c>
      <c r="D5" s="13">
        <v>350</v>
      </c>
      <c r="E5" s="6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>
        <v>350</v>
      </c>
      <c r="T5" s="4">
        <v>350</v>
      </c>
      <c r="U5" s="4">
        <v>350</v>
      </c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</row>
    <row r="6" spans="1:35" x14ac:dyDescent="0.25">
      <c r="A6" s="4">
        <v>3</v>
      </c>
      <c r="B6" s="4" t="s">
        <v>50</v>
      </c>
      <c r="C6" s="5">
        <v>45379</v>
      </c>
      <c r="D6" s="13">
        <v>350</v>
      </c>
      <c r="E6" s="6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>
        <v>350</v>
      </c>
      <c r="T6" s="4">
        <v>350</v>
      </c>
      <c r="U6" s="4">
        <v>350</v>
      </c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</row>
  </sheetData>
  <conditionalFormatting sqref="E1:AI1">
    <cfRule type="cellIs" dxfId="36" priority="1" operator="greaterThan">
      <formula>0</formula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D29E7C4C-9DB9-4E13-ACD2-1D7E2A33EFAE}">
          <x14:formula1>
            <xm:f>Données!$G:$G</xm:f>
          </x14:formula1>
          <xm:sqref>D1:D1048576</xm:sqref>
        </x14:dataValidation>
        <x14:dataValidation type="list" allowBlank="1" showInputMessage="1" showErrorMessage="1" xr:uid="{BB921435-E7E4-4C59-AEA4-979BBA059732}">
          <x14:formula1>
            <xm:f>Données!$A$1:$A$3</xm:f>
          </x14:formula1>
          <xm:sqref>A3:A6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13E07-1A25-45EC-9B11-2F1FE17C1C1F}">
  <dimension ref="A1:AI8"/>
  <sheetViews>
    <sheetView workbookViewId="0">
      <pane xSplit="3" ySplit="2" topLeftCell="R3" activePane="bottomRight" state="frozen"/>
      <selection pane="topRight" activeCell="E12" sqref="E12"/>
      <selection pane="bottomLeft" activeCell="E12" sqref="E12"/>
      <selection pane="bottomRight" activeCell="R23" sqref="R23"/>
    </sheetView>
  </sheetViews>
  <sheetFormatPr baseColWidth="10" defaultColWidth="11.5703125" defaultRowHeight="15" x14ac:dyDescent="0.25"/>
  <cols>
    <col min="1" max="1" width="13" style="2" bestFit="1" customWidth="1"/>
    <col min="2" max="2" width="12.7109375" style="2" bestFit="1" customWidth="1"/>
    <col min="3" max="3" width="16.28515625" style="2" bestFit="1" customWidth="1"/>
    <col min="4" max="4" width="14.7109375" style="12" bestFit="1" customWidth="1"/>
    <col min="5" max="5" width="11.7109375" style="2" bestFit="1" customWidth="1"/>
    <col min="6" max="6" width="11.42578125" style="2" bestFit="1" customWidth="1"/>
    <col min="7" max="7" width="12.28515625" style="2" bestFit="1" customWidth="1"/>
    <col min="8" max="8" width="10.7109375" style="2" bestFit="1" customWidth="1"/>
    <col min="9" max="10" width="11.28515625" style="2" bestFit="1" customWidth="1"/>
    <col min="11" max="11" width="10.7109375" style="2" bestFit="1" customWidth="1"/>
    <col min="12" max="12" width="12" style="2" bestFit="1" customWidth="1"/>
    <col min="13" max="13" width="11.7109375" style="2" bestFit="1" customWidth="1"/>
    <col min="14" max="14" width="10.7109375" style="2" bestFit="1" customWidth="1"/>
    <col min="15" max="15" width="11.28515625" style="2" bestFit="1" customWidth="1"/>
    <col min="16" max="16" width="11.140625" style="2" bestFit="1" customWidth="1"/>
    <col min="17" max="17" width="11.7109375" style="2" bestFit="1" customWidth="1"/>
    <col min="18" max="18" width="11.42578125" style="2" bestFit="1" customWidth="1"/>
    <col min="19" max="19" width="12.28515625" style="2" bestFit="1" customWidth="1"/>
    <col min="20" max="20" width="10.7109375" style="2" bestFit="1" customWidth="1"/>
    <col min="21" max="22" width="11.28515625" style="2" bestFit="1" customWidth="1"/>
    <col min="23" max="23" width="10.7109375" style="2" bestFit="1" customWidth="1"/>
    <col min="24" max="24" width="12" style="2" bestFit="1" customWidth="1"/>
    <col min="25" max="25" width="11.7109375" style="2" bestFit="1" customWidth="1"/>
    <col min="26" max="26" width="10.7109375" style="2" bestFit="1" customWidth="1"/>
    <col min="27" max="27" width="11.28515625" style="2" bestFit="1" customWidth="1"/>
    <col min="28" max="28" width="11.140625" style="2" bestFit="1" customWidth="1"/>
    <col min="29" max="29" width="11.7109375" style="2" bestFit="1" customWidth="1"/>
    <col min="30" max="30" width="10.7109375" style="2" bestFit="1" customWidth="1"/>
    <col min="31" max="31" width="12.28515625" style="2" bestFit="1" customWidth="1"/>
    <col min="32" max="32" width="10.7109375" style="2" bestFit="1" customWidth="1"/>
    <col min="33" max="34" width="11.28515625" style="2" bestFit="1" customWidth="1"/>
    <col min="35" max="35" width="10.7109375" style="2" bestFit="1" customWidth="1"/>
    <col min="36" max="16384" width="11.5703125" style="2"/>
  </cols>
  <sheetData>
    <row r="1" spans="1:35" s="19" customFormat="1" x14ac:dyDescent="0.25">
      <c r="A1" s="18"/>
      <c r="B1" s="18"/>
      <c r="C1" s="18"/>
      <c r="D1" s="18"/>
      <c r="E1" s="18">
        <f>SUM(Tableau14[janv-23])</f>
        <v>77</v>
      </c>
      <c r="F1" s="18">
        <f>SUM(Tableau14[févr-23])</f>
        <v>77</v>
      </c>
      <c r="G1" s="18">
        <f>SUM(Tableau14[mars-23])</f>
        <v>77</v>
      </c>
      <c r="H1" s="18">
        <f>SUM(Tableau14[avr-23])</f>
        <v>77</v>
      </c>
      <c r="I1" s="18">
        <f>SUM(Tableau14[mai-23])</f>
        <v>0</v>
      </c>
      <c r="J1" s="18">
        <f>SUM(Tableau14[juin-23])</f>
        <v>0</v>
      </c>
      <c r="K1" s="18">
        <f>SUM(Tableau14[juil-23])</f>
        <v>0</v>
      </c>
      <c r="L1" s="18">
        <f>SUM(Tableau14[août-23])</f>
        <v>97</v>
      </c>
      <c r="M1" s="18">
        <f>SUM(Tableau14[sept-23])</f>
        <v>97</v>
      </c>
      <c r="N1" s="18">
        <f>SUM(Tableau14[oct-23])</f>
        <v>194</v>
      </c>
      <c r="O1" s="18">
        <f>SUM(Tableau14[nov-23])</f>
        <v>194</v>
      </c>
      <c r="P1" s="18">
        <f>SUM(Tableau14[déc-23])</f>
        <v>291</v>
      </c>
      <c r="Q1" s="18">
        <f>SUM(Tableau14[janv-24])</f>
        <v>291</v>
      </c>
      <c r="R1" s="18">
        <f>SUM(Tableau14[févr-24])</f>
        <v>388</v>
      </c>
      <c r="S1" s="18">
        <f>SUM(Tableau14[mars-24])</f>
        <v>388</v>
      </c>
      <c r="T1" s="18">
        <f>SUM(Tableau14[avr-24])</f>
        <v>388</v>
      </c>
      <c r="U1" s="18">
        <f>SUM(Tableau14[mai-24])</f>
        <v>485</v>
      </c>
      <c r="V1" s="18">
        <f>SUM(Tableau14[juin-24])</f>
        <v>485</v>
      </c>
      <c r="W1" s="18">
        <f>SUM(Tableau14[juil-24])</f>
        <v>485</v>
      </c>
      <c r="X1" s="18">
        <f>SUM(Tableau14[août-24])</f>
        <v>388</v>
      </c>
      <c r="Y1" s="18">
        <f>SUM(Tableau14[sept-24])</f>
        <v>388</v>
      </c>
      <c r="Z1" s="18">
        <f>SUM(Tableau14[oct-24])</f>
        <v>291</v>
      </c>
      <c r="AA1" s="18">
        <f>SUM(Tableau14[nov-24])</f>
        <v>291</v>
      </c>
      <c r="AB1" s="18">
        <f>SUM(Tableau14[déc-24])</f>
        <v>194</v>
      </c>
      <c r="AC1" s="18">
        <f>SUM(Tableau14[janv-25])</f>
        <v>194</v>
      </c>
      <c r="AD1" s="18">
        <f>SUM(Tableau14[fev-25])</f>
        <v>97</v>
      </c>
      <c r="AE1" s="18">
        <f>SUM(Tableau14[mars-25])</f>
        <v>97</v>
      </c>
      <c r="AF1" s="18">
        <f>SUM(Tableau14[avr-25])</f>
        <v>97</v>
      </c>
      <c r="AG1" s="18">
        <f>SUM(Tableau14[mai-25])</f>
        <v>0</v>
      </c>
      <c r="AH1" s="18">
        <f>SUM(Tableau14[juin-25])</f>
        <v>0</v>
      </c>
      <c r="AI1" s="18">
        <f>SUM(Tableau14[juil-25])</f>
        <v>0</v>
      </c>
    </row>
    <row r="2" spans="1:35" x14ac:dyDescent="0.25">
      <c r="A2" s="2" t="s">
        <v>40</v>
      </c>
      <c r="B2" s="2" t="s">
        <v>41</v>
      </c>
      <c r="C2" s="2" t="s">
        <v>42</v>
      </c>
      <c r="D2" s="12" t="s">
        <v>43</v>
      </c>
      <c r="E2" s="3" t="s">
        <v>2</v>
      </c>
      <c r="F2" s="3" t="s">
        <v>3</v>
      </c>
      <c r="G2" s="3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3" t="s">
        <v>10</v>
      </c>
      <c r="N2" s="3" t="s">
        <v>11</v>
      </c>
      <c r="O2" s="3" t="s">
        <v>12</v>
      </c>
      <c r="P2" s="3" t="s">
        <v>13</v>
      </c>
      <c r="Q2" s="3" t="s">
        <v>14</v>
      </c>
      <c r="R2" s="3" t="s">
        <v>15</v>
      </c>
      <c r="S2" s="3" t="s">
        <v>16</v>
      </c>
      <c r="T2" s="3" t="s">
        <v>17</v>
      </c>
      <c r="U2" s="3" t="s">
        <v>18</v>
      </c>
      <c r="V2" s="3" t="s">
        <v>19</v>
      </c>
      <c r="W2" s="3" t="s">
        <v>20</v>
      </c>
      <c r="X2" s="3" t="s">
        <v>21</v>
      </c>
      <c r="Y2" s="3" t="s">
        <v>22</v>
      </c>
      <c r="Z2" s="3" t="s">
        <v>23</v>
      </c>
      <c r="AA2" s="3" t="s">
        <v>24</v>
      </c>
      <c r="AB2" s="3" t="s">
        <v>25</v>
      </c>
      <c r="AC2" s="3" t="s">
        <v>26</v>
      </c>
      <c r="AD2" s="2" t="s">
        <v>27</v>
      </c>
      <c r="AE2" s="3" t="s">
        <v>28</v>
      </c>
      <c r="AF2" s="3" t="s">
        <v>29</v>
      </c>
      <c r="AG2" s="3" t="s">
        <v>30</v>
      </c>
      <c r="AH2" s="3" t="s">
        <v>31</v>
      </c>
      <c r="AI2" s="3" t="s">
        <v>32</v>
      </c>
    </row>
    <row r="3" spans="1:35" x14ac:dyDescent="0.25">
      <c r="A3" s="4">
        <v>12</v>
      </c>
      <c r="B3" s="4" t="s">
        <v>52</v>
      </c>
      <c r="C3" s="5">
        <v>45152</v>
      </c>
      <c r="D3" s="13">
        <v>97</v>
      </c>
      <c r="E3" s="4"/>
      <c r="F3" s="4"/>
      <c r="G3" s="4"/>
      <c r="H3" s="4"/>
      <c r="I3" s="4"/>
      <c r="J3" s="4"/>
      <c r="K3" s="4"/>
      <c r="L3" s="4">
        <v>97</v>
      </c>
      <c r="M3" s="4">
        <v>97</v>
      </c>
      <c r="N3" s="4">
        <v>97</v>
      </c>
      <c r="O3" s="4">
        <v>97</v>
      </c>
      <c r="P3" s="4">
        <v>97</v>
      </c>
      <c r="Q3" s="4">
        <v>97</v>
      </c>
      <c r="R3" s="4">
        <v>97</v>
      </c>
      <c r="S3" s="4">
        <v>97</v>
      </c>
      <c r="T3" s="4">
        <v>97</v>
      </c>
      <c r="U3" s="4">
        <v>97</v>
      </c>
      <c r="V3" s="4">
        <v>97</v>
      </c>
      <c r="W3" s="4">
        <v>97</v>
      </c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</row>
    <row r="4" spans="1:35" x14ac:dyDescent="0.25">
      <c r="A4" s="4">
        <v>12</v>
      </c>
      <c r="B4" s="4" t="s">
        <v>60</v>
      </c>
      <c r="C4" s="5">
        <v>44683</v>
      </c>
      <c r="D4" s="13">
        <v>77</v>
      </c>
      <c r="E4" s="4">
        <v>77</v>
      </c>
      <c r="F4" s="4">
        <v>77</v>
      </c>
      <c r="G4" s="4">
        <v>77</v>
      </c>
      <c r="H4" s="4">
        <v>77</v>
      </c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</row>
    <row r="5" spans="1:35" x14ac:dyDescent="0.25">
      <c r="A5" s="4">
        <v>12</v>
      </c>
      <c r="B5" s="4" t="s">
        <v>53</v>
      </c>
      <c r="C5" s="5">
        <v>45218</v>
      </c>
      <c r="D5" s="13">
        <v>97</v>
      </c>
      <c r="E5" s="6"/>
      <c r="F5" s="4"/>
      <c r="G5" s="4"/>
      <c r="H5" s="4"/>
      <c r="I5" s="4"/>
      <c r="J5" s="4"/>
      <c r="K5" s="4"/>
      <c r="L5" s="4"/>
      <c r="M5" s="4"/>
      <c r="N5" s="4">
        <v>97</v>
      </c>
      <c r="O5" s="4">
        <v>97</v>
      </c>
      <c r="P5" s="4">
        <v>97</v>
      </c>
      <c r="Q5" s="4">
        <v>97</v>
      </c>
      <c r="R5" s="4">
        <v>97</v>
      </c>
      <c r="S5" s="4">
        <v>97</v>
      </c>
      <c r="T5" s="4">
        <v>97</v>
      </c>
      <c r="U5" s="4">
        <v>97</v>
      </c>
      <c r="V5" s="4">
        <v>97</v>
      </c>
      <c r="W5" s="4">
        <v>97</v>
      </c>
      <c r="X5" s="4">
        <v>97</v>
      </c>
      <c r="Y5" s="4">
        <v>97</v>
      </c>
      <c r="Z5" s="4"/>
      <c r="AA5" s="4"/>
      <c r="AB5" s="4"/>
      <c r="AC5" s="4"/>
      <c r="AD5" s="4"/>
      <c r="AE5" s="4"/>
      <c r="AF5" s="4"/>
      <c r="AG5" s="4"/>
      <c r="AH5" s="4"/>
      <c r="AI5" s="4"/>
    </row>
    <row r="6" spans="1:35" x14ac:dyDescent="0.25">
      <c r="A6" s="4">
        <v>12</v>
      </c>
      <c r="B6" s="4" t="s">
        <v>54</v>
      </c>
      <c r="C6" s="5">
        <v>45268</v>
      </c>
      <c r="D6" s="13">
        <v>97</v>
      </c>
      <c r="E6" s="6"/>
      <c r="F6" s="4"/>
      <c r="G6" s="4"/>
      <c r="H6" s="4"/>
      <c r="I6" s="4"/>
      <c r="J6" s="4"/>
      <c r="K6" s="4"/>
      <c r="L6" s="4"/>
      <c r="M6" s="4"/>
      <c r="N6" s="4"/>
      <c r="O6" s="4"/>
      <c r="P6" s="4">
        <v>97</v>
      </c>
      <c r="Q6" s="4">
        <v>97</v>
      </c>
      <c r="R6" s="4">
        <v>97</v>
      </c>
      <c r="S6" s="4">
        <v>97</v>
      </c>
      <c r="T6" s="4">
        <v>97</v>
      </c>
      <c r="U6" s="4">
        <v>97</v>
      </c>
      <c r="V6" s="4">
        <v>97</v>
      </c>
      <c r="W6" s="4">
        <v>97</v>
      </c>
      <c r="X6" s="4">
        <v>97</v>
      </c>
      <c r="Y6" s="4">
        <v>97</v>
      </c>
      <c r="Z6" s="4">
        <v>97</v>
      </c>
      <c r="AA6" s="4">
        <v>97</v>
      </c>
      <c r="AB6" s="4"/>
      <c r="AC6" s="4"/>
      <c r="AD6" s="4"/>
      <c r="AE6" s="4"/>
      <c r="AF6" s="4"/>
      <c r="AG6" s="4"/>
      <c r="AH6" s="4"/>
      <c r="AI6" s="4"/>
    </row>
    <row r="7" spans="1:35" x14ac:dyDescent="0.25">
      <c r="A7" s="4">
        <v>12</v>
      </c>
      <c r="B7" s="4" t="s">
        <v>55</v>
      </c>
      <c r="C7" s="5">
        <v>45327</v>
      </c>
      <c r="D7" s="13">
        <v>97</v>
      </c>
      <c r="E7" s="6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>
        <v>97</v>
      </c>
      <c r="S7" s="4">
        <v>97</v>
      </c>
      <c r="T7" s="4">
        <v>97</v>
      </c>
      <c r="U7" s="4">
        <v>97</v>
      </c>
      <c r="V7" s="4">
        <v>97</v>
      </c>
      <c r="W7" s="4">
        <v>97</v>
      </c>
      <c r="X7" s="4">
        <v>97</v>
      </c>
      <c r="Y7" s="4">
        <v>97</v>
      </c>
      <c r="Z7" s="4">
        <v>97</v>
      </c>
      <c r="AA7" s="4">
        <v>97</v>
      </c>
      <c r="AB7" s="4">
        <v>97</v>
      </c>
      <c r="AC7" s="4">
        <v>97</v>
      </c>
      <c r="AD7" s="4"/>
      <c r="AE7" s="4"/>
      <c r="AF7" s="4"/>
      <c r="AG7" s="4"/>
      <c r="AH7" s="4"/>
      <c r="AI7" s="4"/>
    </row>
    <row r="8" spans="1:35" x14ac:dyDescent="0.25">
      <c r="A8" s="4">
        <v>12</v>
      </c>
      <c r="B8" s="4" t="s">
        <v>56</v>
      </c>
      <c r="C8" s="5">
        <v>45439</v>
      </c>
      <c r="D8" s="17">
        <v>97</v>
      </c>
      <c r="E8" s="6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>
        <v>97</v>
      </c>
      <c r="V8" s="4">
        <v>97</v>
      </c>
      <c r="W8" s="4">
        <v>97</v>
      </c>
      <c r="X8" s="4">
        <v>97</v>
      </c>
      <c r="Y8" s="4">
        <v>97</v>
      </c>
      <c r="Z8" s="4">
        <v>97</v>
      </c>
      <c r="AA8" s="4">
        <v>97</v>
      </c>
      <c r="AB8" s="4">
        <v>97</v>
      </c>
      <c r="AC8" s="4">
        <v>97</v>
      </c>
      <c r="AD8" s="4">
        <v>97</v>
      </c>
      <c r="AE8" s="4">
        <v>97</v>
      </c>
      <c r="AF8" s="4">
        <v>97</v>
      </c>
      <c r="AG8" s="4"/>
      <c r="AH8" s="4"/>
      <c r="AI8" s="4"/>
    </row>
  </sheetData>
  <conditionalFormatting sqref="E1:AI1">
    <cfRule type="cellIs" dxfId="35" priority="1" operator="greaterThan">
      <formula>0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37A308B-56FD-4222-A1FF-3E764FDB13A3}">
          <x14:formula1>
            <xm:f>Données!$A$1:$A$3</xm:f>
          </x14:formula1>
          <xm:sqref>A3 A5:A8</xm:sqref>
        </x14:dataValidation>
        <x14:dataValidation type="list" allowBlank="1" showInputMessage="1" showErrorMessage="1" xr:uid="{F83E8EE9-5AA2-4DAF-B1A8-0B2495C11484}">
          <x14:formula1>
            <xm:f>Données!$G:$G</xm:f>
          </x14:formula1>
          <xm:sqref>D1:D2 D4:D1048576 D3:AI3 E5:AI8 E4:H4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034C9-82DE-4E7F-BEAB-7E9B44551D63}">
  <dimension ref="A1:O11"/>
  <sheetViews>
    <sheetView workbookViewId="0">
      <selection activeCell="A11" sqref="A11:XFD11"/>
    </sheetView>
  </sheetViews>
  <sheetFormatPr baseColWidth="10" defaultColWidth="11.42578125" defaultRowHeight="15" x14ac:dyDescent="0.25"/>
  <cols>
    <col min="9" max="9" width="19.7109375" bestFit="1" customWidth="1"/>
  </cols>
  <sheetData>
    <row r="1" spans="1:15" x14ac:dyDescent="0.25">
      <c r="A1">
        <v>1</v>
      </c>
      <c r="D1" t="s">
        <v>57</v>
      </c>
      <c r="E1" t="s">
        <v>58</v>
      </c>
      <c r="G1" t="s">
        <v>51</v>
      </c>
    </row>
    <row r="2" spans="1:15" x14ac:dyDescent="0.25">
      <c r="A2">
        <v>3</v>
      </c>
      <c r="E2">
        <v>1</v>
      </c>
      <c r="G2">
        <v>900</v>
      </c>
    </row>
    <row r="3" spans="1:15" x14ac:dyDescent="0.25">
      <c r="A3">
        <v>12</v>
      </c>
      <c r="E3">
        <v>3</v>
      </c>
      <c r="G3">
        <v>850</v>
      </c>
      <c r="I3" t="s">
        <v>59</v>
      </c>
    </row>
    <row r="4" spans="1:15" x14ac:dyDescent="0.25">
      <c r="E4">
        <v>12</v>
      </c>
      <c r="G4">
        <v>350</v>
      </c>
    </row>
    <row r="5" spans="1:15" x14ac:dyDescent="0.25">
      <c r="G5">
        <v>97</v>
      </c>
    </row>
    <row r="6" spans="1:15" x14ac:dyDescent="0.25">
      <c r="G6">
        <v>77</v>
      </c>
    </row>
    <row r="11" spans="1:1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</sheetData>
  <phoneticPr fontId="2" type="noConversion"/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TDB</vt:lpstr>
      <vt:lpstr>SUIVI CLIENT 1x</vt:lpstr>
      <vt:lpstr>SUIVI CLIENT 3x</vt:lpstr>
      <vt:lpstr>SUIVI CLIENT 12x</vt:lpstr>
      <vt:lpstr>Données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33631</dc:creator>
  <cp:keywords/>
  <dc:description/>
  <cp:lastModifiedBy>Philippe MATHECOWITSCH</cp:lastModifiedBy>
  <cp:revision/>
  <dcterms:created xsi:type="dcterms:W3CDTF">2023-08-05T07:23:52Z</dcterms:created>
  <dcterms:modified xsi:type="dcterms:W3CDTF">2023-08-07T10:27:49Z</dcterms:modified>
  <cp:category/>
  <cp:contentStatus/>
</cp:coreProperties>
</file>